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worksheets/sheet179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68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75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82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4915" windowHeight="12075" tabRatio="912" firstSheet="148" activeTab="165"/>
  </bookViews>
  <sheets>
    <sheet name="List of Tables" sheetId="165" r:id="rId1"/>
    <sheet name="1A" sheetId="2" r:id="rId2"/>
    <sheet name="1B" sheetId="1" r:id="rId3"/>
    <sheet name="1C" sheetId="157" r:id="rId4"/>
    <sheet name="1D" sheetId="158" r:id="rId5"/>
    <sheet name="1E" sheetId="129" r:id="rId6"/>
    <sheet name="1F" sheetId="130" r:id="rId7"/>
    <sheet name="1G" sheetId="127" r:id="rId8"/>
    <sheet name="1H" sheetId="128" r:id="rId9"/>
    <sheet name="1I" sheetId="220" r:id="rId10"/>
    <sheet name="1J" sheetId="221" r:id="rId11"/>
    <sheet name="2A" sheetId="3" r:id="rId12"/>
    <sheet name="2B" sheetId="4" r:id="rId13"/>
    <sheet name="2C" sheetId="141" r:id="rId14"/>
    <sheet name="2D" sheetId="142" r:id="rId15"/>
    <sheet name="2E" sheetId="143" r:id="rId16"/>
    <sheet name="2F" sheetId="145" r:id="rId17"/>
    <sheet name="2G" sheetId="170" r:id="rId18"/>
    <sheet name="2H" sheetId="171" r:id="rId19"/>
    <sheet name="2I" sheetId="172" r:id="rId20"/>
    <sheet name="2J" sheetId="173" r:id="rId21"/>
    <sheet name="2K" sheetId="174" r:id="rId22"/>
    <sheet name="2L" sheetId="175" r:id="rId23"/>
    <sheet name="2M" sheetId="222" r:id="rId24"/>
    <sheet name="2N" sheetId="223" r:id="rId25"/>
    <sheet name="2O" sheetId="166" r:id="rId26"/>
    <sheet name="2P" sheetId="167" r:id="rId27"/>
    <sheet name="3A" sheetId="5" r:id="rId28"/>
    <sheet name="3B" sheetId="6" r:id="rId29"/>
    <sheet name="3C" sheetId="163" r:id="rId30"/>
    <sheet name="3D" sheetId="164" r:id="rId31"/>
    <sheet name="3E" sheetId="168" r:id="rId32"/>
    <sheet name="3F" sheetId="169" r:id="rId33"/>
    <sheet name="4A" sheetId="77" r:id="rId34"/>
    <sheet name="4B" sheetId="79" r:id="rId35"/>
    <sheet name="4C" sheetId="125" r:id="rId36"/>
    <sheet name="4D" sheetId="126" r:id="rId37"/>
    <sheet name="4E" sheetId="131" r:id="rId38"/>
    <sheet name="4F" sheetId="132" r:id="rId39"/>
    <sheet name="4G" sheetId="133" r:id="rId40"/>
    <sheet name="4H" sheetId="134" r:id="rId41"/>
    <sheet name="4I" sheetId="135" r:id="rId42"/>
    <sheet name="4J" sheetId="136" r:id="rId43"/>
    <sheet name="4K" sheetId="137" r:id="rId44"/>
    <sheet name="4L" sheetId="138" r:id="rId45"/>
    <sheet name="4M" sheetId="139" r:id="rId46"/>
    <sheet name="4N" sheetId="140" r:id="rId47"/>
    <sheet name="4O" sheetId="228" r:id="rId48"/>
    <sheet name="4P" sheetId="229" r:id="rId49"/>
    <sheet name="4Q" sheetId="230" r:id="rId50"/>
    <sheet name="4R" sheetId="231" r:id="rId51"/>
    <sheet name="5A" sheetId="81" state="hidden" r:id="rId52"/>
    <sheet name="5B" sheetId="82" state="hidden" r:id="rId53"/>
    <sheet name="6A" sheetId="122" r:id="rId54"/>
    <sheet name="6B" sheetId="121" r:id="rId55"/>
    <sheet name="6C" sheetId="186" r:id="rId56"/>
    <sheet name="6D" sheetId="187" r:id="rId57"/>
    <sheet name="6E" sheetId="184" r:id="rId58"/>
    <sheet name="6F" sheetId="185" r:id="rId59"/>
    <sheet name="6G" sheetId="188" r:id="rId60"/>
    <sheet name="6H" sheetId="189" r:id="rId61"/>
    <sheet name="6I" sheetId="232" r:id="rId62"/>
    <sheet name="6J" sheetId="233" r:id="rId63"/>
    <sheet name="7A" sheetId="123" r:id="rId64"/>
    <sheet name="7B" sheetId="124" r:id="rId65"/>
    <sheet name="7C" sheetId="176" r:id="rId66"/>
    <sheet name="7D" sheetId="177" r:id="rId67"/>
    <sheet name="7E" sheetId="178" r:id="rId68"/>
    <sheet name="7F" sheetId="179" r:id="rId69"/>
    <sheet name="7G" sheetId="180" r:id="rId70"/>
    <sheet name="7H" sheetId="181" r:id="rId71"/>
    <sheet name="7I" sheetId="182" r:id="rId72"/>
    <sheet name="7J" sheetId="183" r:id="rId73"/>
    <sheet name="7K" sheetId="200" r:id="rId74"/>
    <sheet name="7L" sheetId="201" r:id="rId75"/>
    <sheet name="7M" sheetId="202" r:id="rId76"/>
    <sheet name="7N" sheetId="203" r:id="rId77"/>
    <sheet name="7O" sheetId="204" r:id="rId78"/>
    <sheet name="7P" sheetId="205" r:id="rId79"/>
    <sheet name="7Q" sheetId="206" r:id="rId80"/>
    <sheet name="7R" sheetId="207" r:id="rId81"/>
    <sheet name="7S" sheetId="208" r:id="rId82"/>
    <sheet name="7T" sheetId="209" r:id="rId83"/>
    <sheet name="7U" sheetId="210" r:id="rId84"/>
    <sheet name="7V" sheetId="211" r:id="rId85"/>
    <sheet name="7W" sheetId="212" r:id="rId86"/>
    <sheet name="7X" sheetId="213" r:id="rId87"/>
    <sheet name="7Y" sheetId="214" r:id="rId88"/>
    <sheet name="7Z" sheetId="215" r:id="rId89"/>
    <sheet name="7AA" sheetId="216" r:id="rId90"/>
    <sheet name="7AB" sheetId="217" r:id="rId91"/>
    <sheet name="7AC" sheetId="218" r:id="rId92"/>
    <sheet name="7AD" sheetId="219" r:id="rId93"/>
    <sheet name="7AE" sheetId="343" r:id="rId94"/>
    <sheet name="7AF" sheetId="344" r:id="rId95"/>
    <sheet name="8A" sheetId="147" r:id="rId96"/>
    <sheet name="8B" sheetId="149" r:id="rId97"/>
    <sheet name="8C" sheetId="159" r:id="rId98"/>
    <sheet name="8D" sheetId="160" r:id="rId99"/>
    <sheet name="8E" sheetId="161" r:id="rId100"/>
    <sheet name="8F" sheetId="162" r:id="rId101"/>
    <sheet name="8G" sheetId="152" r:id="rId102"/>
    <sheet name="8H" sheetId="153" r:id="rId103"/>
    <sheet name="8I" sheetId="150" r:id="rId104"/>
    <sheet name="8J" sheetId="151" r:id="rId105"/>
    <sheet name="8K" sheetId="155" r:id="rId106"/>
    <sheet name="8L" sheetId="156" r:id="rId107"/>
    <sheet name="8M" sheetId="154" r:id="rId108"/>
    <sheet name="8N" sheetId="350" r:id="rId109"/>
    <sheet name="9A" sheetId="190" r:id="rId110"/>
    <sheet name="9B" sheetId="191" r:id="rId111"/>
    <sheet name="9C" sheetId="194" r:id="rId112"/>
    <sheet name="9D" sheetId="195" r:id="rId113"/>
    <sheet name="9E" sheetId="338" r:id="rId114"/>
    <sheet name="9F" sheetId="339" r:id="rId115"/>
    <sheet name="9G" sheetId="340" r:id="rId116"/>
    <sheet name="9H" sheetId="341" r:id="rId117"/>
    <sheet name="9I" sheetId="345" r:id="rId118"/>
    <sheet name="9J" sheetId="346" r:id="rId119"/>
    <sheet name="9K" sheetId="347" r:id="rId120"/>
    <sheet name="9L" sheetId="348" r:id="rId121"/>
    <sheet name="10A" sheetId="196" r:id="rId122"/>
    <sheet name="10B" sheetId="197" r:id="rId123"/>
    <sheet name="10C" sheetId="198" r:id="rId124"/>
    <sheet name="11A" sheetId="199" r:id="rId125"/>
    <sheet name="12A" sheetId="254" r:id="rId126"/>
    <sheet name="12B" sheetId="255" r:id="rId127"/>
    <sheet name="13A-13H" sheetId="330" r:id="rId128"/>
    <sheet name="14A-14H" sheetId="331" r:id="rId129"/>
    <sheet name="15A" sheetId="333" r:id="rId130"/>
    <sheet name="15B" sheetId="334" r:id="rId131"/>
    <sheet name="16A" sheetId="332" r:id="rId132"/>
    <sheet name="17A" sheetId="342" r:id="rId133"/>
    <sheet name="17B" sheetId="349" r:id="rId134"/>
    <sheet name="Provincial Summary" sheetId="258" r:id="rId135"/>
    <sheet name="18A" sheetId="259" r:id="rId136"/>
    <sheet name="18B" sheetId="260" r:id="rId137"/>
    <sheet name="18C" sheetId="261" r:id="rId138"/>
    <sheet name="18D" sheetId="262" r:id="rId139"/>
    <sheet name="18E" sheetId="263" r:id="rId140"/>
    <sheet name="18F" sheetId="264" r:id="rId141"/>
    <sheet name="18G" sheetId="265" r:id="rId142"/>
    <sheet name="18H" sheetId="266" r:id="rId143"/>
    <sheet name="18I" sheetId="267" r:id="rId144"/>
    <sheet name="18J" sheetId="268" r:id="rId145"/>
    <sheet name="18K" sheetId="269" r:id="rId146"/>
    <sheet name="19A" sheetId="270" r:id="rId147"/>
    <sheet name="19B" sheetId="271" r:id="rId148"/>
    <sheet name="19C" sheetId="272" r:id="rId149"/>
    <sheet name="19D" sheetId="273" r:id="rId150"/>
    <sheet name="19E" sheetId="274" r:id="rId151"/>
    <sheet name="19F" sheetId="275" r:id="rId152"/>
    <sheet name="19G" sheetId="276" r:id="rId153"/>
    <sheet name="19H" sheetId="277" r:id="rId154"/>
    <sheet name="19I" sheetId="278" r:id="rId155"/>
    <sheet name="19J" sheetId="279" r:id="rId156"/>
    <sheet name="19K" sheetId="280" r:id="rId157"/>
    <sheet name="20A" sheetId="281" r:id="rId158"/>
    <sheet name="20B" sheetId="282" r:id="rId159"/>
    <sheet name="20C" sheetId="283" r:id="rId160"/>
    <sheet name="20D" sheetId="284" r:id="rId161"/>
    <sheet name="20E" sheetId="285" r:id="rId162"/>
    <sheet name="20F" sheetId="286" r:id="rId163"/>
    <sheet name="20G" sheetId="287" r:id="rId164"/>
    <sheet name="20H" sheetId="288" r:id="rId165"/>
    <sheet name="20I" sheetId="289" r:id="rId166"/>
    <sheet name="20J" sheetId="290" r:id="rId167"/>
    <sheet name="20K" sheetId="291" r:id="rId168"/>
    <sheet name="21A" sheetId="292" r:id="rId169"/>
    <sheet name="21B" sheetId="293" r:id="rId170"/>
    <sheet name="21C" sheetId="294" r:id="rId171"/>
    <sheet name="21D" sheetId="295" r:id="rId172"/>
    <sheet name="21E" sheetId="296" r:id="rId173"/>
    <sheet name="21F" sheetId="297" r:id="rId174"/>
    <sheet name="21G" sheetId="298" r:id="rId175"/>
    <sheet name="21H" sheetId="299" r:id="rId176"/>
    <sheet name="21I" sheetId="300" r:id="rId177"/>
    <sheet name="21J" sheetId="301" r:id="rId178"/>
    <sheet name="21K" sheetId="302" r:id="rId179"/>
    <sheet name="22A-22G" sheetId="329" r:id="rId180"/>
    <sheet name="23A" sheetId="335" r:id="rId181"/>
    <sheet name="23B" sheetId="337" r:id="rId182"/>
  </sheets>
  <definedNames>
    <definedName name="_xlnm.Print_Area" localSheetId="121">'10A'!$A$1:$E$64</definedName>
    <definedName name="_xlnm.Print_Area" localSheetId="124">'11A'!$A$1:$F$17</definedName>
    <definedName name="_xlnm.Print_Area" localSheetId="127">'13A-13H'!$A$1:$G$234</definedName>
    <definedName name="_xlnm.Print_Area" localSheetId="128">'14A-14H'!$A$1:$G$234</definedName>
    <definedName name="_xlnm.Print_Area" localSheetId="129">'15A'!$A$1:$P$25</definedName>
    <definedName name="_xlnm.Print_Area" localSheetId="130">'15B'!$A$1:$P$25</definedName>
    <definedName name="_xlnm.Print_Area" localSheetId="131">'16A'!$A$1:$D$27</definedName>
    <definedName name="_xlnm.Print_Area" localSheetId="135">'18A'!$A$1:$U$27</definedName>
    <definedName name="_xlnm.Print_Area" localSheetId="136">'18B'!$A$1:$U$27</definedName>
    <definedName name="_xlnm.Print_Area" localSheetId="137">'18C'!$A$1:$U$27</definedName>
    <definedName name="_xlnm.Print_Area" localSheetId="138">'18D'!$A$1:$U$27</definedName>
    <definedName name="_xlnm.Print_Area" localSheetId="139">'18E'!$A$1:$U$27</definedName>
    <definedName name="_xlnm.Print_Area" localSheetId="140">'18F'!$A$1:$U$27</definedName>
    <definedName name="_xlnm.Print_Area" localSheetId="141">'18G'!$A$1:$U$27</definedName>
    <definedName name="_xlnm.Print_Area" localSheetId="142">'18H'!$A$1:$U$27</definedName>
    <definedName name="_xlnm.Print_Area" localSheetId="143">'18I'!$A$1:$U$27</definedName>
    <definedName name="_xlnm.Print_Area" localSheetId="144">'18J'!$A$1:$U$27</definedName>
    <definedName name="_xlnm.Print_Area" localSheetId="145">'18K'!$A$1:$U$27</definedName>
    <definedName name="_xlnm.Print_Area" localSheetId="146">'19A'!$A$1:$K$38</definedName>
    <definedName name="_xlnm.Print_Area" localSheetId="147">'19B'!$A$1:$K$38</definedName>
    <definedName name="_xlnm.Print_Area" localSheetId="150">'19E'!$A$1:$K$38</definedName>
    <definedName name="_xlnm.Print_Area" localSheetId="152">'19G'!$A$1:$K$38</definedName>
    <definedName name="_xlnm.Print_Area" localSheetId="155">'19J'!$A$1:$K$38</definedName>
    <definedName name="_xlnm.Print_Area" localSheetId="156">'19K'!$A$1:$K$39</definedName>
    <definedName name="_xlnm.Print_Area" localSheetId="1">'1A'!$A$1:$U$55</definedName>
    <definedName name="_xlnm.Print_Area" localSheetId="2">'1B'!$A$1:$U$55</definedName>
    <definedName name="_xlnm.Print_Area" localSheetId="3">'1C'!$A$1:$U$47</definedName>
    <definedName name="_xlnm.Print_Area" localSheetId="4">'1D'!$A$1:$U$47</definedName>
    <definedName name="_xlnm.Print_Area" localSheetId="5">'1E'!$A$1:$K$42</definedName>
    <definedName name="_xlnm.Print_Area" localSheetId="6">'1F'!$A$1:$K$42</definedName>
    <definedName name="_xlnm.Print_Area" localSheetId="7">'1G'!$A$1:$U$47</definedName>
    <definedName name="_xlnm.Print_Area" localSheetId="8">'1H'!$A$1:$U$47</definedName>
    <definedName name="_xlnm.Print_Area" localSheetId="9">'1I'!$A$1:$J$40</definedName>
    <definedName name="_xlnm.Print_Area" localSheetId="10">'1J'!$A$1:$J$40</definedName>
    <definedName name="_xlnm.Print_Area" localSheetId="179">'22A-22G'!$A$1:$Y$212</definedName>
    <definedName name="_xlnm.Print_Area" localSheetId="180">'23A'!$A$1:$P$51</definedName>
    <definedName name="_xlnm.Print_Area" localSheetId="181">'23B'!$A$1:$P$51</definedName>
    <definedName name="_xlnm.Print_Area" localSheetId="11">'2A'!$A$1:$K$45</definedName>
    <definedName name="_xlnm.Print_Area" localSheetId="12">'2B'!$A$1:$K$47</definedName>
    <definedName name="_xlnm.Print_Area" localSheetId="13">'2C'!$A$1:$K$42</definedName>
    <definedName name="_xlnm.Print_Area" localSheetId="14">'2D'!$A$1:$K$42</definedName>
    <definedName name="_xlnm.Print_Area" localSheetId="15">'2E'!$A$1:$K$42</definedName>
    <definedName name="_xlnm.Print_Area" localSheetId="16">'2F'!$A$1:$K$42</definedName>
    <definedName name="_xlnm.Print_Area" localSheetId="19">'2I'!$A$1:$J$25</definedName>
    <definedName name="_xlnm.Print_Area" localSheetId="20">'2J'!$A$1:$J$25</definedName>
    <definedName name="_xlnm.Print_Area" localSheetId="23">'2M'!$A$1:$J$46</definedName>
    <definedName name="_xlnm.Print_Area" localSheetId="24">'2N'!$A$1:$J$47</definedName>
    <definedName name="_xlnm.Print_Area" localSheetId="25">'2O'!$A$1:$K$30</definedName>
    <definedName name="_xlnm.Print_Area" localSheetId="26">'2P'!$A$1:$K$30</definedName>
    <definedName name="_xlnm.Print_Area" localSheetId="27">'3A'!$A$1:$K$31</definedName>
    <definedName name="_xlnm.Print_Area" localSheetId="28">'3B'!$A$1:$K$31</definedName>
    <definedName name="_xlnm.Print_Area" localSheetId="29">'3C'!$A$1:$K$31</definedName>
    <definedName name="_xlnm.Print_Area" localSheetId="30">'3D'!$A$1:$K$31</definedName>
    <definedName name="_xlnm.Print_Area" localSheetId="31">'3E'!$A$1:$K$31</definedName>
    <definedName name="_xlnm.Print_Area" localSheetId="32">'3F'!$A$1:$K$31</definedName>
    <definedName name="_xlnm.Print_Area" localSheetId="33">'4A'!$A$1:$N$30</definedName>
    <definedName name="_xlnm.Print_Area" localSheetId="34">'4B'!$A$1:$N$30</definedName>
    <definedName name="_xlnm.Print_Area" localSheetId="35">'4C'!$A$1:$N$24</definedName>
    <definedName name="_xlnm.Print_Area" localSheetId="36">'4D'!$A$1:$N$24</definedName>
    <definedName name="_xlnm.Print_Area" localSheetId="37">'4E'!$A$1:$K$31</definedName>
    <definedName name="_xlnm.Print_Area" localSheetId="38">'4F'!$A$1:$K$31</definedName>
    <definedName name="_xlnm.Print_Area" localSheetId="39">'4G'!$A$1:$K$30</definedName>
    <definedName name="_xlnm.Print_Area" localSheetId="40">'4H'!$A$1:$K$30</definedName>
    <definedName name="_xlnm.Print_Area" localSheetId="41">'4I'!$A$1:$N$29</definedName>
    <definedName name="_xlnm.Print_Area" localSheetId="42">'4J'!$A$1:$N$29</definedName>
    <definedName name="_xlnm.Print_Area" localSheetId="43">'4K'!$A$1:$N$24</definedName>
    <definedName name="_xlnm.Print_Area" localSheetId="44">'4L'!$A$1:$N$24</definedName>
    <definedName name="_xlnm.Print_Area" localSheetId="45">'4M'!$A$1:$AN$31</definedName>
    <definedName name="_xlnm.Print_Area" localSheetId="46">'4N'!$A$1:$AN$31</definedName>
    <definedName name="_xlnm.Print_Area" localSheetId="47">'4O'!$A$1:$M$29</definedName>
    <definedName name="_xlnm.Print_Area" localSheetId="48">'4P'!$A$1:$M$29</definedName>
    <definedName name="_xlnm.Print_Area" localSheetId="49">'4Q'!$A$1:$M$24</definedName>
    <definedName name="_xlnm.Print_Area" localSheetId="50">'4R'!$A$1:$M$24</definedName>
    <definedName name="_xlnm.Print_Area" localSheetId="51">'5A'!$A$1:$K$30</definedName>
    <definedName name="_xlnm.Print_Area" localSheetId="52">'5B'!$A$1:$K$30</definedName>
    <definedName name="_xlnm.Print_Area" localSheetId="53">'6A'!$A$1:$P$70</definedName>
    <definedName name="_xlnm.Print_Area" localSheetId="54">'6B'!$A$1:$P$71</definedName>
    <definedName name="_xlnm.Print_Area" localSheetId="55">'6C'!$A$1:$K$65</definedName>
    <definedName name="_xlnm.Print_Area" localSheetId="56">'6D'!$A$1:$K$65</definedName>
    <definedName name="_xlnm.Print_Area" localSheetId="57">'6E'!$A$1:$K$42</definedName>
    <definedName name="_xlnm.Print_Area" localSheetId="58">'6F'!$A$1:$K$42</definedName>
    <definedName name="_xlnm.Print_Area" localSheetId="59">'6G'!$A$1:$K$29</definedName>
    <definedName name="_xlnm.Print_Area" localSheetId="60">'6H'!$A$1:$K$29</definedName>
    <definedName name="_xlnm.Print_Area" localSheetId="61">'6I'!$A$1:$E$65</definedName>
    <definedName name="_xlnm.Print_Area" localSheetId="62">'6J'!$A$1:$E$65</definedName>
    <definedName name="_xlnm.Print_Area" localSheetId="63">'7A'!$A$1:$P$70</definedName>
    <definedName name="_xlnm.Print_Area" localSheetId="89">'7AA'!$A$1:$K$70</definedName>
    <definedName name="_xlnm.Print_Area" localSheetId="90">'7AB'!$A$1:$K$70</definedName>
    <definedName name="_xlnm.Print_Area" localSheetId="91">'7AC'!$A$1:$K$70</definedName>
    <definedName name="_xlnm.Print_Area" localSheetId="92">'7AD'!$A$1:$K$70</definedName>
    <definedName name="_xlnm.Print_Area" localSheetId="93">'7AE'!$A$1:$F$31</definedName>
    <definedName name="_xlnm.Print_Area" localSheetId="94">'7AF'!$A$1:$F$31</definedName>
    <definedName name="_xlnm.Print_Area" localSheetId="64">'7B'!$A$1:$P$70</definedName>
    <definedName name="_xlnm.Print_Area" localSheetId="65">'7C'!$A$1:$P$70</definedName>
    <definedName name="_xlnm.Print_Area" localSheetId="66">'7D'!$A$1:$P$70</definedName>
    <definedName name="_xlnm.Print_Area" localSheetId="67">'7E'!$A$1:$P$70</definedName>
    <definedName name="_xlnm.Print_Area" localSheetId="68">'7F'!$A$1:$P$70</definedName>
    <definedName name="_xlnm.Print_Area" localSheetId="69">'7G'!$A$1:$P$70</definedName>
    <definedName name="_xlnm.Print_Area" localSheetId="70">'7H'!$A$1:$P$70</definedName>
    <definedName name="_xlnm.Print_Area" localSheetId="71">'7I'!$A$1:$P$71</definedName>
    <definedName name="_xlnm.Print_Area" localSheetId="72">'7J'!$A$1:$P$71</definedName>
    <definedName name="_xlnm.Print_Area" localSheetId="73">'7K'!$A$1:$P$70</definedName>
    <definedName name="_xlnm.Print_Area" localSheetId="74">'7L'!$A$1:$P$70</definedName>
    <definedName name="_xlnm.Print_Area" localSheetId="75">'7M'!$A$1:$P$70</definedName>
    <definedName name="_xlnm.Print_Area" localSheetId="76">'7N'!$A$1:$P$70</definedName>
    <definedName name="_xlnm.Print_Area" localSheetId="77">'7O'!$A$1:$P$70</definedName>
    <definedName name="_xlnm.Print_Area" localSheetId="78">'7P'!$A$1:$P$70</definedName>
    <definedName name="_xlnm.Print_Area" localSheetId="79">'7Q'!$A$1:$P$70</definedName>
    <definedName name="_xlnm.Print_Area" localSheetId="80">'7R'!$A$1:$P$70</definedName>
    <definedName name="_xlnm.Print_Area" localSheetId="81">'7S'!$A$1:$P$70</definedName>
    <definedName name="_xlnm.Print_Area" localSheetId="82">'7T'!$A$1:$P$70</definedName>
    <definedName name="_xlnm.Print_Area" localSheetId="83">'7U'!$A$1:$K$70</definedName>
    <definedName name="_xlnm.Print_Area" localSheetId="84">'7V'!$A$1:$K$70</definedName>
    <definedName name="_xlnm.Print_Area" localSheetId="85">'7W'!$A$1:$K$70</definedName>
    <definedName name="_xlnm.Print_Area" localSheetId="86">'7X'!$A$1:$K$70</definedName>
    <definedName name="_xlnm.Print_Area" localSheetId="87">'7Y'!$A$1:$K$70</definedName>
    <definedName name="_xlnm.Print_Area" localSheetId="88">'7Z'!$A$1:$K$70</definedName>
    <definedName name="_xlnm.Print_Area" localSheetId="95">'8A'!$A$1:$G$40</definedName>
    <definedName name="_xlnm.Print_Area" localSheetId="96">'8B'!$A$1:$G$40</definedName>
    <definedName name="_xlnm.Print_Area" localSheetId="97">'8C'!$A$1:$Y$40</definedName>
    <definedName name="_xlnm.Print_Area" localSheetId="98">'8D'!$A$1:$Y$40</definedName>
    <definedName name="_xlnm.Print_Area" localSheetId="99">'8E'!$A$1:$S$40</definedName>
    <definedName name="_xlnm.Print_Area" localSheetId="100">'8F'!$A$1:$S$40</definedName>
    <definedName name="_xlnm.Print_Area" localSheetId="101">'8G'!$A$1:$E$34</definedName>
    <definedName name="_xlnm.Print_Area" localSheetId="102">'8H'!$A$1:$E$34</definedName>
    <definedName name="_xlnm.Print_Area" localSheetId="103">'8I'!$A$1:$X$35</definedName>
    <definedName name="_xlnm.Print_Area" localSheetId="104">'8J'!$A$1:$X$35</definedName>
    <definedName name="_xlnm.Print_Area" localSheetId="105">'8K'!$A$1:$W$35</definedName>
    <definedName name="_xlnm.Print_Area" localSheetId="106">'8L'!$A$1:$W$35</definedName>
    <definedName name="_xlnm.Print_Area" localSheetId="107">'8M'!$A$1:$S$22</definedName>
    <definedName name="_xlnm.Print_Area" localSheetId="108">'8N'!$A$1:$S$22</definedName>
    <definedName name="_xlnm.Print_Area" localSheetId="0">'List of Tables'!$A$1:$D$224</definedName>
    <definedName name="_xlnm.Print_Area" localSheetId="134">'Provincial Summary'!$A$1:$AT$58</definedName>
    <definedName name="_xlnm.Print_Titles" localSheetId="95">'8A'!$1:$1</definedName>
    <definedName name="_xlnm.Print_Titles" localSheetId="96">'8B'!$1:$1</definedName>
    <definedName name="_xlnm.Print_Titles" localSheetId="97">'8C'!$1:$1</definedName>
    <definedName name="_xlnm.Print_Titles" localSheetId="98">'8D'!$1:$1</definedName>
    <definedName name="_xlnm.Print_Titles" localSheetId="99">'8E'!$1:$1</definedName>
    <definedName name="_xlnm.Print_Titles" localSheetId="100">'8F'!$1:$1</definedName>
    <definedName name="_xlnm.Print_Titles" localSheetId="101">'8G'!$1:$1</definedName>
    <definedName name="_xlnm.Print_Titles" localSheetId="102">'8H'!$1:$1</definedName>
    <definedName name="_xlnm.Print_Titles" localSheetId="103">'8I'!$1:$1</definedName>
    <definedName name="_xlnm.Print_Titles" localSheetId="104">'8J'!$1:$1</definedName>
    <definedName name="_xlnm.Print_Titles" localSheetId="105">'8K'!$1:$1</definedName>
    <definedName name="_xlnm.Print_Titles" localSheetId="106">'8L'!$1:$1</definedName>
  </definedNames>
  <calcPr calcId="125725"/>
</workbook>
</file>

<file path=xl/calcChain.xml><?xml version="1.0" encoding="utf-8"?>
<calcChain xmlns="http://schemas.openxmlformats.org/spreadsheetml/2006/main">
  <c r="E7" i="167"/>
  <c r="D17" i="141"/>
  <c r="E17"/>
  <c r="F17"/>
  <c r="G17"/>
  <c r="H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B18"/>
  <c r="B19"/>
  <c r="B20"/>
  <c r="B21"/>
  <c r="B22"/>
  <c r="B23"/>
  <c r="B24"/>
  <c r="B25"/>
  <c r="B26"/>
  <c r="B27"/>
  <c r="B28"/>
  <c r="B29"/>
  <c r="B30"/>
  <c r="B31"/>
  <c r="B32"/>
  <c r="B33"/>
  <c r="F24" i="133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24" i="131"/>
  <c r="G24"/>
  <c r="H24"/>
  <c r="F25"/>
  <c r="G25"/>
  <c r="H25"/>
  <c r="F26"/>
  <c r="G26"/>
  <c r="H26"/>
  <c r="F27"/>
  <c r="G27"/>
  <c r="H27"/>
  <c r="F24" i="132"/>
  <c r="G24"/>
  <c r="H24"/>
  <c r="F25"/>
  <c r="G25"/>
  <c r="H25"/>
  <c r="F26"/>
  <c r="G26"/>
  <c r="H26"/>
  <c r="F27"/>
  <c r="G27"/>
  <c r="H27"/>
  <c r="F24" i="167"/>
  <c r="G24"/>
  <c r="H24"/>
  <c r="F25"/>
  <c r="G25"/>
  <c r="H25"/>
  <c r="F26"/>
  <c r="G26"/>
  <c r="H26"/>
  <c r="F27"/>
  <c r="G27"/>
  <c r="H27"/>
  <c r="F24" i="166"/>
  <c r="G24"/>
  <c r="H24"/>
  <c r="F25"/>
  <c r="G25"/>
  <c r="H25"/>
  <c r="F26"/>
  <c r="G26"/>
  <c r="H26"/>
  <c r="F27"/>
  <c r="G27"/>
  <c r="H27"/>
  <c r="E36" i="223"/>
  <c r="F36"/>
  <c r="G36"/>
  <c r="E37"/>
  <c r="F37"/>
  <c r="G37"/>
  <c r="E38"/>
  <c r="F38"/>
  <c r="G38"/>
  <c r="E39"/>
  <c r="F39"/>
  <c r="G39"/>
  <c r="F24" i="134"/>
  <c r="G24"/>
  <c r="H24"/>
  <c r="I24"/>
  <c r="J24"/>
  <c r="K24"/>
  <c r="F25"/>
  <c r="G25"/>
  <c r="H25"/>
  <c r="I25"/>
  <c r="J25"/>
  <c r="K25"/>
  <c r="F26"/>
  <c r="G26"/>
  <c r="H26"/>
  <c r="I26"/>
  <c r="J26"/>
  <c r="K26"/>
  <c r="F27"/>
  <c r="G27"/>
  <c r="H27"/>
  <c r="I27"/>
  <c r="J27"/>
  <c r="K27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F4"/>
  <c r="F5"/>
  <c r="F6"/>
  <c r="F7"/>
  <c r="F8"/>
  <c r="F9"/>
  <c r="F10"/>
  <c r="F11"/>
  <c r="F12"/>
  <c r="F13"/>
  <c r="G4" i="167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F4"/>
  <c r="F5"/>
  <c r="F6"/>
  <c r="F7"/>
  <c r="F8"/>
  <c r="F9"/>
  <c r="F10"/>
  <c r="F11"/>
  <c r="F12"/>
  <c r="F13"/>
  <c r="G4" i="166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F4"/>
  <c r="F5"/>
  <c r="F6"/>
  <c r="F7"/>
  <c r="F8"/>
  <c r="F9"/>
  <c r="F10"/>
  <c r="F11"/>
  <c r="F12"/>
  <c r="F13"/>
  <c r="C12" i="259"/>
  <c r="C16"/>
  <c r="C15"/>
  <c r="C14"/>
  <c r="C13"/>
  <c r="B7" i="331" l="1"/>
  <c r="B8"/>
  <c r="B9"/>
  <c r="B10"/>
  <c r="B11"/>
  <c r="B12"/>
  <c r="B13"/>
  <c r="B14"/>
  <c r="B15"/>
  <c r="B16"/>
  <c r="B17"/>
  <c r="B18"/>
  <c r="B19"/>
  <c r="B20"/>
  <c r="B21"/>
  <c r="B22"/>
  <c r="B23"/>
  <c r="B208" i="330"/>
  <c r="A125" i="165"/>
  <c r="K4" i="350"/>
  <c r="L4"/>
  <c r="M4"/>
  <c r="N4"/>
  <c r="O4"/>
  <c r="P4"/>
  <c r="Q4"/>
  <c r="K5"/>
  <c r="L5"/>
  <c r="M5"/>
  <c r="N5"/>
  <c r="O5"/>
  <c r="K6"/>
  <c r="L6"/>
  <c r="M6"/>
  <c r="N6"/>
  <c r="O6"/>
  <c r="K7"/>
  <c r="L7"/>
  <c r="M7"/>
  <c r="N7"/>
  <c r="O7"/>
  <c r="K8"/>
  <c r="L8"/>
  <c r="M8"/>
  <c r="N8"/>
  <c r="O8"/>
  <c r="K9"/>
  <c r="L9"/>
  <c r="M9"/>
  <c r="N9"/>
  <c r="O9"/>
  <c r="K10"/>
  <c r="L10"/>
  <c r="M10"/>
  <c r="N10"/>
  <c r="O10"/>
  <c r="K11"/>
  <c r="L11"/>
  <c r="M11"/>
  <c r="N11"/>
  <c r="O11"/>
  <c r="K12"/>
  <c r="L12"/>
  <c r="M12"/>
  <c r="N12"/>
  <c r="O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C4"/>
  <c r="D4"/>
  <c r="E4"/>
  <c r="F4"/>
  <c r="G4"/>
  <c r="H4"/>
  <c r="C5"/>
  <c r="D5"/>
  <c r="E5"/>
  <c r="F5"/>
  <c r="G5"/>
  <c r="H5"/>
  <c r="C6"/>
  <c r="D6"/>
  <c r="E6"/>
  <c r="F6"/>
  <c r="G6"/>
  <c r="H6"/>
  <c r="C7"/>
  <c r="D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G11"/>
  <c r="C12"/>
  <c r="D12"/>
  <c r="E12"/>
  <c r="G12"/>
  <c r="C13"/>
  <c r="D13"/>
  <c r="E13"/>
  <c r="F13"/>
  <c r="G13"/>
  <c r="H13"/>
  <c r="C14"/>
  <c r="D14"/>
  <c r="E14"/>
  <c r="G14"/>
  <c r="B5"/>
  <c r="B6"/>
  <c r="B7"/>
  <c r="B8"/>
  <c r="B9"/>
  <c r="B10"/>
  <c r="B11"/>
  <c r="B12"/>
  <c r="B13"/>
  <c r="B14"/>
  <c r="B15"/>
  <c r="B16"/>
  <c r="B4"/>
  <c r="O5" i="154"/>
  <c r="O6"/>
  <c r="O7"/>
  <c r="O8"/>
  <c r="O9"/>
  <c r="O10"/>
  <c r="O11"/>
  <c r="O12"/>
  <c r="O13"/>
  <c r="O14"/>
  <c r="O15"/>
  <c r="O16"/>
  <c r="O4"/>
  <c r="G5"/>
  <c r="G6"/>
  <c r="G8"/>
  <c r="G9"/>
  <c r="G10"/>
  <c r="G11"/>
  <c r="G12"/>
  <c r="G13"/>
  <c r="G14"/>
  <c r="G4"/>
  <c r="B24" i="281"/>
  <c r="B23"/>
  <c r="B22"/>
  <c r="B21"/>
  <c r="B20"/>
  <c r="D32" i="271"/>
  <c r="E32"/>
  <c r="D33"/>
  <c r="E33"/>
  <c r="F33"/>
  <c r="D34"/>
  <c r="E34"/>
  <c r="F34"/>
  <c r="C35"/>
  <c r="D35"/>
  <c r="E35"/>
  <c r="F35"/>
  <c r="G35"/>
  <c r="H35"/>
  <c r="I35"/>
  <c r="J35"/>
  <c r="K35"/>
  <c r="D36"/>
  <c r="E36"/>
  <c r="D32" i="272"/>
  <c r="D33"/>
  <c r="D34"/>
  <c r="C35"/>
  <c r="D35"/>
  <c r="E35"/>
  <c r="F35"/>
  <c r="G35"/>
  <c r="H35"/>
  <c r="I35"/>
  <c r="J35"/>
  <c r="K35"/>
  <c r="D36"/>
  <c r="D32" i="273"/>
  <c r="E32"/>
  <c r="F32"/>
  <c r="D33"/>
  <c r="E33"/>
  <c r="G33"/>
  <c r="D34"/>
  <c r="E34"/>
  <c r="G34"/>
  <c r="C35"/>
  <c r="D35"/>
  <c r="E35"/>
  <c r="F35"/>
  <c r="G35"/>
  <c r="H35"/>
  <c r="I35"/>
  <c r="J35"/>
  <c r="K35"/>
  <c r="D36"/>
  <c r="E36"/>
  <c r="D32" i="274"/>
  <c r="E32"/>
  <c r="F32"/>
  <c r="G32"/>
  <c r="H32"/>
  <c r="D33"/>
  <c r="E33"/>
  <c r="D34"/>
  <c r="E34"/>
  <c r="C35"/>
  <c r="D35"/>
  <c r="E35"/>
  <c r="F35"/>
  <c r="G35"/>
  <c r="H35"/>
  <c r="I35"/>
  <c r="J35"/>
  <c r="K35"/>
  <c r="D36"/>
  <c r="E36"/>
  <c r="H36"/>
  <c r="C32" i="275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2" i="276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2" i="277"/>
  <c r="D32"/>
  <c r="E32"/>
  <c r="G32"/>
  <c r="I32"/>
  <c r="D33"/>
  <c r="E33"/>
  <c r="G33"/>
  <c r="D34"/>
  <c r="E34"/>
  <c r="G34"/>
  <c r="C35"/>
  <c r="D35"/>
  <c r="E35"/>
  <c r="F35"/>
  <c r="G35"/>
  <c r="H35"/>
  <c r="I35"/>
  <c r="J35"/>
  <c r="K35"/>
  <c r="D36"/>
  <c r="E36"/>
  <c r="G36"/>
  <c r="C32" i="278"/>
  <c r="D32"/>
  <c r="E32"/>
  <c r="G32"/>
  <c r="I32"/>
  <c r="D33"/>
  <c r="E33"/>
  <c r="G33"/>
  <c r="P34" i="258"/>
  <c r="D34" i="278"/>
  <c r="E34"/>
  <c r="G34"/>
  <c r="C35"/>
  <c r="D35"/>
  <c r="E35"/>
  <c r="G35"/>
  <c r="H35"/>
  <c r="I35"/>
  <c r="J35"/>
  <c r="K35"/>
  <c r="D36"/>
  <c r="E36"/>
  <c r="G36"/>
  <c r="C32" i="279"/>
  <c r="D32"/>
  <c r="E32"/>
  <c r="F32"/>
  <c r="G32"/>
  <c r="H32"/>
  <c r="I32"/>
  <c r="C33"/>
  <c r="D33"/>
  <c r="E33"/>
  <c r="G33"/>
  <c r="I33"/>
  <c r="C34"/>
  <c r="D34"/>
  <c r="E34"/>
  <c r="S35" i="258"/>
  <c r="G34" i="279"/>
  <c r="I34"/>
  <c r="C35"/>
  <c r="D35"/>
  <c r="E35"/>
  <c r="F35"/>
  <c r="G35"/>
  <c r="H35"/>
  <c r="I35"/>
  <c r="J35"/>
  <c r="K35"/>
  <c r="C36"/>
  <c r="D36"/>
  <c r="E36"/>
  <c r="F36"/>
  <c r="G36"/>
  <c r="H36"/>
  <c r="I36"/>
  <c r="C32" i="280"/>
  <c r="D32"/>
  <c r="E32"/>
  <c r="F32"/>
  <c r="G32"/>
  <c r="H32"/>
  <c r="I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C32" i="270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B36" i="271"/>
  <c r="B36" i="272"/>
  <c r="B36" i="273"/>
  <c r="B36" i="274"/>
  <c r="B36" i="275"/>
  <c r="B36" i="276"/>
  <c r="B36" i="277"/>
  <c r="B36" i="278"/>
  <c r="B36" i="279"/>
  <c r="B36" i="280"/>
  <c r="B36" i="270"/>
  <c r="B35" i="271"/>
  <c r="B35" i="272"/>
  <c r="B35" i="273"/>
  <c r="B35" i="274"/>
  <c r="B35" i="275"/>
  <c r="B35" i="276"/>
  <c r="B35" i="277"/>
  <c r="B35" i="278"/>
  <c r="B35" i="279"/>
  <c r="B35" i="280"/>
  <c r="B35" i="270"/>
  <c r="B34" i="271"/>
  <c r="B34" i="272"/>
  <c r="B34" i="273"/>
  <c r="B34" i="274"/>
  <c r="B34" i="275"/>
  <c r="B34" i="276"/>
  <c r="B34" i="277"/>
  <c r="B34" i="278"/>
  <c r="B34" i="279"/>
  <c r="B34" i="280"/>
  <c r="B34" i="270"/>
  <c r="B33" i="271"/>
  <c r="B33" i="272"/>
  <c r="B33" i="273"/>
  <c r="B33" i="274"/>
  <c r="B33" i="275"/>
  <c r="B33" i="276"/>
  <c r="B33" i="277"/>
  <c r="B33" i="278"/>
  <c r="B33" i="279"/>
  <c r="B33" i="280"/>
  <c r="B33" i="270"/>
  <c r="B32" i="271"/>
  <c r="B32" i="272"/>
  <c r="B32" i="273"/>
  <c r="B32" i="274"/>
  <c r="B32" i="275"/>
  <c r="B32" i="276"/>
  <c r="B32" i="277"/>
  <c r="B32" i="278"/>
  <c r="B32" i="279"/>
  <c r="B32" i="280"/>
  <c r="B32" i="270"/>
  <c r="P27" i="258"/>
  <c r="P28"/>
  <c r="P29"/>
  <c r="P30"/>
  <c r="P33"/>
  <c r="S33"/>
  <c r="S34"/>
  <c r="C22" i="286"/>
  <c r="M23" i="264"/>
  <c r="C22" i="290"/>
  <c r="E22"/>
  <c r="C16" i="266" l="1"/>
  <c r="A166" i="165"/>
  <c r="A139"/>
  <c r="A138"/>
  <c r="A137"/>
  <c r="A136"/>
  <c r="A109"/>
  <c r="A108"/>
  <c r="F11" i="149"/>
  <c r="F12"/>
  <c r="F13"/>
  <c r="F18"/>
  <c r="F19"/>
  <c r="F20"/>
  <c r="F21"/>
  <c r="F22"/>
  <c r="F23"/>
  <c r="F24"/>
  <c r="F4"/>
  <c r="F5"/>
  <c r="F6"/>
  <c r="F7"/>
  <c r="F8"/>
  <c r="F9"/>
  <c r="F10"/>
  <c r="A165" i="165"/>
  <c r="F13" i="147" l="1"/>
  <c r="F5"/>
  <c r="F6"/>
  <c r="F7"/>
  <c r="F8"/>
  <c r="F9"/>
  <c r="F10"/>
  <c r="F11"/>
  <c r="F12"/>
  <c r="F18"/>
  <c r="F19"/>
  <c r="F20"/>
  <c r="F21"/>
  <c r="F22"/>
  <c r="F23"/>
  <c r="F24"/>
  <c r="F4"/>
  <c r="F12" i="159"/>
  <c r="A135" i="165"/>
  <c r="A134"/>
  <c r="A133"/>
  <c r="A132"/>
  <c r="K26" i="190"/>
  <c r="H8" i="341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J26" s="1"/>
  <c r="H18"/>
  <c r="I18"/>
  <c r="J18"/>
  <c r="H19"/>
  <c r="I19"/>
  <c r="J19"/>
  <c r="H20"/>
  <c r="I20"/>
  <c r="J20"/>
  <c r="H21"/>
  <c r="I21"/>
  <c r="J21"/>
  <c r="H22"/>
  <c r="H27" s="1"/>
  <c r="I22"/>
  <c r="J22"/>
  <c r="I7"/>
  <c r="I25" s="1"/>
  <c r="J7"/>
  <c r="H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E8"/>
  <c r="E9"/>
  <c r="E10"/>
  <c r="E11"/>
  <c r="E12"/>
  <c r="E13"/>
  <c r="E14"/>
  <c r="E15"/>
  <c r="E16"/>
  <c r="E17"/>
  <c r="E25" s="1"/>
  <c r="E18"/>
  <c r="E19"/>
  <c r="E20"/>
  <c r="E21"/>
  <c r="E22"/>
  <c r="E7"/>
  <c r="D8"/>
  <c r="C12"/>
  <c r="D12"/>
  <c r="C19"/>
  <c r="D19"/>
  <c r="B11"/>
  <c r="B12"/>
  <c r="B13"/>
  <c r="B14"/>
  <c r="B15"/>
  <c r="B16"/>
  <c r="B17"/>
  <c r="B18"/>
  <c r="B19"/>
  <c r="B20"/>
  <c r="B21"/>
  <c r="B22"/>
  <c r="B27" s="1"/>
  <c r="B7"/>
  <c r="G8" i="340"/>
  <c r="F12"/>
  <c r="G12"/>
  <c r="F19"/>
  <c r="G19"/>
  <c r="E11"/>
  <c r="E12"/>
  <c r="E13"/>
  <c r="E14"/>
  <c r="E15"/>
  <c r="E16"/>
  <c r="E17"/>
  <c r="E18"/>
  <c r="E19"/>
  <c r="E20"/>
  <c r="E21"/>
  <c r="E22"/>
  <c r="E7"/>
  <c r="C7"/>
  <c r="C27" s="1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C26" s="1"/>
  <c r="D17"/>
  <c r="D25" s="1"/>
  <c r="C18"/>
  <c r="D18"/>
  <c r="C19"/>
  <c r="D19"/>
  <c r="C20"/>
  <c r="D20"/>
  <c r="C21"/>
  <c r="D21"/>
  <c r="C22"/>
  <c r="D22"/>
  <c r="B8"/>
  <c r="B9"/>
  <c r="B10"/>
  <c r="B11"/>
  <c r="B12"/>
  <c r="B13"/>
  <c r="B14"/>
  <c r="B15"/>
  <c r="B16"/>
  <c r="B17"/>
  <c r="B18"/>
  <c r="B19"/>
  <c r="B20"/>
  <c r="B21"/>
  <c r="B22"/>
  <c r="B7"/>
  <c r="I27" i="341"/>
  <c r="E27"/>
  <c r="E26"/>
  <c r="H25"/>
  <c r="B25"/>
  <c r="D27" i="340"/>
  <c r="C25"/>
  <c r="H26" i="339"/>
  <c r="H25"/>
  <c r="H24"/>
  <c r="I7"/>
  <c r="J7"/>
  <c r="I8"/>
  <c r="J8"/>
  <c r="I10"/>
  <c r="J10"/>
  <c r="I11"/>
  <c r="J11"/>
  <c r="I12"/>
  <c r="J12"/>
  <c r="I13"/>
  <c r="J13"/>
  <c r="I14"/>
  <c r="J14"/>
  <c r="I15"/>
  <c r="J15"/>
  <c r="I16"/>
  <c r="J16"/>
  <c r="I18"/>
  <c r="J18"/>
  <c r="H8"/>
  <c r="H9"/>
  <c r="H10"/>
  <c r="H11"/>
  <c r="H12"/>
  <c r="H13"/>
  <c r="H14"/>
  <c r="H15"/>
  <c r="H16"/>
  <c r="H17"/>
  <c r="H18"/>
  <c r="H19"/>
  <c r="H20"/>
  <c r="H21"/>
  <c r="H7"/>
  <c r="G8"/>
  <c r="G10"/>
  <c r="F12"/>
  <c r="F13"/>
  <c r="G13"/>
  <c r="F14"/>
  <c r="F15"/>
  <c r="G15"/>
  <c r="F17"/>
  <c r="G17"/>
  <c r="F19"/>
  <c r="G19"/>
  <c r="F21"/>
  <c r="G21"/>
  <c r="E9"/>
  <c r="E11"/>
  <c r="E13"/>
  <c r="E15"/>
  <c r="E16"/>
  <c r="E17"/>
  <c r="E18"/>
  <c r="E19"/>
  <c r="E20"/>
  <c r="E21"/>
  <c r="C12"/>
  <c r="C13"/>
  <c r="C16"/>
  <c r="C18"/>
  <c r="C21"/>
  <c r="D21"/>
  <c r="B17"/>
  <c r="B18"/>
  <c r="B19"/>
  <c r="B21"/>
  <c r="B26" i="340" l="1"/>
  <c r="H26" i="341"/>
  <c r="D26" i="340"/>
  <c r="B26" i="341"/>
  <c r="I26"/>
  <c r="J27"/>
  <c r="J25"/>
  <c r="B25" i="340"/>
  <c r="B27"/>
  <c r="E27"/>
  <c r="E26"/>
  <c r="E25"/>
  <c r="F12" i="338"/>
  <c r="F13"/>
  <c r="E17"/>
  <c r="E18"/>
  <c r="E19"/>
  <c r="E21"/>
  <c r="E25" s="1"/>
  <c r="C7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B8"/>
  <c r="B9"/>
  <c r="B10"/>
  <c r="B11"/>
  <c r="B12"/>
  <c r="B13"/>
  <c r="B14"/>
  <c r="B15"/>
  <c r="B16"/>
  <c r="B17"/>
  <c r="B18"/>
  <c r="B19"/>
  <c r="B20"/>
  <c r="B21"/>
  <c r="B25" s="1"/>
  <c r="B7"/>
  <c r="C25"/>
  <c r="D25"/>
  <c r="D26"/>
  <c r="B25" i="190"/>
  <c r="B27"/>
  <c r="N25" i="191"/>
  <c r="N26"/>
  <c r="N27"/>
  <c r="C36" i="3"/>
  <c r="D36"/>
  <c r="E36"/>
  <c r="F36"/>
  <c r="G36"/>
  <c r="H36"/>
  <c r="I36"/>
  <c r="J36"/>
  <c r="K36"/>
  <c r="B36"/>
  <c r="C26" i="338" l="1"/>
  <c r="B26"/>
  <c r="D24"/>
  <c r="C24"/>
  <c r="B24"/>
  <c r="C24" i="5"/>
  <c r="D24"/>
  <c r="E24"/>
  <c r="F24"/>
  <c r="G24"/>
  <c r="H24"/>
  <c r="I24"/>
  <c r="J24"/>
  <c r="K24"/>
  <c r="F24" i="82" l="1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4" i="81"/>
  <c r="G4"/>
  <c r="H4"/>
  <c r="H24" s="1"/>
  <c r="F5"/>
  <c r="G5"/>
  <c r="H5"/>
  <c r="F6"/>
  <c r="G6"/>
  <c r="H6"/>
  <c r="F7"/>
  <c r="F24" s="1"/>
  <c r="G7"/>
  <c r="G24" s="1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24" i="169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24" i="168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24" i="164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4" i="163"/>
  <c r="G4"/>
  <c r="H4"/>
  <c r="F24" i="6"/>
  <c r="G24"/>
  <c r="H24"/>
  <c r="F25"/>
  <c r="G25"/>
  <c r="H25"/>
  <c r="F26"/>
  <c r="G26"/>
  <c r="H26"/>
  <c r="F27"/>
  <c r="G27"/>
  <c r="H27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27" i="5"/>
  <c r="G27"/>
  <c r="H27"/>
  <c r="F25"/>
  <c r="G25"/>
  <c r="H25"/>
  <c r="F4"/>
  <c r="G4"/>
  <c r="H4"/>
  <c r="F5"/>
  <c r="G5"/>
  <c r="H5"/>
  <c r="F6"/>
  <c r="G6"/>
  <c r="H6"/>
  <c r="F7"/>
  <c r="G7"/>
  <c r="H7"/>
  <c r="F8"/>
  <c r="G8"/>
  <c r="H8"/>
  <c r="F9"/>
  <c r="G9"/>
  <c r="H9"/>
  <c r="F10"/>
  <c r="G10"/>
  <c r="H10"/>
  <c r="F11"/>
  <c r="G11"/>
  <c r="H11"/>
  <c r="F12"/>
  <c r="G12"/>
  <c r="H12"/>
  <c r="F13"/>
  <c r="G13"/>
  <c r="H13"/>
  <c r="F14"/>
  <c r="G14"/>
  <c r="H14"/>
  <c r="E17" i="223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37" i="222"/>
  <c r="F37"/>
  <c r="G37"/>
  <c r="E38"/>
  <c r="F38"/>
  <c r="G38"/>
  <c r="E39"/>
  <c r="F39"/>
  <c r="G39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F36" i="145"/>
  <c r="G36"/>
  <c r="H36"/>
  <c r="F37"/>
  <c r="G37"/>
  <c r="H37"/>
  <c r="F38"/>
  <c r="G38"/>
  <c r="H38"/>
  <c r="F39"/>
  <c r="G39"/>
  <c r="H39"/>
  <c r="F17"/>
  <c r="G17"/>
  <c r="H17"/>
  <c r="F18"/>
  <c r="G18"/>
  <c r="H18"/>
  <c r="F19"/>
  <c r="G19"/>
  <c r="H19"/>
  <c r="F20"/>
  <c r="G20"/>
  <c r="H20"/>
  <c r="F21"/>
  <c r="G21"/>
  <c r="H21"/>
  <c r="F22"/>
  <c r="G22"/>
  <c r="H22"/>
  <c r="F23"/>
  <c r="G23"/>
  <c r="H23"/>
  <c r="F24"/>
  <c r="G24"/>
  <c r="H24"/>
  <c r="F25"/>
  <c r="G25"/>
  <c r="H25"/>
  <c r="F26"/>
  <c r="G26"/>
  <c r="H26"/>
  <c r="F39" i="143"/>
  <c r="G39"/>
  <c r="H39"/>
  <c r="F36"/>
  <c r="G36"/>
  <c r="H36"/>
  <c r="F37"/>
  <c r="G37"/>
  <c r="H37"/>
  <c r="F17"/>
  <c r="G17"/>
  <c r="H17"/>
  <c r="F18"/>
  <c r="G18"/>
  <c r="H18"/>
  <c r="F19"/>
  <c r="G19"/>
  <c r="H19"/>
  <c r="F20"/>
  <c r="G20"/>
  <c r="H20"/>
  <c r="F21"/>
  <c r="G21"/>
  <c r="H21"/>
  <c r="F22"/>
  <c r="G22"/>
  <c r="H22"/>
  <c r="F23"/>
  <c r="G23"/>
  <c r="H23"/>
  <c r="F24"/>
  <c r="G24"/>
  <c r="H24"/>
  <c r="F25"/>
  <c r="G25"/>
  <c r="H25"/>
  <c r="F26"/>
  <c r="G26"/>
  <c r="H26"/>
  <c r="F17" i="142"/>
  <c r="G17"/>
  <c r="H17"/>
  <c r="F18"/>
  <c r="G18"/>
  <c r="H18"/>
  <c r="F19"/>
  <c r="G19"/>
  <c r="H19"/>
  <c r="F20"/>
  <c r="G20"/>
  <c r="H20"/>
  <c r="F21"/>
  <c r="G21"/>
  <c r="H21"/>
  <c r="F22"/>
  <c r="G22"/>
  <c r="H22"/>
  <c r="F23"/>
  <c r="G23"/>
  <c r="H23"/>
  <c r="F24"/>
  <c r="G24"/>
  <c r="H24"/>
  <c r="F25"/>
  <c r="G25"/>
  <c r="H25"/>
  <c r="F26"/>
  <c r="G26"/>
  <c r="H26"/>
  <c r="F36" i="141"/>
  <c r="G36"/>
  <c r="H36"/>
  <c r="C36" i="4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18"/>
  <c r="C19"/>
  <c r="C20"/>
  <c r="C21"/>
  <c r="C22"/>
  <c r="C23"/>
  <c r="C24"/>
  <c r="C25"/>
  <c r="C26"/>
  <c r="C27"/>
  <c r="C24" i="145" s="1"/>
  <c r="C28" i="4"/>
  <c r="C29"/>
  <c r="C30"/>
  <c r="C31"/>
  <c r="C32"/>
  <c r="C33"/>
  <c r="C17"/>
  <c r="C37" i="3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18"/>
  <c r="C19"/>
  <c r="C20"/>
  <c r="C21"/>
  <c r="C22"/>
  <c r="C23"/>
  <c r="C24"/>
  <c r="C25"/>
  <c r="C26"/>
  <c r="C27"/>
  <c r="C28"/>
  <c r="C29"/>
  <c r="C30"/>
  <c r="C31"/>
  <c r="C32"/>
  <c r="C33"/>
  <c r="C4" i="286"/>
  <c r="D4"/>
  <c r="E4"/>
  <c r="F4"/>
  <c r="G4"/>
  <c r="H4"/>
  <c r="I4"/>
  <c r="J4"/>
  <c r="K4"/>
  <c r="D5"/>
  <c r="E5"/>
  <c r="F5"/>
  <c r="G5"/>
  <c r="H5"/>
  <c r="I5"/>
  <c r="J5"/>
  <c r="K5"/>
  <c r="D6"/>
  <c r="E6"/>
  <c r="F6"/>
  <c r="G6"/>
  <c r="H6"/>
  <c r="I6"/>
  <c r="J6"/>
  <c r="K6"/>
  <c r="D7"/>
  <c r="E7"/>
  <c r="F7"/>
  <c r="G7"/>
  <c r="H7"/>
  <c r="I7"/>
  <c r="J7"/>
  <c r="K7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J10"/>
  <c r="K10"/>
  <c r="D11"/>
  <c r="E11"/>
  <c r="F11"/>
  <c r="G11"/>
  <c r="H11"/>
  <c r="I11"/>
  <c r="J11"/>
  <c r="K11"/>
  <c r="D12"/>
  <c r="E12"/>
  <c r="F12"/>
  <c r="G12"/>
  <c r="H12"/>
  <c r="I12"/>
  <c r="J12"/>
  <c r="K12"/>
  <c r="D13"/>
  <c r="E13"/>
  <c r="F13"/>
  <c r="G13"/>
  <c r="H13"/>
  <c r="I13"/>
  <c r="J13"/>
  <c r="K13"/>
  <c r="D14"/>
  <c r="E14"/>
  <c r="F14"/>
  <c r="G14"/>
  <c r="H14"/>
  <c r="I14"/>
  <c r="J14"/>
  <c r="K14"/>
  <c r="D15"/>
  <c r="E15"/>
  <c r="F15"/>
  <c r="G15"/>
  <c r="H15"/>
  <c r="I15"/>
  <c r="J15"/>
  <c r="K15"/>
  <c r="D16"/>
  <c r="E16"/>
  <c r="F16"/>
  <c r="G16"/>
  <c r="H16"/>
  <c r="I16"/>
  <c r="J16"/>
  <c r="K16"/>
  <c r="D17"/>
  <c r="E17"/>
  <c r="F17"/>
  <c r="G17"/>
  <c r="H17"/>
  <c r="I17"/>
  <c r="J17"/>
  <c r="K17"/>
  <c r="D4" i="287"/>
  <c r="E4"/>
  <c r="F4"/>
  <c r="G4"/>
  <c r="H4"/>
  <c r="I4"/>
  <c r="J4"/>
  <c r="K4"/>
  <c r="D5"/>
  <c r="E5"/>
  <c r="F5"/>
  <c r="G5"/>
  <c r="H5"/>
  <c r="I5"/>
  <c r="J5"/>
  <c r="K5"/>
  <c r="D6"/>
  <c r="E6"/>
  <c r="F6"/>
  <c r="G6"/>
  <c r="H6"/>
  <c r="I6"/>
  <c r="J6"/>
  <c r="K6"/>
  <c r="C7"/>
  <c r="D7"/>
  <c r="E7"/>
  <c r="F7"/>
  <c r="G7"/>
  <c r="H7"/>
  <c r="I7"/>
  <c r="J7"/>
  <c r="K7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J10"/>
  <c r="K10"/>
  <c r="D11"/>
  <c r="E11"/>
  <c r="F11"/>
  <c r="G11"/>
  <c r="H11"/>
  <c r="I11"/>
  <c r="J11"/>
  <c r="K11"/>
  <c r="D12"/>
  <c r="E12"/>
  <c r="F12"/>
  <c r="G12"/>
  <c r="H12"/>
  <c r="I12"/>
  <c r="J12"/>
  <c r="K12"/>
  <c r="D13"/>
  <c r="E13"/>
  <c r="F13"/>
  <c r="G13"/>
  <c r="H13"/>
  <c r="I13"/>
  <c r="J13"/>
  <c r="K13"/>
  <c r="D14"/>
  <c r="E14"/>
  <c r="F14"/>
  <c r="G14"/>
  <c r="H14"/>
  <c r="I14"/>
  <c r="J14"/>
  <c r="K14"/>
  <c r="D15"/>
  <c r="E15"/>
  <c r="F15"/>
  <c r="G15"/>
  <c r="H15"/>
  <c r="I15"/>
  <c r="J15"/>
  <c r="K15"/>
  <c r="D16"/>
  <c r="E16"/>
  <c r="F16"/>
  <c r="G16"/>
  <c r="H16"/>
  <c r="I16"/>
  <c r="J16"/>
  <c r="K16"/>
  <c r="D17"/>
  <c r="E17"/>
  <c r="F17"/>
  <c r="G17"/>
  <c r="H17"/>
  <c r="I17"/>
  <c r="J17"/>
  <c r="K17"/>
  <c r="D4" i="288"/>
  <c r="E4"/>
  <c r="F4"/>
  <c r="G4"/>
  <c r="H4"/>
  <c r="I4"/>
  <c r="D5"/>
  <c r="E5"/>
  <c r="F5"/>
  <c r="G5"/>
  <c r="H5"/>
  <c r="I5"/>
  <c r="C6"/>
  <c r="D6"/>
  <c r="E6"/>
  <c r="G6"/>
  <c r="I6"/>
  <c r="D7"/>
  <c r="E7"/>
  <c r="I7"/>
  <c r="D8"/>
  <c r="E8"/>
  <c r="G8"/>
  <c r="I8"/>
  <c r="D9"/>
  <c r="G9"/>
  <c r="I9"/>
  <c r="D10"/>
  <c r="E10"/>
  <c r="G10"/>
  <c r="I10"/>
  <c r="D11"/>
  <c r="E11"/>
  <c r="I11"/>
  <c r="D12"/>
  <c r="E12"/>
  <c r="I12"/>
  <c r="D13"/>
  <c r="E13"/>
  <c r="K13"/>
  <c r="D14"/>
  <c r="E14"/>
  <c r="D15"/>
  <c r="E15"/>
  <c r="I15"/>
  <c r="D16"/>
  <c r="E16"/>
  <c r="D17"/>
  <c r="E17"/>
  <c r="D4" i="289"/>
  <c r="E4"/>
  <c r="F4"/>
  <c r="G4"/>
  <c r="H4"/>
  <c r="I4"/>
  <c r="D5"/>
  <c r="E5"/>
  <c r="F5"/>
  <c r="G5"/>
  <c r="H5"/>
  <c r="I5"/>
  <c r="D6"/>
  <c r="E6"/>
  <c r="F6"/>
  <c r="G6"/>
  <c r="H6"/>
  <c r="I6"/>
  <c r="D7"/>
  <c r="E7"/>
  <c r="I7"/>
  <c r="D8"/>
  <c r="E8"/>
  <c r="G8"/>
  <c r="I8"/>
  <c r="D9"/>
  <c r="E9"/>
  <c r="G9"/>
  <c r="I9"/>
  <c r="D10"/>
  <c r="E10"/>
  <c r="G10"/>
  <c r="I10"/>
  <c r="D11"/>
  <c r="E11"/>
  <c r="G11"/>
  <c r="I11"/>
  <c r="D12"/>
  <c r="E12"/>
  <c r="F12"/>
  <c r="G12"/>
  <c r="H12"/>
  <c r="I12"/>
  <c r="K12"/>
  <c r="D13"/>
  <c r="E13"/>
  <c r="H13"/>
  <c r="K13"/>
  <c r="D14"/>
  <c r="E14"/>
  <c r="G14"/>
  <c r="D15"/>
  <c r="E15"/>
  <c r="G15"/>
  <c r="D16"/>
  <c r="E16"/>
  <c r="G16"/>
  <c r="D17"/>
  <c r="E17"/>
  <c r="G17"/>
  <c r="D4" i="290"/>
  <c r="E4"/>
  <c r="F4"/>
  <c r="G4"/>
  <c r="H4"/>
  <c r="I4"/>
  <c r="D5"/>
  <c r="E5"/>
  <c r="F5"/>
  <c r="G5"/>
  <c r="H5"/>
  <c r="I5"/>
  <c r="D6"/>
  <c r="E6"/>
  <c r="F6"/>
  <c r="G6"/>
  <c r="H6"/>
  <c r="I6"/>
  <c r="J6"/>
  <c r="K6"/>
  <c r="D7"/>
  <c r="E7"/>
  <c r="F7"/>
  <c r="G7"/>
  <c r="H7"/>
  <c r="I7"/>
  <c r="J7"/>
  <c r="K7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D11"/>
  <c r="E11"/>
  <c r="F11"/>
  <c r="G11"/>
  <c r="H11"/>
  <c r="I11"/>
  <c r="J11"/>
  <c r="K11"/>
  <c r="D12"/>
  <c r="E12"/>
  <c r="F12"/>
  <c r="G12"/>
  <c r="H12"/>
  <c r="I12"/>
  <c r="D13"/>
  <c r="E13"/>
  <c r="F13"/>
  <c r="G13"/>
  <c r="H13"/>
  <c r="I13"/>
  <c r="J13"/>
  <c r="K13"/>
  <c r="D14"/>
  <c r="E14"/>
  <c r="G14"/>
  <c r="I14"/>
  <c r="D15"/>
  <c r="E15"/>
  <c r="F15"/>
  <c r="G15"/>
  <c r="H15"/>
  <c r="J15"/>
  <c r="D16"/>
  <c r="E16"/>
  <c r="F16"/>
  <c r="G16"/>
  <c r="H16"/>
  <c r="I16"/>
  <c r="D17"/>
  <c r="E17"/>
  <c r="F17"/>
  <c r="G17"/>
  <c r="H17"/>
  <c r="I17"/>
  <c r="D4" i="291"/>
  <c r="E4"/>
  <c r="F4"/>
  <c r="G4"/>
  <c r="H4"/>
  <c r="I4"/>
  <c r="D5"/>
  <c r="E5"/>
  <c r="F5"/>
  <c r="G5"/>
  <c r="H5"/>
  <c r="I5"/>
  <c r="D6"/>
  <c r="E6"/>
  <c r="F6"/>
  <c r="G6"/>
  <c r="H6"/>
  <c r="I6"/>
  <c r="J6"/>
  <c r="K6"/>
  <c r="D7"/>
  <c r="E7"/>
  <c r="F7"/>
  <c r="G7"/>
  <c r="H7"/>
  <c r="I7"/>
  <c r="J7"/>
  <c r="K7"/>
  <c r="D8"/>
  <c r="E8"/>
  <c r="F8"/>
  <c r="G8"/>
  <c r="H8"/>
  <c r="I8"/>
  <c r="J8"/>
  <c r="K8"/>
  <c r="D9"/>
  <c r="E9"/>
  <c r="F9"/>
  <c r="G9"/>
  <c r="H9"/>
  <c r="I9"/>
  <c r="J9"/>
  <c r="K9"/>
  <c r="D10"/>
  <c r="E10"/>
  <c r="F10"/>
  <c r="G10"/>
  <c r="H10"/>
  <c r="I10"/>
  <c r="J10"/>
  <c r="K10"/>
  <c r="D11"/>
  <c r="E11"/>
  <c r="F11"/>
  <c r="G11"/>
  <c r="H11"/>
  <c r="I11"/>
  <c r="J11"/>
  <c r="K11"/>
  <c r="D12"/>
  <c r="E12"/>
  <c r="F12"/>
  <c r="G12"/>
  <c r="H12"/>
  <c r="I12"/>
  <c r="J12"/>
  <c r="K12"/>
  <c r="D13"/>
  <c r="E13"/>
  <c r="F13"/>
  <c r="G13"/>
  <c r="H13"/>
  <c r="I13"/>
  <c r="J13"/>
  <c r="K13"/>
  <c r="D14"/>
  <c r="E14"/>
  <c r="F14"/>
  <c r="G14"/>
  <c r="H14"/>
  <c r="I14"/>
  <c r="J14"/>
  <c r="K14"/>
  <c r="D15"/>
  <c r="E15"/>
  <c r="F15"/>
  <c r="G15"/>
  <c r="H15"/>
  <c r="I15"/>
  <c r="J15"/>
  <c r="K15"/>
  <c r="D16"/>
  <c r="E16"/>
  <c r="F16"/>
  <c r="G16"/>
  <c r="H16"/>
  <c r="I16"/>
  <c r="J16"/>
  <c r="K16"/>
  <c r="D17"/>
  <c r="E17"/>
  <c r="F17"/>
  <c r="G17"/>
  <c r="H17"/>
  <c r="I17"/>
  <c r="J17"/>
  <c r="K17"/>
  <c r="D4" i="285"/>
  <c r="E4"/>
  <c r="F4"/>
  <c r="G4"/>
  <c r="H4"/>
  <c r="I4"/>
  <c r="D5"/>
  <c r="E5"/>
  <c r="F5"/>
  <c r="G5"/>
  <c r="H5"/>
  <c r="I5"/>
  <c r="D6"/>
  <c r="E6"/>
  <c r="F6"/>
  <c r="H6"/>
  <c r="I6"/>
  <c r="J6"/>
  <c r="K6"/>
  <c r="C7"/>
  <c r="D7"/>
  <c r="E7"/>
  <c r="F7"/>
  <c r="G7"/>
  <c r="H7"/>
  <c r="I7"/>
  <c r="J7"/>
  <c r="K7"/>
  <c r="D8"/>
  <c r="E8"/>
  <c r="F8"/>
  <c r="G8"/>
  <c r="H8"/>
  <c r="D9"/>
  <c r="E9"/>
  <c r="F9"/>
  <c r="G9"/>
  <c r="H9"/>
  <c r="D10"/>
  <c r="E10"/>
  <c r="F10"/>
  <c r="G10"/>
  <c r="H10"/>
  <c r="D11"/>
  <c r="E11"/>
  <c r="F11"/>
  <c r="G11"/>
  <c r="H11"/>
  <c r="D12"/>
  <c r="E12"/>
  <c r="G12"/>
  <c r="D13"/>
  <c r="E13"/>
  <c r="G13"/>
  <c r="D14"/>
  <c r="E14"/>
  <c r="D15"/>
  <c r="E15"/>
  <c r="H15"/>
  <c r="D16"/>
  <c r="E16"/>
  <c r="H16"/>
  <c r="D17"/>
  <c r="E17"/>
  <c r="H17"/>
  <c r="D4" i="284"/>
  <c r="E4"/>
  <c r="F4"/>
  <c r="I4"/>
  <c r="D5"/>
  <c r="E5"/>
  <c r="F5"/>
  <c r="I5"/>
  <c r="D6"/>
  <c r="E6"/>
  <c r="F6"/>
  <c r="I6"/>
  <c r="D7"/>
  <c r="E7"/>
  <c r="I7"/>
  <c r="D8"/>
  <c r="E8"/>
  <c r="D9"/>
  <c r="E9"/>
  <c r="D10"/>
  <c r="E10"/>
  <c r="H10"/>
  <c r="D11"/>
  <c r="E11"/>
  <c r="F11"/>
  <c r="G11"/>
  <c r="H11"/>
  <c r="D12"/>
  <c r="E12"/>
  <c r="F12"/>
  <c r="G12"/>
  <c r="H12"/>
  <c r="D13"/>
  <c r="E13"/>
  <c r="F13"/>
  <c r="G13"/>
  <c r="H13"/>
  <c r="D14"/>
  <c r="E14"/>
  <c r="G14"/>
  <c r="D15"/>
  <c r="E15"/>
  <c r="D16"/>
  <c r="E16"/>
  <c r="G16"/>
  <c r="D17"/>
  <c r="E17"/>
  <c r="G17"/>
  <c r="D4" i="283"/>
  <c r="J4"/>
  <c r="D5"/>
  <c r="E5"/>
  <c r="J5"/>
  <c r="D6"/>
  <c r="G6"/>
  <c r="D7"/>
  <c r="E7"/>
  <c r="F7"/>
  <c r="I7"/>
  <c r="K7"/>
  <c r="C8"/>
  <c r="D8"/>
  <c r="E8"/>
  <c r="I8"/>
  <c r="K8"/>
  <c r="D9"/>
  <c r="E9"/>
  <c r="D10"/>
  <c r="D11"/>
  <c r="D12"/>
  <c r="D13"/>
  <c r="D14"/>
  <c r="D15"/>
  <c r="D16"/>
  <c r="D17"/>
  <c r="D4" i="282"/>
  <c r="E4"/>
  <c r="K4"/>
  <c r="D5"/>
  <c r="K5"/>
  <c r="D6"/>
  <c r="E6"/>
  <c r="D7"/>
  <c r="E7"/>
  <c r="G7"/>
  <c r="I7"/>
  <c r="D8"/>
  <c r="E8"/>
  <c r="I8"/>
  <c r="D9"/>
  <c r="E9"/>
  <c r="H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G15"/>
  <c r="H15"/>
  <c r="D16"/>
  <c r="E16"/>
  <c r="F16"/>
  <c r="G16"/>
  <c r="H16"/>
  <c r="D17"/>
  <c r="E17"/>
  <c r="F17"/>
  <c r="G17"/>
  <c r="H17"/>
  <c r="B4" i="281"/>
  <c r="D4"/>
  <c r="E4"/>
  <c r="F4"/>
  <c r="G4"/>
  <c r="H4"/>
  <c r="I4"/>
  <c r="J4"/>
  <c r="K4"/>
  <c r="B5"/>
  <c r="D5"/>
  <c r="E5"/>
  <c r="F5"/>
  <c r="G5"/>
  <c r="H5"/>
  <c r="I5"/>
  <c r="J5"/>
  <c r="K5"/>
  <c r="B6"/>
  <c r="D6"/>
  <c r="E6"/>
  <c r="F6"/>
  <c r="G6"/>
  <c r="H6"/>
  <c r="I6"/>
  <c r="J6"/>
  <c r="K6"/>
  <c r="B7"/>
  <c r="D7"/>
  <c r="E7"/>
  <c r="F7"/>
  <c r="G7"/>
  <c r="H7"/>
  <c r="I7"/>
  <c r="J7"/>
  <c r="K7"/>
  <c r="B8"/>
  <c r="C8"/>
  <c r="D8"/>
  <c r="E8"/>
  <c r="F8"/>
  <c r="G8"/>
  <c r="H8"/>
  <c r="I8"/>
  <c r="J8"/>
  <c r="K8"/>
  <c r="B9"/>
  <c r="D9"/>
  <c r="E9"/>
  <c r="F9"/>
  <c r="G9"/>
  <c r="H9"/>
  <c r="I9"/>
  <c r="J9"/>
  <c r="K9"/>
  <c r="B10"/>
  <c r="D10"/>
  <c r="E10"/>
  <c r="F10"/>
  <c r="G10"/>
  <c r="H10"/>
  <c r="I10"/>
  <c r="J10"/>
  <c r="K10"/>
  <c r="B11"/>
  <c r="D11"/>
  <c r="E11"/>
  <c r="F11"/>
  <c r="F20" s="1"/>
  <c r="G11"/>
  <c r="G20" s="1"/>
  <c r="H11"/>
  <c r="H20" s="1"/>
  <c r="AG4" i="258" s="1"/>
  <c r="I11" i="281"/>
  <c r="J11"/>
  <c r="K11"/>
  <c r="B12"/>
  <c r="D12"/>
  <c r="E12"/>
  <c r="F12"/>
  <c r="G12"/>
  <c r="H12"/>
  <c r="I12"/>
  <c r="J12"/>
  <c r="K12"/>
  <c r="B13"/>
  <c r="D13"/>
  <c r="E13"/>
  <c r="F13"/>
  <c r="G13"/>
  <c r="H13"/>
  <c r="I13"/>
  <c r="J13"/>
  <c r="K13"/>
  <c r="B14"/>
  <c r="D14"/>
  <c r="E14"/>
  <c r="F14"/>
  <c r="G14"/>
  <c r="H14"/>
  <c r="I14"/>
  <c r="J14"/>
  <c r="K14"/>
  <c r="B15"/>
  <c r="D15"/>
  <c r="E15"/>
  <c r="F15"/>
  <c r="G15"/>
  <c r="H15"/>
  <c r="I15"/>
  <c r="J15"/>
  <c r="K15"/>
  <c r="B16"/>
  <c r="D16"/>
  <c r="E16"/>
  <c r="F16"/>
  <c r="G16"/>
  <c r="H16"/>
  <c r="I16"/>
  <c r="J16"/>
  <c r="K16"/>
  <c r="C17" i="273"/>
  <c r="C20" i="271"/>
  <c r="C21"/>
  <c r="C20" i="272"/>
  <c r="C21"/>
  <c r="C18" i="273"/>
  <c r="C19"/>
  <c r="C20"/>
  <c r="C7" i="284" s="1"/>
  <c r="C18" i="274"/>
  <c r="C5" i="285" s="1"/>
  <c r="C19" i="274"/>
  <c r="C20"/>
  <c r="C18" i="275"/>
  <c r="C19"/>
  <c r="C20"/>
  <c r="C21"/>
  <c r="C22"/>
  <c r="C23"/>
  <c r="C24"/>
  <c r="C25"/>
  <c r="C26"/>
  <c r="C27"/>
  <c r="C28"/>
  <c r="C29"/>
  <c r="C30"/>
  <c r="P53" i="258" s="1"/>
  <c r="C18" i="276"/>
  <c r="C19"/>
  <c r="C20"/>
  <c r="C21"/>
  <c r="C8" i="287" s="1"/>
  <c r="C22" i="276"/>
  <c r="C23"/>
  <c r="C24"/>
  <c r="C25"/>
  <c r="C26"/>
  <c r="C27"/>
  <c r="C28"/>
  <c r="C29"/>
  <c r="C30"/>
  <c r="C18" i="277"/>
  <c r="C5" i="288" s="1"/>
  <c r="C19" i="277"/>
  <c r="C20"/>
  <c r="C21"/>
  <c r="C8" i="288" s="1"/>
  <c r="C23" i="277"/>
  <c r="C10" i="288" s="1"/>
  <c r="C24" i="277"/>
  <c r="C25"/>
  <c r="C28"/>
  <c r="C18" i="278"/>
  <c r="C19"/>
  <c r="C20"/>
  <c r="C7" i="289" s="1"/>
  <c r="C21" i="278"/>
  <c r="C8" i="289" s="1"/>
  <c r="C22" i="278"/>
  <c r="C23"/>
  <c r="C24"/>
  <c r="C25"/>
  <c r="C18" i="279"/>
  <c r="C19"/>
  <c r="C20"/>
  <c r="C21"/>
  <c r="C22"/>
  <c r="C23"/>
  <c r="C24"/>
  <c r="C25"/>
  <c r="C26"/>
  <c r="C27"/>
  <c r="C29"/>
  <c r="C30"/>
  <c r="C18" i="280"/>
  <c r="C5" i="291" s="1"/>
  <c r="C19" i="280"/>
  <c r="C20"/>
  <c r="C21"/>
  <c r="C8" i="291" s="1"/>
  <c r="C22" i="280"/>
  <c r="C9" i="291" s="1"/>
  <c r="C23" i="280"/>
  <c r="C24"/>
  <c r="C25"/>
  <c r="C26"/>
  <c r="C27"/>
  <c r="C28"/>
  <c r="C29"/>
  <c r="C30"/>
  <c r="P58" i="258" s="1"/>
  <c r="C18" i="270"/>
  <c r="C19"/>
  <c r="C20"/>
  <c r="C21"/>
  <c r="C22"/>
  <c r="C23"/>
  <c r="C24"/>
  <c r="C25"/>
  <c r="C26"/>
  <c r="C27"/>
  <c r="C28"/>
  <c r="C29"/>
  <c r="C30"/>
  <c r="C17" i="274"/>
  <c r="C4" i="285" s="1"/>
  <c r="C17" i="275"/>
  <c r="P9" i="258" s="1"/>
  <c r="C17" i="276"/>
  <c r="C17" i="277"/>
  <c r="C4" i="288" s="1"/>
  <c r="C17" i="278"/>
  <c r="C4" i="289" s="1"/>
  <c r="C17" i="279"/>
  <c r="C17" i="280"/>
  <c r="C17" i="270"/>
  <c r="C4" i="281" s="1"/>
  <c r="Y24" i="160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4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4"/>
  <c r="G13"/>
  <c r="G12"/>
  <c r="G5"/>
  <c r="G4"/>
  <c r="AB57" i="258"/>
  <c r="C24" i="302"/>
  <c r="AN47" i="258" s="1"/>
  <c r="C24" i="301"/>
  <c r="AN46" i="258" s="1"/>
  <c r="C24" i="300"/>
  <c r="C24" i="299"/>
  <c r="AN44" i="258" s="1"/>
  <c r="C24" i="298"/>
  <c r="AN43" i="258" s="1"/>
  <c r="C24" i="297"/>
  <c r="AN42" i="258" s="1"/>
  <c r="C24" i="296"/>
  <c r="C24" i="295"/>
  <c r="AN40" i="258" s="1"/>
  <c r="C24" i="294"/>
  <c r="C24" i="293"/>
  <c r="C24" i="292"/>
  <c r="P14" i="258"/>
  <c r="P10"/>
  <c r="C24" i="263"/>
  <c r="C24" i="262"/>
  <c r="C24" i="261"/>
  <c r="C24" i="260"/>
  <c r="C24" i="124"/>
  <c r="C24" i="123"/>
  <c r="C24" i="186"/>
  <c r="C24" i="121"/>
  <c r="C24" i="187" s="1"/>
  <c r="C24" i="122"/>
  <c r="C24" i="232" s="1"/>
  <c r="C24" i="229"/>
  <c r="C24" i="140"/>
  <c r="C24" i="139"/>
  <c r="C24" i="136"/>
  <c r="C24" i="79"/>
  <c r="C24" i="77"/>
  <c r="C24" i="223"/>
  <c r="C24" i="222"/>
  <c r="C24" i="143"/>
  <c r="C24" i="142"/>
  <c r="C24" i="128"/>
  <c r="C24" i="130"/>
  <c r="C24" i="129"/>
  <c r="C24" i="158"/>
  <c r="C24" i="1"/>
  <c r="C24" i="221" s="1"/>
  <c r="C24" i="2"/>
  <c r="C24" i="127" s="1"/>
  <c r="AP48" i="258"/>
  <c r="AN49"/>
  <c r="AO49"/>
  <c r="AP49"/>
  <c r="AR49"/>
  <c r="AS49"/>
  <c r="AT49"/>
  <c r="AN50"/>
  <c r="AO50"/>
  <c r="AP50"/>
  <c r="AR50"/>
  <c r="AS50"/>
  <c r="AT50"/>
  <c r="AO51"/>
  <c r="AP51"/>
  <c r="AS51"/>
  <c r="AT51"/>
  <c r="AN52"/>
  <c r="AO52"/>
  <c r="AP52"/>
  <c r="AS52"/>
  <c r="AT52"/>
  <c r="AP54"/>
  <c r="AO55"/>
  <c r="AP55"/>
  <c r="AS55"/>
  <c r="AT55"/>
  <c r="AN56"/>
  <c r="AO56"/>
  <c r="AP56"/>
  <c r="AS56"/>
  <c r="AT56"/>
  <c r="AM58"/>
  <c r="AM55"/>
  <c r="AN5"/>
  <c r="AO5"/>
  <c r="AP5"/>
  <c r="AR5"/>
  <c r="AS5"/>
  <c r="AT5"/>
  <c r="AN6"/>
  <c r="AO6"/>
  <c r="AP6"/>
  <c r="AR6"/>
  <c r="AS6"/>
  <c r="AT6"/>
  <c r="AN7"/>
  <c r="AO7"/>
  <c r="AP7"/>
  <c r="AS7"/>
  <c r="AT7"/>
  <c r="AO8"/>
  <c r="AP8"/>
  <c r="AS8"/>
  <c r="AT8"/>
  <c r="AP10"/>
  <c r="AO11"/>
  <c r="AP11"/>
  <c r="AS11"/>
  <c r="AT11"/>
  <c r="AO12"/>
  <c r="AP12"/>
  <c r="AS12"/>
  <c r="AT12"/>
  <c r="AM14"/>
  <c r="AM12"/>
  <c r="AM7"/>
  <c r="AM5"/>
  <c r="I24" i="293"/>
  <c r="AM4" i="258"/>
  <c r="F5" i="302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I11"/>
  <c r="F5" i="301"/>
  <c r="G5"/>
  <c r="G21" s="1"/>
  <c r="AR13" i="258" s="1"/>
  <c r="H5" i="301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I11"/>
  <c r="F5" i="300"/>
  <c r="G5"/>
  <c r="F6"/>
  <c r="G6"/>
  <c r="F7"/>
  <c r="G7"/>
  <c r="F8"/>
  <c r="G8"/>
  <c r="F9"/>
  <c r="G9"/>
  <c r="F10"/>
  <c r="G10"/>
  <c r="F11"/>
  <c r="G11"/>
  <c r="F5" i="299"/>
  <c r="G5"/>
  <c r="F6"/>
  <c r="G6"/>
  <c r="F7"/>
  <c r="G7"/>
  <c r="F8"/>
  <c r="G8"/>
  <c r="F9"/>
  <c r="G9"/>
  <c r="F10"/>
  <c r="G10"/>
  <c r="F11"/>
  <c r="G11"/>
  <c r="F5" i="298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I11"/>
  <c r="F5" i="297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I11"/>
  <c r="F5" i="296"/>
  <c r="G5"/>
  <c r="F6"/>
  <c r="G6"/>
  <c r="F7"/>
  <c r="G7"/>
  <c r="F8"/>
  <c r="G8"/>
  <c r="F9"/>
  <c r="G9"/>
  <c r="F10"/>
  <c r="G10"/>
  <c r="F11"/>
  <c r="G11"/>
  <c r="F5" i="295"/>
  <c r="G5"/>
  <c r="F6"/>
  <c r="G6"/>
  <c r="F7"/>
  <c r="G7"/>
  <c r="F8"/>
  <c r="G8"/>
  <c r="F9"/>
  <c r="G9"/>
  <c r="F10"/>
  <c r="G10"/>
  <c r="F11"/>
  <c r="G11"/>
  <c r="F5" i="294"/>
  <c r="F6"/>
  <c r="F7"/>
  <c r="F8"/>
  <c r="F9"/>
  <c r="F10"/>
  <c r="F11"/>
  <c r="F5" i="293"/>
  <c r="F6"/>
  <c r="F7"/>
  <c r="F8"/>
  <c r="F9"/>
  <c r="F10"/>
  <c r="F11"/>
  <c r="H12" i="292"/>
  <c r="I12"/>
  <c r="G12" i="302"/>
  <c r="H12"/>
  <c r="I12"/>
  <c r="I21" s="1"/>
  <c r="AT14" i="258" s="1"/>
  <c r="G12" i="301"/>
  <c r="H12"/>
  <c r="I12"/>
  <c r="G12" i="300"/>
  <c r="G12" i="299"/>
  <c r="G12" i="298"/>
  <c r="H12"/>
  <c r="H21" s="1"/>
  <c r="AS10" i="258" s="1"/>
  <c r="I12" i="298"/>
  <c r="G12" i="297"/>
  <c r="H12"/>
  <c r="I12"/>
  <c r="G12" i="296"/>
  <c r="G12" i="295"/>
  <c r="F5" i="292"/>
  <c r="H5"/>
  <c r="I5"/>
  <c r="F6"/>
  <c r="G6"/>
  <c r="H6"/>
  <c r="I6"/>
  <c r="F7"/>
  <c r="H7"/>
  <c r="I7"/>
  <c r="F8"/>
  <c r="H8"/>
  <c r="I8"/>
  <c r="F9"/>
  <c r="G9"/>
  <c r="H9"/>
  <c r="I9"/>
  <c r="F10"/>
  <c r="G10"/>
  <c r="H10"/>
  <c r="I10"/>
  <c r="F11"/>
  <c r="H11"/>
  <c r="I11"/>
  <c r="C25" i="295"/>
  <c r="AN51" i="258" s="1"/>
  <c r="C25" i="296"/>
  <c r="C25" i="297"/>
  <c r="AN53" i="258" s="1"/>
  <c r="D25" i="297"/>
  <c r="AO53" i="258" s="1"/>
  <c r="E25" i="297"/>
  <c r="AP53" i="258" s="1"/>
  <c r="C25" i="298"/>
  <c r="AN54" i="258" s="1"/>
  <c r="D25" i="298"/>
  <c r="AO54" i="258" s="1"/>
  <c r="E25" i="298"/>
  <c r="C25" i="299"/>
  <c r="AN55" i="258" s="1"/>
  <c r="C25" i="300"/>
  <c r="C25" i="301"/>
  <c r="AN57" i="258" s="1"/>
  <c r="D25" i="301"/>
  <c r="AO57" i="258" s="1"/>
  <c r="E25" i="301"/>
  <c r="AP57" i="258" s="1"/>
  <c r="C25" i="302"/>
  <c r="AN58" i="258" s="1"/>
  <c r="D25" i="302"/>
  <c r="AO58" i="258" s="1"/>
  <c r="E25" i="302"/>
  <c r="AP58" i="258" s="1"/>
  <c r="C25" i="292"/>
  <c r="AN48" i="258" s="1"/>
  <c r="D25" i="292"/>
  <c r="AO48" i="258" s="1"/>
  <c r="E25" i="292"/>
  <c r="C21" i="295"/>
  <c r="C21" i="296"/>
  <c r="AN8" i="258" s="1"/>
  <c r="C21" i="297"/>
  <c r="AN9" i="258" s="1"/>
  <c r="D21" i="297"/>
  <c r="AO9" i="258" s="1"/>
  <c r="E21" i="297"/>
  <c r="AP9" i="258" s="1"/>
  <c r="H21" i="297"/>
  <c r="AS9" i="258" s="1"/>
  <c r="C21" i="298"/>
  <c r="AN10" i="258" s="1"/>
  <c r="D21" i="298"/>
  <c r="AO10" i="258" s="1"/>
  <c r="E21" i="298"/>
  <c r="C21" i="299"/>
  <c r="AN11" i="258" s="1"/>
  <c r="C21" i="300"/>
  <c r="AN12" i="258" s="1"/>
  <c r="C21" i="301"/>
  <c r="AN13" i="258" s="1"/>
  <c r="D21" i="301"/>
  <c r="AO13" i="258" s="1"/>
  <c r="E21" i="301"/>
  <c r="AP13" i="258" s="1"/>
  <c r="I21" i="301"/>
  <c r="AT13" i="258" s="1"/>
  <c r="C21" i="302"/>
  <c r="AN14" i="258" s="1"/>
  <c r="D21" i="302"/>
  <c r="AO14" i="258" s="1"/>
  <c r="E21" i="302"/>
  <c r="AP14" i="258" s="1"/>
  <c r="C21" i="292"/>
  <c r="AN4" i="258" s="1"/>
  <c r="D21" i="292"/>
  <c r="AO4" i="258" s="1"/>
  <c r="E21" i="292"/>
  <c r="AP4" i="258" s="1"/>
  <c r="B25" i="293"/>
  <c r="AM49" i="258" s="1"/>
  <c r="B25" i="294"/>
  <c r="AM50" i="258" s="1"/>
  <c r="B25" i="295"/>
  <c r="AM51" i="258" s="1"/>
  <c r="B25" i="296"/>
  <c r="AM52" i="258" s="1"/>
  <c r="B25" i="297"/>
  <c r="AM53" i="258" s="1"/>
  <c r="B25" i="298"/>
  <c r="AM54" i="258" s="1"/>
  <c r="B25" i="299"/>
  <c r="B25" i="300"/>
  <c r="AM56" i="258" s="1"/>
  <c r="B25" i="301"/>
  <c r="AM57" i="258" s="1"/>
  <c r="B25" i="302"/>
  <c r="B25" i="292"/>
  <c r="AM48" i="258" s="1"/>
  <c r="B21" i="293"/>
  <c r="B21" i="294"/>
  <c r="AM6" i="258" s="1"/>
  <c r="B21" i="295"/>
  <c r="B21" i="296"/>
  <c r="AM8" i="258" s="1"/>
  <c r="B21" i="297"/>
  <c r="AM9" i="258" s="1"/>
  <c r="B21" i="298"/>
  <c r="AM10" i="258" s="1"/>
  <c r="B21" i="299"/>
  <c r="AM11" i="258" s="1"/>
  <c r="B21" i="300"/>
  <c r="B21" i="301"/>
  <c r="AM13" i="258" s="1"/>
  <c r="B21" i="302"/>
  <c r="B21" i="292"/>
  <c r="AB49" i="258"/>
  <c r="AE49"/>
  <c r="AF49"/>
  <c r="AG49"/>
  <c r="AH49"/>
  <c r="AI49"/>
  <c r="AJ49"/>
  <c r="AB50"/>
  <c r="AD50"/>
  <c r="AE50"/>
  <c r="AF50"/>
  <c r="AG50"/>
  <c r="AH50"/>
  <c r="AI50"/>
  <c r="AJ50"/>
  <c r="AB51"/>
  <c r="AE51"/>
  <c r="AF51"/>
  <c r="AG51"/>
  <c r="AH51"/>
  <c r="AI51"/>
  <c r="AJ51"/>
  <c r="AB52"/>
  <c r="AE52"/>
  <c r="AF52"/>
  <c r="AG52"/>
  <c r="AH52"/>
  <c r="AI52"/>
  <c r="AJ52"/>
  <c r="AE53"/>
  <c r="AF53"/>
  <c r="AG53"/>
  <c r="AE54"/>
  <c r="AF54"/>
  <c r="AG54"/>
  <c r="AB55"/>
  <c r="AD55"/>
  <c r="AE55"/>
  <c r="AF55"/>
  <c r="AG55"/>
  <c r="AH55"/>
  <c r="AI55"/>
  <c r="AJ55"/>
  <c r="AB56"/>
  <c r="AE56"/>
  <c r="AF56"/>
  <c r="AG56"/>
  <c r="AH56"/>
  <c r="AI56"/>
  <c r="AJ56"/>
  <c r="AE57"/>
  <c r="AF57"/>
  <c r="AG57"/>
  <c r="AH57"/>
  <c r="AI57"/>
  <c r="AJ57"/>
  <c r="AE58"/>
  <c r="AF58"/>
  <c r="AG58"/>
  <c r="AI58"/>
  <c r="AJ58"/>
  <c r="AE4"/>
  <c r="AF4"/>
  <c r="AB5"/>
  <c r="AE5"/>
  <c r="AF5"/>
  <c r="AG5"/>
  <c r="AH5"/>
  <c r="AI5"/>
  <c r="AJ5"/>
  <c r="AB6"/>
  <c r="AD6"/>
  <c r="AE6"/>
  <c r="AF6"/>
  <c r="AG6"/>
  <c r="AH6"/>
  <c r="AI6"/>
  <c r="AJ6"/>
  <c r="AB7"/>
  <c r="AE7"/>
  <c r="AF7"/>
  <c r="AG7"/>
  <c r="AH7"/>
  <c r="AI7"/>
  <c r="AJ7"/>
  <c r="AB8"/>
  <c r="AE8"/>
  <c r="AF8"/>
  <c r="AG8"/>
  <c r="AH8"/>
  <c r="AI8"/>
  <c r="AJ8"/>
  <c r="AE9"/>
  <c r="AF9"/>
  <c r="AG9"/>
  <c r="AE10"/>
  <c r="AF10"/>
  <c r="AG10"/>
  <c r="AD11"/>
  <c r="AE11"/>
  <c r="AF11"/>
  <c r="AG11"/>
  <c r="AH11"/>
  <c r="AI11"/>
  <c r="AJ11"/>
  <c r="AE12"/>
  <c r="AF12"/>
  <c r="AG12"/>
  <c r="AI12"/>
  <c r="AJ12"/>
  <c r="AE13"/>
  <c r="AF13"/>
  <c r="AG13"/>
  <c r="AI13"/>
  <c r="AJ13"/>
  <c r="AE14"/>
  <c r="AF14"/>
  <c r="AG14"/>
  <c r="AI14"/>
  <c r="AJ14"/>
  <c r="P50"/>
  <c r="R50"/>
  <c r="S50"/>
  <c r="T50"/>
  <c r="U50"/>
  <c r="V50"/>
  <c r="W50"/>
  <c r="X50"/>
  <c r="P51"/>
  <c r="S51"/>
  <c r="T51"/>
  <c r="U51"/>
  <c r="V51"/>
  <c r="W51"/>
  <c r="X51"/>
  <c r="P52"/>
  <c r="S52"/>
  <c r="T52"/>
  <c r="U52"/>
  <c r="V52"/>
  <c r="W52"/>
  <c r="X52"/>
  <c r="S53"/>
  <c r="T53"/>
  <c r="U53"/>
  <c r="S54"/>
  <c r="T54"/>
  <c r="U54"/>
  <c r="S55"/>
  <c r="T55"/>
  <c r="U55"/>
  <c r="V55"/>
  <c r="W55"/>
  <c r="X55"/>
  <c r="P56"/>
  <c r="S56"/>
  <c r="T56"/>
  <c r="U56"/>
  <c r="V56"/>
  <c r="W56"/>
  <c r="X56"/>
  <c r="S57"/>
  <c r="T57"/>
  <c r="U57"/>
  <c r="V57"/>
  <c r="W57"/>
  <c r="X57"/>
  <c r="S58"/>
  <c r="T58"/>
  <c r="U58"/>
  <c r="X58"/>
  <c r="P6"/>
  <c r="R6"/>
  <c r="S6"/>
  <c r="T6"/>
  <c r="U6"/>
  <c r="V6"/>
  <c r="W6"/>
  <c r="X6"/>
  <c r="P7"/>
  <c r="S7"/>
  <c r="T7"/>
  <c r="U7"/>
  <c r="V7"/>
  <c r="W7"/>
  <c r="X7"/>
  <c r="P8"/>
  <c r="S8"/>
  <c r="T8"/>
  <c r="U8"/>
  <c r="V8"/>
  <c r="W8"/>
  <c r="X8"/>
  <c r="R9"/>
  <c r="S9"/>
  <c r="T9"/>
  <c r="U9"/>
  <c r="V9"/>
  <c r="S10"/>
  <c r="T10"/>
  <c r="U10"/>
  <c r="X10"/>
  <c r="S11"/>
  <c r="T11"/>
  <c r="U11"/>
  <c r="W11"/>
  <c r="X11"/>
  <c r="S12"/>
  <c r="T12"/>
  <c r="U12"/>
  <c r="W12"/>
  <c r="X12"/>
  <c r="S13"/>
  <c r="T13"/>
  <c r="U13"/>
  <c r="Q14"/>
  <c r="S14"/>
  <c r="T14"/>
  <c r="U14"/>
  <c r="X14"/>
  <c r="O14"/>
  <c r="O11"/>
  <c r="B4" i="285"/>
  <c r="B5"/>
  <c r="B6"/>
  <c r="B7"/>
  <c r="B8"/>
  <c r="B9"/>
  <c r="B10"/>
  <c r="B4" i="286"/>
  <c r="B5"/>
  <c r="B6"/>
  <c r="B7"/>
  <c r="B8"/>
  <c r="B9"/>
  <c r="B10"/>
  <c r="B4" i="287"/>
  <c r="B5"/>
  <c r="B6"/>
  <c r="B7"/>
  <c r="B8"/>
  <c r="B9"/>
  <c r="B10"/>
  <c r="B4" i="288"/>
  <c r="B5"/>
  <c r="B6"/>
  <c r="B7"/>
  <c r="B8"/>
  <c r="B9"/>
  <c r="B10"/>
  <c r="B4" i="289"/>
  <c r="B5"/>
  <c r="B6"/>
  <c r="B7"/>
  <c r="B8"/>
  <c r="B9"/>
  <c r="B10"/>
  <c r="B4" i="290"/>
  <c r="B5"/>
  <c r="B6"/>
  <c r="B7"/>
  <c r="B8"/>
  <c r="B9"/>
  <c r="B10"/>
  <c r="B4" i="291"/>
  <c r="B5"/>
  <c r="B6"/>
  <c r="B7"/>
  <c r="B8"/>
  <c r="B9"/>
  <c r="B10"/>
  <c r="B4" i="284"/>
  <c r="B5"/>
  <c r="B6"/>
  <c r="B7"/>
  <c r="B8"/>
  <c r="B9"/>
  <c r="B10"/>
  <c r="B4" i="283"/>
  <c r="B5"/>
  <c r="B6"/>
  <c r="B7"/>
  <c r="B8"/>
  <c r="B9"/>
  <c r="B10"/>
  <c r="B4" i="282"/>
  <c r="B5"/>
  <c r="B6"/>
  <c r="B7"/>
  <c r="B8"/>
  <c r="B9"/>
  <c r="B10"/>
  <c r="P5" i="258"/>
  <c r="S5"/>
  <c r="T5"/>
  <c r="U5"/>
  <c r="V5"/>
  <c r="W5"/>
  <c r="X5"/>
  <c r="P49"/>
  <c r="S49"/>
  <c r="T49"/>
  <c r="U49"/>
  <c r="V49"/>
  <c r="W49"/>
  <c r="X49"/>
  <c r="Q4"/>
  <c r="U4"/>
  <c r="V4"/>
  <c r="O4"/>
  <c r="Q50"/>
  <c r="Q51"/>
  <c r="R51"/>
  <c r="Q52"/>
  <c r="R52"/>
  <c r="Q53"/>
  <c r="R53"/>
  <c r="V53"/>
  <c r="W53"/>
  <c r="X53"/>
  <c r="Q54"/>
  <c r="R54"/>
  <c r="V54"/>
  <c r="W54"/>
  <c r="X54"/>
  <c r="Q55"/>
  <c r="R55"/>
  <c r="Q56"/>
  <c r="R56"/>
  <c r="Q57"/>
  <c r="R57"/>
  <c r="Q58"/>
  <c r="R58"/>
  <c r="V58"/>
  <c r="W58"/>
  <c r="Q49"/>
  <c r="R49"/>
  <c r="Q6"/>
  <c r="Q7"/>
  <c r="R7"/>
  <c r="Q8"/>
  <c r="R8"/>
  <c r="Q9"/>
  <c r="W9"/>
  <c r="X9"/>
  <c r="Q10"/>
  <c r="R10"/>
  <c r="V10"/>
  <c r="W10"/>
  <c r="Q11"/>
  <c r="R11"/>
  <c r="V11"/>
  <c r="Q12"/>
  <c r="R12"/>
  <c r="V12"/>
  <c r="Q13"/>
  <c r="R13"/>
  <c r="V13"/>
  <c r="W13"/>
  <c r="X13"/>
  <c r="R14"/>
  <c r="V14"/>
  <c r="W14"/>
  <c r="Q5"/>
  <c r="R5"/>
  <c r="O6"/>
  <c r="O7"/>
  <c r="O8"/>
  <c r="O9"/>
  <c r="O10"/>
  <c r="O12"/>
  <c r="O13"/>
  <c r="O5"/>
  <c r="O50"/>
  <c r="O51"/>
  <c r="O52"/>
  <c r="O53"/>
  <c r="O54"/>
  <c r="O55"/>
  <c r="O56"/>
  <c r="O57"/>
  <c r="O58"/>
  <c r="O49"/>
  <c r="S48"/>
  <c r="T48"/>
  <c r="U48"/>
  <c r="S4"/>
  <c r="T4"/>
  <c r="Q48"/>
  <c r="R48"/>
  <c r="V48"/>
  <c r="W48"/>
  <c r="X48"/>
  <c r="O48"/>
  <c r="R4"/>
  <c r="W4"/>
  <c r="X4"/>
  <c r="E48"/>
  <c r="H48"/>
  <c r="I48"/>
  <c r="L48"/>
  <c r="F4"/>
  <c r="G4"/>
  <c r="J4"/>
  <c r="K4"/>
  <c r="L25" i="259"/>
  <c r="C48" i="258" s="1"/>
  <c r="N25" i="259"/>
  <c r="O25"/>
  <c r="F48" i="258" s="1"/>
  <c r="P25" i="259"/>
  <c r="G48" i="258" s="1"/>
  <c r="Q25" i="259"/>
  <c r="R25"/>
  <c r="S25"/>
  <c r="J48" i="258" s="1"/>
  <c r="T25" i="259"/>
  <c r="K48" i="258" s="1"/>
  <c r="U25" i="259"/>
  <c r="L21"/>
  <c r="C4" i="258" s="1"/>
  <c r="N21" i="259"/>
  <c r="E4" i="258" s="1"/>
  <c r="O21" i="259"/>
  <c r="P21"/>
  <c r="Q21"/>
  <c r="H4" i="258" s="1"/>
  <c r="R21" i="259"/>
  <c r="I4" i="258" s="1"/>
  <c r="S21" i="259"/>
  <c r="T21"/>
  <c r="U21"/>
  <c r="L4" i="258" s="1"/>
  <c r="N21" i="261"/>
  <c r="E6" i="258" s="1"/>
  <c r="F6"/>
  <c r="I6"/>
  <c r="J6"/>
  <c r="D7"/>
  <c r="N21" i="262"/>
  <c r="E7" i="258" s="1"/>
  <c r="O21" i="262"/>
  <c r="P21"/>
  <c r="G7" i="258" s="1"/>
  <c r="H7"/>
  <c r="I7"/>
  <c r="L7"/>
  <c r="D8"/>
  <c r="N21" i="263"/>
  <c r="O21"/>
  <c r="P21"/>
  <c r="G8" i="258" s="1"/>
  <c r="Q21" i="263"/>
  <c r="H8" i="258" s="1"/>
  <c r="R21" i="263"/>
  <c r="K8" i="258"/>
  <c r="L8"/>
  <c r="N21" i="264"/>
  <c r="O21"/>
  <c r="F9" i="258" s="1"/>
  <c r="P21" i="264"/>
  <c r="G9" i="258" s="1"/>
  <c r="Q21" i="264"/>
  <c r="R21"/>
  <c r="S21"/>
  <c r="J9" i="258" s="1"/>
  <c r="T21" i="264"/>
  <c r="K9" i="258" s="1"/>
  <c r="U21" i="264"/>
  <c r="N21" i="265"/>
  <c r="E10" i="258" s="1"/>
  <c r="O21" i="265"/>
  <c r="F10" i="258" s="1"/>
  <c r="P21" i="265"/>
  <c r="Q21"/>
  <c r="R21"/>
  <c r="I10" i="258" s="1"/>
  <c r="S21" i="265"/>
  <c r="J10" i="258" s="1"/>
  <c r="T21" i="265"/>
  <c r="U21"/>
  <c r="N21" i="266"/>
  <c r="E11" i="258" s="1"/>
  <c r="O21" i="266"/>
  <c r="F11" i="258" s="1"/>
  <c r="P21" i="266"/>
  <c r="G11" i="258" s="1"/>
  <c r="H11"/>
  <c r="R21" i="266"/>
  <c r="I11" i="258" s="1"/>
  <c r="S21" i="266"/>
  <c r="J11" i="258" s="1"/>
  <c r="L11"/>
  <c r="N21" i="267"/>
  <c r="O21"/>
  <c r="G12" i="258"/>
  <c r="Q21" i="267"/>
  <c r="H12" i="258" s="1"/>
  <c r="S21" i="267"/>
  <c r="K12" i="258"/>
  <c r="L12"/>
  <c r="N21" i="268"/>
  <c r="O21"/>
  <c r="F13" i="258" s="1"/>
  <c r="P21" i="268"/>
  <c r="G13" i="258" s="1"/>
  <c r="Q21" i="268"/>
  <c r="R21"/>
  <c r="S21"/>
  <c r="J13" i="258" s="1"/>
  <c r="K13"/>
  <c r="N21" i="269"/>
  <c r="E14" i="258" s="1"/>
  <c r="O21" i="269"/>
  <c r="F14" i="258" s="1"/>
  <c r="P21" i="269"/>
  <c r="G14" i="258" s="1"/>
  <c r="Q21" i="269"/>
  <c r="H14" i="258" s="1"/>
  <c r="R21" i="269"/>
  <c r="I14" i="258" s="1"/>
  <c r="S21" i="269"/>
  <c r="J14" i="258" s="1"/>
  <c r="D5"/>
  <c r="N21" i="260"/>
  <c r="O21"/>
  <c r="H5" i="258"/>
  <c r="L5"/>
  <c r="L21" i="261"/>
  <c r="C6" i="258" s="1"/>
  <c r="L21" i="262"/>
  <c r="C7" i="258" s="1"/>
  <c r="L21" i="263"/>
  <c r="C8" i="258" s="1"/>
  <c r="L21" i="264"/>
  <c r="L21" i="265"/>
  <c r="L21" i="266"/>
  <c r="C11" i="258" s="1"/>
  <c r="L21" i="267"/>
  <c r="C12" i="258" s="1"/>
  <c r="L21" i="268"/>
  <c r="C13" i="258" s="1"/>
  <c r="L21" i="269"/>
  <c r="C14" i="258" s="1"/>
  <c r="L21" i="260"/>
  <c r="M6" i="259"/>
  <c r="M7"/>
  <c r="G7" i="292" s="1"/>
  <c r="M8" i="259"/>
  <c r="C7" i="281" s="1"/>
  <c r="M9" i="259"/>
  <c r="M10"/>
  <c r="M11"/>
  <c r="G11" i="292" s="1"/>
  <c r="M5" i="259"/>
  <c r="G5" i="292" s="1"/>
  <c r="E5" i="258"/>
  <c r="F5"/>
  <c r="G5"/>
  <c r="I5"/>
  <c r="J5"/>
  <c r="K5"/>
  <c r="D6"/>
  <c r="G6"/>
  <c r="H6"/>
  <c r="K6"/>
  <c r="L6"/>
  <c r="F7"/>
  <c r="J7"/>
  <c r="K7"/>
  <c r="E8"/>
  <c r="F8"/>
  <c r="I8"/>
  <c r="J8"/>
  <c r="E9"/>
  <c r="H9"/>
  <c r="I9"/>
  <c r="L9"/>
  <c r="G10"/>
  <c r="H10"/>
  <c r="K10"/>
  <c r="L10"/>
  <c r="K11"/>
  <c r="E12"/>
  <c r="F12"/>
  <c r="I12"/>
  <c r="J12"/>
  <c r="E13"/>
  <c r="H13"/>
  <c r="I13"/>
  <c r="L13"/>
  <c r="K14"/>
  <c r="L14"/>
  <c r="C10"/>
  <c r="C9"/>
  <c r="C5"/>
  <c r="I58"/>
  <c r="J58"/>
  <c r="K58"/>
  <c r="L58"/>
  <c r="G57"/>
  <c r="K57"/>
  <c r="L57"/>
  <c r="D56"/>
  <c r="G56"/>
  <c r="I56"/>
  <c r="J56"/>
  <c r="K56"/>
  <c r="L56"/>
  <c r="D55"/>
  <c r="H55"/>
  <c r="I55"/>
  <c r="J55"/>
  <c r="K55"/>
  <c r="L55"/>
  <c r="C55"/>
  <c r="M6" i="266"/>
  <c r="M7"/>
  <c r="M8"/>
  <c r="C7" i="288" s="1"/>
  <c r="M9" i="266"/>
  <c r="M10"/>
  <c r="M11"/>
  <c r="M6" i="267"/>
  <c r="C5" i="289" s="1"/>
  <c r="M7" i="267"/>
  <c r="C6" i="289" s="1"/>
  <c r="M8" i="267"/>
  <c r="M9"/>
  <c r="M10"/>
  <c r="C9" i="289" s="1"/>
  <c r="M11" i="267"/>
  <c r="C10" i="289" s="1"/>
  <c r="M6" i="268"/>
  <c r="M7"/>
  <c r="C6" i="290" s="1"/>
  <c r="M8" i="268"/>
  <c r="C7" i="290" s="1"/>
  <c r="M9" i="268"/>
  <c r="M10"/>
  <c r="M11"/>
  <c r="C10" i="290" s="1"/>
  <c r="M6" i="269"/>
  <c r="M7"/>
  <c r="C6" i="291" s="1"/>
  <c r="M8" i="269"/>
  <c r="C7" i="291" s="1"/>
  <c r="M9" i="269"/>
  <c r="M10"/>
  <c r="M11"/>
  <c r="C10" i="291" s="1"/>
  <c r="M5" i="266"/>
  <c r="M5" i="267"/>
  <c r="M5" i="268"/>
  <c r="M5" i="269"/>
  <c r="C4" i="291" s="1"/>
  <c r="L25" i="266"/>
  <c r="N25"/>
  <c r="E55" i="258" s="1"/>
  <c r="O25" i="266"/>
  <c r="F55" i="258" s="1"/>
  <c r="P25" i="266"/>
  <c r="G55" i="258" s="1"/>
  <c r="L25" i="267"/>
  <c r="C56" i="258" s="1"/>
  <c r="N25" i="267"/>
  <c r="E56" i="258" s="1"/>
  <c r="O25" i="267"/>
  <c r="F56" i="258" s="1"/>
  <c r="Q25" i="267"/>
  <c r="H56" i="258" s="1"/>
  <c r="L25" i="268"/>
  <c r="C57" i="258" s="1"/>
  <c r="N25" i="268"/>
  <c r="E57" i="258" s="1"/>
  <c r="O25" i="268"/>
  <c r="F57" i="258" s="1"/>
  <c r="P25" i="268"/>
  <c r="Q25"/>
  <c r="H57" i="258" s="1"/>
  <c r="R25" i="268"/>
  <c r="I57" i="258" s="1"/>
  <c r="S25" i="268"/>
  <c r="J57" i="258" s="1"/>
  <c r="L25" i="269"/>
  <c r="C58" i="258" s="1"/>
  <c r="N25" i="269"/>
  <c r="E58" i="258" s="1"/>
  <c r="O25" i="269"/>
  <c r="F58" i="258" s="1"/>
  <c r="P25" i="269"/>
  <c r="G58" i="258" s="1"/>
  <c r="Q25" i="269"/>
  <c r="H58" i="258" s="1"/>
  <c r="R25" i="269"/>
  <c r="S25"/>
  <c r="H54" i="258"/>
  <c r="M6" i="265"/>
  <c r="M7"/>
  <c r="M8"/>
  <c r="M9"/>
  <c r="M10"/>
  <c r="M11"/>
  <c r="M5"/>
  <c r="C4" i="287" s="1"/>
  <c r="L25" i="265"/>
  <c r="C54" i="258" s="1"/>
  <c r="N25" i="265"/>
  <c r="E54" i="258" s="1"/>
  <c r="O25" i="265"/>
  <c r="F54" i="258" s="1"/>
  <c r="P25" i="265"/>
  <c r="G54" i="258" s="1"/>
  <c r="Q25" i="265"/>
  <c r="R25"/>
  <c r="I54" i="258" s="1"/>
  <c r="S25" i="265"/>
  <c r="J54" i="258" s="1"/>
  <c r="T25" i="265"/>
  <c r="K54" i="258" s="1"/>
  <c r="U25" i="265"/>
  <c r="L54" i="258" s="1"/>
  <c r="F53"/>
  <c r="L25" i="264"/>
  <c r="C53" i="258" s="1"/>
  <c r="N25" i="264"/>
  <c r="E53" i="258" s="1"/>
  <c r="O25" i="264"/>
  <c r="P25"/>
  <c r="G53" i="258" s="1"/>
  <c r="Q25" i="264"/>
  <c r="H53" i="258" s="1"/>
  <c r="R25" i="264"/>
  <c r="I53" i="258" s="1"/>
  <c r="S25" i="264"/>
  <c r="J53" i="258" s="1"/>
  <c r="T25" i="264"/>
  <c r="K53" i="258" s="1"/>
  <c r="U25" i="264"/>
  <c r="L53" i="258" s="1"/>
  <c r="M6" i="264"/>
  <c r="M7"/>
  <c r="M8"/>
  <c r="C7" i="286" s="1"/>
  <c r="M9" i="264"/>
  <c r="C8" i="286" s="1"/>
  <c r="M10" i="264"/>
  <c r="M11"/>
  <c r="M5"/>
  <c r="D52" i="258"/>
  <c r="G52"/>
  <c r="H52"/>
  <c r="J52"/>
  <c r="K52"/>
  <c r="L52"/>
  <c r="C52"/>
  <c r="L25" i="263"/>
  <c r="N25"/>
  <c r="E52" i="258" s="1"/>
  <c r="O25" i="263"/>
  <c r="F52" i="258" s="1"/>
  <c r="R25" i="263"/>
  <c r="I52" i="258" s="1"/>
  <c r="M6" i="263"/>
  <c r="M7"/>
  <c r="M8"/>
  <c r="M5"/>
  <c r="E51" i="258"/>
  <c r="G51"/>
  <c r="H51"/>
  <c r="I51"/>
  <c r="J51"/>
  <c r="K51"/>
  <c r="L51"/>
  <c r="C51"/>
  <c r="M25" i="262"/>
  <c r="D51" i="258" s="1"/>
  <c r="L25" i="262"/>
  <c r="N25"/>
  <c r="O25"/>
  <c r="F51" i="258" s="1"/>
  <c r="M6" i="262"/>
  <c r="M7"/>
  <c r="C6" i="284" s="1"/>
  <c r="M8" i="262"/>
  <c r="M5"/>
  <c r="D50" i="258"/>
  <c r="E50"/>
  <c r="C50"/>
  <c r="O25" i="261"/>
  <c r="F50" i="258" s="1"/>
  <c r="P25" i="261"/>
  <c r="G50" i="258" s="1"/>
  <c r="Q25" i="261"/>
  <c r="H50" i="258" s="1"/>
  <c r="R25" i="261"/>
  <c r="I50" i="258" s="1"/>
  <c r="S25" i="261"/>
  <c r="J50" i="258" s="1"/>
  <c r="T25" i="261"/>
  <c r="K50" i="258" s="1"/>
  <c r="U25" i="261"/>
  <c r="L50" i="258" s="1"/>
  <c r="M25" i="261"/>
  <c r="C25"/>
  <c r="E25"/>
  <c r="F25"/>
  <c r="G25"/>
  <c r="H25"/>
  <c r="I25"/>
  <c r="J25"/>
  <c r="K25"/>
  <c r="L25"/>
  <c r="N25"/>
  <c r="M8"/>
  <c r="C7" i="283" s="1"/>
  <c r="M9" i="261"/>
  <c r="E49" i="258"/>
  <c r="G49"/>
  <c r="H49"/>
  <c r="I49"/>
  <c r="L49"/>
  <c r="C49"/>
  <c r="L25" i="260"/>
  <c r="U25"/>
  <c r="T25"/>
  <c r="K49" i="258" s="1"/>
  <c r="S25" i="260"/>
  <c r="J49" i="258" s="1"/>
  <c r="R25" i="260"/>
  <c r="Q25"/>
  <c r="M25"/>
  <c r="D49" i="258" s="1"/>
  <c r="C25" i="260"/>
  <c r="G25"/>
  <c r="H25"/>
  <c r="I25"/>
  <c r="J25"/>
  <c r="K25"/>
  <c r="N25"/>
  <c r="O25"/>
  <c r="F49" i="258" s="1"/>
  <c r="M8" i="260"/>
  <c r="C7" i="282" s="1"/>
  <c r="M9" i="260"/>
  <c r="C8" i="282" s="1"/>
  <c r="D30" i="153"/>
  <c r="E30"/>
  <c r="D30" i="152"/>
  <c r="E30"/>
  <c r="D28" i="153"/>
  <c r="E28"/>
  <c r="D28" i="152"/>
  <c r="E28"/>
  <c r="C31" i="162"/>
  <c r="D31"/>
  <c r="E31"/>
  <c r="H31"/>
  <c r="I31"/>
  <c r="J31"/>
  <c r="K31"/>
  <c r="L31"/>
  <c r="M31"/>
  <c r="N31"/>
  <c r="O31"/>
  <c r="P31"/>
  <c r="Q31"/>
  <c r="R31"/>
  <c r="S31"/>
  <c r="C31" i="161"/>
  <c r="D31"/>
  <c r="E31"/>
  <c r="H31"/>
  <c r="I31"/>
  <c r="J31"/>
  <c r="K31"/>
  <c r="L31"/>
  <c r="M31"/>
  <c r="N31"/>
  <c r="O31"/>
  <c r="P31"/>
  <c r="Q31"/>
  <c r="R31"/>
  <c r="S31"/>
  <c r="B31" i="162"/>
  <c r="B31" i="161"/>
  <c r="C29" i="162"/>
  <c r="D29"/>
  <c r="E29"/>
  <c r="F29"/>
  <c r="G29"/>
  <c r="H29"/>
  <c r="I29"/>
  <c r="J29"/>
  <c r="K29"/>
  <c r="L29"/>
  <c r="M29"/>
  <c r="N29"/>
  <c r="O29"/>
  <c r="P29"/>
  <c r="Q29"/>
  <c r="R29"/>
  <c r="S29"/>
  <c r="C29" i="161"/>
  <c r="D29"/>
  <c r="E29"/>
  <c r="F29"/>
  <c r="G29"/>
  <c r="H29"/>
  <c r="I29"/>
  <c r="J29"/>
  <c r="K29"/>
  <c r="L29"/>
  <c r="M29"/>
  <c r="N29"/>
  <c r="O29"/>
  <c r="P29"/>
  <c r="Q29"/>
  <c r="R29"/>
  <c r="S29"/>
  <c r="B29" i="162"/>
  <c r="B29" i="161"/>
  <c r="C31" i="160"/>
  <c r="D31"/>
  <c r="E31"/>
  <c r="H31"/>
  <c r="I31"/>
  <c r="J31"/>
  <c r="K31"/>
  <c r="N31"/>
  <c r="O31"/>
  <c r="Q31"/>
  <c r="T31"/>
  <c r="U31"/>
  <c r="W31"/>
  <c r="C31" i="159"/>
  <c r="D31"/>
  <c r="E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1" i="160"/>
  <c r="B31" i="159"/>
  <c r="C29" i="160"/>
  <c r="D29"/>
  <c r="E29"/>
  <c r="F29"/>
  <c r="G29"/>
  <c r="H29"/>
  <c r="I29"/>
  <c r="J29"/>
  <c r="K29"/>
  <c r="N29"/>
  <c r="O29"/>
  <c r="Q29"/>
  <c r="T29"/>
  <c r="U29"/>
  <c r="W29"/>
  <c r="C29" i="15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29" i="160"/>
  <c r="B29" i="159"/>
  <c r="C31" i="147"/>
  <c r="D31"/>
  <c r="C31" i="149"/>
  <c r="D31"/>
  <c r="C29"/>
  <c r="D29"/>
  <c r="G29"/>
  <c r="C29" i="147"/>
  <c r="D29"/>
  <c r="G29"/>
  <c r="D27" i="132"/>
  <c r="E27"/>
  <c r="I27"/>
  <c r="J27"/>
  <c r="K27"/>
  <c r="D27" i="131"/>
  <c r="E27"/>
  <c r="I27"/>
  <c r="J27"/>
  <c r="K27"/>
  <c r="B27" i="132"/>
  <c r="B27" i="131"/>
  <c r="D25" i="132"/>
  <c r="E25"/>
  <c r="I25"/>
  <c r="J25"/>
  <c r="K25"/>
  <c r="D25" i="131"/>
  <c r="E25"/>
  <c r="I25"/>
  <c r="J25"/>
  <c r="K25"/>
  <c r="B25" i="132"/>
  <c r="B25" i="131"/>
  <c r="B39" i="4"/>
  <c r="B39" i="3"/>
  <c r="B37" i="4"/>
  <c r="B37" i="3"/>
  <c r="J38" i="221"/>
  <c r="J38" i="220"/>
  <c r="C38" i="221"/>
  <c r="D38"/>
  <c r="H38"/>
  <c r="I38"/>
  <c r="C38" i="220"/>
  <c r="D38"/>
  <c r="H38"/>
  <c r="I38"/>
  <c r="B38" i="221"/>
  <c r="B38" i="220"/>
  <c r="L40" i="128"/>
  <c r="M40"/>
  <c r="N40"/>
  <c r="O40"/>
  <c r="P40"/>
  <c r="Q40"/>
  <c r="R40"/>
  <c r="S40"/>
  <c r="T40"/>
  <c r="U40"/>
  <c r="L40" i="127"/>
  <c r="M40"/>
  <c r="N40"/>
  <c r="O40"/>
  <c r="P40"/>
  <c r="Q40"/>
  <c r="R40"/>
  <c r="S40"/>
  <c r="T40"/>
  <c r="U40"/>
  <c r="C39" i="130"/>
  <c r="D39"/>
  <c r="E39"/>
  <c r="I39"/>
  <c r="J39"/>
  <c r="K39"/>
  <c r="B39"/>
  <c r="C37"/>
  <c r="D37"/>
  <c r="E37"/>
  <c r="I37"/>
  <c r="J37"/>
  <c r="K37"/>
  <c r="B37"/>
  <c r="C39" i="129"/>
  <c r="D39"/>
  <c r="E39"/>
  <c r="I39"/>
  <c r="J39"/>
  <c r="K39"/>
  <c r="B39"/>
  <c r="L40" i="158"/>
  <c r="M40"/>
  <c r="N40"/>
  <c r="O40"/>
  <c r="P40"/>
  <c r="Q40"/>
  <c r="R40"/>
  <c r="S40"/>
  <c r="T40"/>
  <c r="U40"/>
  <c r="C38"/>
  <c r="D38"/>
  <c r="E38"/>
  <c r="I38"/>
  <c r="J38"/>
  <c r="K38"/>
  <c r="L38"/>
  <c r="M38"/>
  <c r="N38"/>
  <c r="O38"/>
  <c r="P38"/>
  <c r="Q38"/>
  <c r="R38"/>
  <c r="S38"/>
  <c r="T38"/>
  <c r="U38"/>
  <c r="B38"/>
  <c r="L40" i="157"/>
  <c r="M40"/>
  <c r="N40"/>
  <c r="O40"/>
  <c r="P40"/>
  <c r="Q40"/>
  <c r="R40"/>
  <c r="S40"/>
  <c r="T40"/>
  <c r="U40"/>
  <c r="C38"/>
  <c r="D38"/>
  <c r="E38"/>
  <c r="I38"/>
  <c r="J38"/>
  <c r="K38"/>
  <c r="L38"/>
  <c r="M38"/>
  <c r="N38"/>
  <c r="O38"/>
  <c r="P38"/>
  <c r="Q38"/>
  <c r="R38"/>
  <c r="S38"/>
  <c r="T38"/>
  <c r="U38"/>
  <c r="B38"/>
  <c r="L40" i="1"/>
  <c r="M40"/>
  <c r="N40"/>
  <c r="O40"/>
  <c r="P40"/>
  <c r="Q40"/>
  <c r="R40"/>
  <c r="S40"/>
  <c r="T40"/>
  <c r="U40"/>
  <c r="C38"/>
  <c r="D38"/>
  <c r="E38"/>
  <c r="I38"/>
  <c r="J38"/>
  <c r="K38"/>
  <c r="L38"/>
  <c r="M38"/>
  <c r="N38"/>
  <c r="O38"/>
  <c r="P38"/>
  <c r="Q38"/>
  <c r="R38"/>
  <c r="S38"/>
  <c r="T38"/>
  <c r="U38"/>
  <c r="B38"/>
  <c r="L40" i="2"/>
  <c r="M40"/>
  <c r="N40"/>
  <c r="O40"/>
  <c r="P40"/>
  <c r="Q40"/>
  <c r="R40"/>
  <c r="S40"/>
  <c r="T40"/>
  <c r="U40"/>
  <c r="C38"/>
  <c r="D38"/>
  <c r="E38"/>
  <c r="I38"/>
  <c r="J38"/>
  <c r="K38"/>
  <c r="L38"/>
  <c r="M38"/>
  <c r="N38"/>
  <c r="O38"/>
  <c r="P38"/>
  <c r="Q38"/>
  <c r="R38"/>
  <c r="S38"/>
  <c r="T38"/>
  <c r="U38"/>
  <c r="B38"/>
  <c r="AN41" i="258"/>
  <c r="AN45"/>
  <c r="P16"/>
  <c r="T16"/>
  <c r="U16"/>
  <c r="V16"/>
  <c r="W16"/>
  <c r="X16"/>
  <c r="T27"/>
  <c r="U27"/>
  <c r="V27"/>
  <c r="W27"/>
  <c r="X27"/>
  <c r="D16"/>
  <c r="H16"/>
  <c r="I16"/>
  <c r="J16"/>
  <c r="K16"/>
  <c r="L16"/>
  <c r="D17"/>
  <c r="F17"/>
  <c r="G17"/>
  <c r="H17"/>
  <c r="I17"/>
  <c r="J17"/>
  <c r="K17"/>
  <c r="L17"/>
  <c r="D18"/>
  <c r="G18"/>
  <c r="I18"/>
  <c r="J18"/>
  <c r="K18"/>
  <c r="L18"/>
  <c r="D19"/>
  <c r="G19"/>
  <c r="H19"/>
  <c r="I19"/>
  <c r="J19"/>
  <c r="K19"/>
  <c r="L19"/>
  <c r="D22"/>
  <c r="F22"/>
  <c r="H22"/>
  <c r="I22"/>
  <c r="J22"/>
  <c r="K22"/>
  <c r="L22"/>
  <c r="D23"/>
  <c r="G23"/>
  <c r="I23"/>
  <c r="J23"/>
  <c r="K23"/>
  <c r="L23"/>
  <c r="G24"/>
  <c r="I24"/>
  <c r="K24"/>
  <c r="L24"/>
  <c r="D27"/>
  <c r="H27"/>
  <c r="I27"/>
  <c r="J27"/>
  <c r="K27"/>
  <c r="L27"/>
  <c r="D28"/>
  <c r="F28"/>
  <c r="G28"/>
  <c r="H28"/>
  <c r="I28"/>
  <c r="J28"/>
  <c r="K28"/>
  <c r="L28"/>
  <c r="D29"/>
  <c r="G29"/>
  <c r="I29"/>
  <c r="J29"/>
  <c r="K29"/>
  <c r="L29"/>
  <c r="D30"/>
  <c r="G30"/>
  <c r="H30"/>
  <c r="I30"/>
  <c r="J30"/>
  <c r="K30"/>
  <c r="L30"/>
  <c r="D33"/>
  <c r="F33"/>
  <c r="H33"/>
  <c r="I33"/>
  <c r="J33"/>
  <c r="K33"/>
  <c r="L33"/>
  <c r="D34"/>
  <c r="G34"/>
  <c r="I34"/>
  <c r="J34"/>
  <c r="K34"/>
  <c r="L34"/>
  <c r="G35"/>
  <c r="I35"/>
  <c r="K35"/>
  <c r="L35"/>
  <c r="C4" i="290" l="1"/>
  <c r="P57" i="258"/>
  <c r="I21" i="298"/>
  <c r="AT10" i="258" s="1"/>
  <c r="H21" i="301"/>
  <c r="AS13" i="258" s="1"/>
  <c r="G21" i="298"/>
  <c r="AR10" i="258" s="1"/>
  <c r="G21" i="297"/>
  <c r="AR9" i="258" s="1"/>
  <c r="I21" i="297"/>
  <c r="AT9" i="258" s="1"/>
  <c r="C8" i="290"/>
  <c r="C9"/>
  <c r="C5"/>
  <c r="P11" i="258"/>
  <c r="P54"/>
  <c r="C10" i="287"/>
  <c r="C6"/>
  <c r="C9"/>
  <c r="C5"/>
  <c r="C9" i="286"/>
  <c r="C10"/>
  <c r="C6"/>
  <c r="C5"/>
  <c r="C6" i="285"/>
  <c r="C5" i="284"/>
  <c r="C4"/>
  <c r="C5" i="281"/>
  <c r="C9"/>
  <c r="G21" i="302"/>
  <c r="AR14" i="258" s="1"/>
  <c r="H21" i="302"/>
  <c r="AS14" i="258" s="1"/>
  <c r="G21" i="300"/>
  <c r="AR12" i="258" s="1"/>
  <c r="G21" i="296"/>
  <c r="AR8" i="258" s="1"/>
  <c r="C10" i="281"/>
  <c r="C6"/>
  <c r="G8" i="292"/>
  <c r="P13" i="258"/>
  <c r="P12"/>
  <c r="P55"/>
  <c r="P4"/>
  <c r="C24" i="220"/>
  <c r="C24" i="233"/>
  <c r="C24" i="157"/>
  <c r="G21" i="299"/>
  <c r="AR11" i="258" s="1"/>
  <c r="G21" i="295"/>
  <c r="AR7" i="258" s="1"/>
  <c r="K22" i="290"/>
  <c r="AJ35" i="258" s="1"/>
  <c r="K21" i="290"/>
  <c r="AJ24" i="258" s="1"/>
  <c r="J21" i="290"/>
  <c r="AI24" i="258" s="1"/>
  <c r="J22" i="290"/>
  <c r="AI35" i="258" s="1"/>
  <c r="I22" i="290"/>
  <c r="AH35" i="258" s="1"/>
  <c r="H22" i="290"/>
  <c r="AG35" i="258" s="1"/>
  <c r="H21" i="290"/>
  <c r="AG24" i="258" s="1"/>
  <c r="F21" i="290"/>
  <c r="AE24" i="258" s="1"/>
  <c r="F22" i="290"/>
  <c r="AE35" i="258" s="1"/>
  <c r="K22" i="289"/>
  <c r="AJ34" i="258" s="1"/>
  <c r="K21" i="289"/>
  <c r="AJ23" i="258" s="1"/>
  <c r="J21" i="289"/>
  <c r="AI23" i="258" s="1"/>
  <c r="J22" i="289"/>
  <c r="AI34" i="258" s="1"/>
  <c r="I22" i="289"/>
  <c r="AH34" i="258" s="1"/>
  <c r="I21" i="289"/>
  <c r="AH23" i="258" s="1"/>
  <c r="H21" i="289"/>
  <c r="AG23" i="258" s="1"/>
  <c r="H22" i="289"/>
  <c r="AG34" i="258" s="1"/>
  <c r="F22" i="289"/>
  <c r="AE34" i="258" s="1"/>
  <c r="F21" i="289"/>
  <c r="AE23" i="258" s="1"/>
  <c r="C21" i="289"/>
  <c r="AB23" i="258" s="1"/>
  <c r="C22" i="289"/>
  <c r="AB34" i="258" s="1"/>
  <c r="K22" i="288"/>
  <c r="AJ33" i="258" s="1"/>
  <c r="K21" i="288"/>
  <c r="AJ22" i="258" s="1"/>
  <c r="J21" i="288"/>
  <c r="AI22" i="258" s="1"/>
  <c r="J22" i="288"/>
  <c r="AI33" i="258" s="1"/>
  <c r="I22" i="288"/>
  <c r="AH33" i="258" s="1"/>
  <c r="I21" i="288"/>
  <c r="AH22" i="258" s="1"/>
  <c r="H21" i="288"/>
  <c r="AG22" i="258" s="1"/>
  <c r="H22" i="288"/>
  <c r="AG33" i="258" s="1"/>
  <c r="G22" i="288"/>
  <c r="AF33" i="258" s="1"/>
  <c r="G21" i="288"/>
  <c r="AF22" i="258" s="1"/>
  <c r="F21" i="288"/>
  <c r="AE22" i="258" s="1"/>
  <c r="F22" i="288"/>
  <c r="AE33" i="258" s="1"/>
  <c r="E22" i="288"/>
  <c r="AD33" i="258" s="1"/>
  <c r="E21" i="288"/>
  <c r="AD22" i="258" s="1"/>
  <c r="C22" i="288"/>
  <c r="AB33" i="258" s="1"/>
  <c r="K21" i="285"/>
  <c r="K22"/>
  <c r="AJ30" i="258" s="1"/>
  <c r="J22" i="285"/>
  <c r="AI30" i="258" s="1"/>
  <c r="J21" i="285"/>
  <c r="I21"/>
  <c r="I22"/>
  <c r="AH30" i="258" s="1"/>
  <c r="H22" i="285"/>
  <c r="AG30" i="258" s="1"/>
  <c r="H21" i="285"/>
  <c r="G21"/>
  <c r="G22"/>
  <c r="AF30" i="258" s="1"/>
  <c r="F22" i="285"/>
  <c r="AE30" i="258" s="1"/>
  <c r="F21" i="285"/>
  <c r="C21"/>
  <c r="C22"/>
  <c r="AB30" i="258" s="1"/>
  <c r="AJ29"/>
  <c r="AJ18"/>
  <c r="AI18"/>
  <c r="AI29"/>
  <c r="AH29"/>
  <c r="AH18"/>
  <c r="AG18"/>
  <c r="AG29"/>
  <c r="AF29"/>
  <c r="AE29"/>
  <c r="AE18"/>
  <c r="AB18"/>
  <c r="AB29"/>
  <c r="K22" i="283"/>
  <c r="AJ28" i="258" s="1"/>
  <c r="K21" i="283"/>
  <c r="AJ17" i="258" s="1"/>
  <c r="J21" i="283"/>
  <c r="AI17" i="258" s="1"/>
  <c r="J22" i="283"/>
  <c r="AI28" i="258" s="1"/>
  <c r="I22" i="283"/>
  <c r="AH28" i="258" s="1"/>
  <c r="I21" i="283"/>
  <c r="AH17" i="258" s="1"/>
  <c r="H21" i="283"/>
  <c r="AG17" i="258" s="1"/>
  <c r="H22" i="283"/>
  <c r="AG28" i="258" s="1"/>
  <c r="G22" i="283"/>
  <c r="AF28" i="258" s="1"/>
  <c r="G21" i="283"/>
  <c r="AF17" i="258" s="1"/>
  <c r="F21" i="283"/>
  <c r="AE17" i="258" s="1"/>
  <c r="F22" i="283"/>
  <c r="AE28" i="258" s="1"/>
  <c r="E22" i="283"/>
  <c r="AD28" i="258" s="1"/>
  <c r="E21" i="283"/>
  <c r="AD17" i="258" s="1"/>
  <c r="C21" i="283"/>
  <c r="AB17" i="258" s="1"/>
  <c r="C22" i="283"/>
  <c r="AB28" i="258" s="1"/>
  <c r="K22" i="282"/>
  <c r="AJ27" i="258" s="1"/>
  <c r="K21" i="282"/>
  <c r="AJ16" i="258" s="1"/>
  <c r="J21" i="282"/>
  <c r="AI16" i="258" s="1"/>
  <c r="J22" i="282"/>
  <c r="AI27" i="258" s="1"/>
  <c r="I22" i="282"/>
  <c r="AH27" i="258" s="1"/>
  <c r="I21" i="282"/>
  <c r="AH16" i="258" s="1"/>
  <c r="H21" i="282"/>
  <c r="AG16" i="258" s="1"/>
  <c r="H22" i="282"/>
  <c r="AG27" i="258" s="1"/>
  <c r="G22" i="282"/>
  <c r="AF27" i="258" s="1"/>
  <c r="G21" i="282"/>
  <c r="AF16" i="258" s="1"/>
  <c r="C21" i="282"/>
  <c r="AB16" i="258" s="1"/>
  <c r="C22" i="282"/>
  <c r="AB27" i="258" s="1"/>
  <c r="X24"/>
  <c r="X35"/>
  <c r="W35"/>
  <c r="W24"/>
  <c r="V35"/>
  <c r="U35"/>
  <c r="U24"/>
  <c r="S24"/>
  <c r="P35"/>
  <c r="X34"/>
  <c r="X23"/>
  <c r="W23"/>
  <c r="W34"/>
  <c r="V34"/>
  <c r="V23"/>
  <c r="U23"/>
  <c r="U34"/>
  <c r="S23"/>
  <c r="P23"/>
  <c r="X33"/>
  <c r="X22"/>
  <c r="W22"/>
  <c r="W33"/>
  <c r="V33"/>
  <c r="V22"/>
  <c r="U22"/>
  <c r="U33"/>
  <c r="S22"/>
  <c r="P22"/>
  <c r="X19"/>
  <c r="X30"/>
  <c r="W30"/>
  <c r="W19"/>
  <c r="V19"/>
  <c r="V30"/>
  <c r="U30"/>
  <c r="U19"/>
  <c r="T19"/>
  <c r="T30"/>
  <c r="S30"/>
  <c r="S19"/>
  <c r="P19"/>
  <c r="X29"/>
  <c r="X18"/>
  <c r="W18"/>
  <c r="W29"/>
  <c r="V29"/>
  <c r="V18"/>
  <c r="U18"/>
  <c r="U29"/>
  <c r="T29"/>
  <c r="S29"/>
  <c r="S18"/>
  <c r="P18"/>
  <c r="P17"/>
  <c r="Q17"/>
  <c r="Q28"/>
  <c r="X17"/>
  <c r="X28"/>
  <c r="W28"/>
  <c r="W17"/>
  <c r="V17"/>
  <c r="V28"/>
  <c r="U28"/>
  <c r="U17"/>
  <c r="T17"/>
  <c r="T28"/>
  <c r="S28"/>
  <c r="S17"/>
  <c r="R17"/>
  <c r="R28"/>
  <c r="C23" i="282"/>
  <c r="AB38" i="258" s="1"/>
  <c r="G23" i="282"/>
  <c r="AF38" i="258" s="1"/>
  <c r="H23" i="282"/>
  <c r="AG38" i="258" s="1"/>
  <c r="I23" i="282"/>
  <c r="AH38" i="258" s="1"/>
  <c r="J23" i="282"/>
  <c r="AI38" i="258" s="1"/>
  <c r="K23" i="282"/>
  <c r="AJ38" i="258" s="1"/>
  <c r="C23" i="283"/>
  <c r="AB39" i="258" s="1"/>
  <c r="E23" i="283"/>
  <c r="AD39" i="258" s="1"/>
  <c r="G23" i="283"/>
  <c r="AF39" i="258" s="1"/>
  <c r="H23" i="283"/>
  <c r="AG39" i="258" s="1"/>
  <c r="I23" i="283"/>
  <c r="AH39" i="258" s="1"/>
  <c r="J23" i="283"/>
  <c r="AI39" i="258" s="1"/>
  <c r="K23" i="283"/>
  <c r="AJ39" i="258" s="1"/>
  <c r="AB40"/>
  <c r="AH40"/>
  <c r="AI40"/>
  <c r="AJ40"/>
  <c r="C23" i="285"/>
  <c r="AB41" i="258" s="1"/>
  <c r="I23" i="285"/>
  <c r="AH41" i="258" s="1"/>
  <c r="J23" i="285"/>
  <c r="AI41" i="258" s="1"/>
  <c r="K23" i="285"/>
  <c r="AJ41" i="258" s="1"/>
  <c r="E23" i="288"/>
  <c r="AD44" i="258" s="1"/>
  <c r="F23" i="288"/>
  <c r="AE44" i="258" s="1"/>
  <c r="G23" i="288"/>
  <c r="AF44" i="258" s="1"/>
  <c r="H23" i="288"/>
  <c r="AG44" i="258" s="1"/>
  <c r="AH44"/>
  <c r="J23" i="288"/>
  <c r="AI44" i="258" s="1"/>
  <c r="K23" i="288"/>
  <c r="AJ44" i="258" s="1"/>
  <c r="F23" i="289"/>
  <c r="AE45" i="258" s="1"/>
  <c r="H23" i="289"/>
  <c r="AG45" i="258" s="1"/>
  <c r="J23" i="289"/>
  <c r="AI45" i="258" s="1"/>
  <c r="K23" i="289"/>
  <c r="AJ45" i="258" s="1"/>
  <c r="Q16"/>
  <c r="R16"/>
  <c r="S16"/>
  <c r="Q27"/>
  <c r="R27"/>
  <c r="S27"/>
  <c r="Q38"/>
  <c r="R38"/>
  <c r="S38"/>
  <c r="T38"/>
  <c r="U38"/>
  <c r="V38"/>
  <c r="W38"/>
  <c r="X38"/>
  <c r="P39"/>
  <c r="Q39"/>
  <c r="R39"/>
  <c r="S39"/>
  <c r="T39"/>
  <c r="U39"/>
  <c r="V39"/>
  <c r="W39"/>
  <c r="X39"/>
  <c r="Q18"/>
  <c r="R18"/>
  <c r="T18"/>
  <c r="Q29"/>
  <c r="R29"/>
  <c r="P40"/>
  <c r="Q40"/>
  <c r="R40"/>
  <c r="S40"/>
  <c r="T40"/>
  <c r="U40"/>
  <c r="V40"/>
  <c r="W40"/>
  <c r="X40"/>
  <c r="Q19"/>
  <c r="R19"/>
  <c r="Q30"/>
  <c r="R30"/>
  <c r="P41"/>
  <c r="Q41"/>
  <c r="R41"/>
  <c r="S41"/>
  <c r="T41"/>
  <c r="U41"/>
  <c r="V41"/>
  <c r="W41"/>
  <c r="X41"/>
  <c r="P20"/>
  <c r="Q20"/>
  <c r="R20"/>
  <c r="S20"/>
  <c r="T20"/>
  <c r="U20"/>
  <c r="V20"/>
  <c r="W20"/>
  <c r="X20"/>
  <c r="P31"/>
  <c r="Q31"/>
  <c r="R31"/>
  <c r="S31"/>
  <c r="T31"/>
  <c r="U31"/>
  <c r="V31"/>
  <c r="W31"/>
  <c r="X31"/>
  <c r="P42"/>
  <c r="Q42"/>
  <c r="R42"/>
  <c r="S42"/>
  <c r="T42"/>
  <c r="U42"/>
  <c r="V42"/>
  <c r="W42"/>
  <c r="X42"/>
  <c r="P21"/>
  <c r="Q21"/>
  <c r="R21"/>
  <c r="S21"/>
  <c r="T21"/>
  <c r="U21"/>
  <c r="V21"/>
  <c r="W21"/>
  <c r="X21"/>
  <c r="P32"/>
  <c r="Q32"/>
  <c r="R32"/>
  <c r="S32"/>
  <c r="T32"/>
  <c r="U32"/>
  <c r="V32"/>
  <c r="W32"/>
  <c r="X32"/>
  <c r="P43"/>
  <c r="Q43"/>
  <c r="R43"/>
  <c r="S43"/>
  <c r="T43"/>
  <c r="U43"/>
  <c r="V43"/>
  <c r="W43"/>
  <c r="X43"/>
  <c r="Q22"/>
  <c r="R22"/>
  <c r="T22"/>
  <c r="Q33"/>
  <c r="R33"/>
  <c r="T33"/>
  <c r="P44"/>
  <c r="Q44"/>
  <c r="R44"/>
  <c r="S44"/>
  <c r="T44"/>
  <c r="U44"/>
  <c r="V44"/>
  <c r="W44"/>
  <c r="X44"/>
  <c r="Q23"/>
  <c r="R23"/>
  <c r="T23"/>
  <c r="Q34"/>
  <c r="R34"/>
  <c r="T34"/>
  <c r="P45"/>
  <c r="Q45"/>
  <c r="R45"/>
  <c r="S45"/>
  <c r="T45"/>
  <c r="U45"/>
  <c r="V45"/>
  <c r="W45"/>
  <c r="X45"/>
  <c r="P24"/>
  <c r="Q24"/>
  <c r="R24"/>
  <c r="T24"/>
  <c r="V24"/>
  <c r="Q35"/>
  <c r="R35"/>
  <c r="T35"/>
  <c r="P46"/>
  <c r="Q46"/>
  <c r="R46"/>
  <c r="S46"/>
  <c r="T46"/>
  <c r="U46"/>
  <c r="V46"/>
  <c r="W46"/>
  <c r="X46"/>
  <c r="P25"/>
  <c r="Q25"/>
  <c r="R25"/>
  <c r="S25"/>
  <c r="T25"/>
  <c r="U25"/>
  <c r="V25"/>
  <c r="W25"/>
  <c r="X25"/>
  <c r="P36"/>
  <c r="Q36"/>
  <c r="R36"/>
  <c r="S36"/>
  <c r="T36"/>
  <c r="U36"/>
  <c r="V36"/>
  <c r="W36"/>
  <c r="X36"/>
  <c r="P47"/>
  <c r="Q47"/>
  <c r="R47"/>
  <c r="S47"/>
  <c r="T47"/>
  <c r="U47"/>
  <c r="V47"/>
  <c r="W47"/>
  <c r="X47"/>
  <c r="Q15"/>
  <c r="R15"/>
  <c r="S15"/>
  <c r="T15"/>
  <c r="U15"/>
  <c r="V15"/>
  <c r="W15"/>
  <c r="X15"/>
  <c r="Q26"/>
  <c r="R26"/>
  <c r="S26"/>
  <c r="T26"/>
  <c r="U26"/>
  <c r="V26"/>
  <c r="W26"/>
  <c r="X26"/>
  <c r="Q37"/>
  <c r="R37"/>
  <c r="S37"/>
  <c r="T37"/>
  <c r="U37"/>
  <c r="V37"/>
  <c r="W37"/>
  <c r="X37"/>
  <c r="O38"/>
  <c r="O39"/>
  <c r="O40"/>
  <c r="O41"/>
  <c r="O42"/>
  <c r="O43"/>
  <c r="O44"/>
  <c r="O45"/>
  <c r="O46"/>
  <c r="O47"/>
  <c r="O37"/>
  <c r="M13" i="266"/>
  <c r="C12" i="288" s="1"/>
  <c r="M16" i="266"/>
  <c r="C15" i="288" s="1"/>
  <c r="C21" s="1"/>
  <c r="AB22" i="258" s="1"/>
  <c r="M12" i="266"/>
  <c r="A224" i="165"/>
  <c r="A223"/>
  <c r="A159"/>
  <c r="J49" i="337"/>
  <c r="I49"/>
  <c r="H49"/>
  <c r="G49"/>
  <c r="F49"/>
  <c r="E49"/>
  <c r="D49"/>
  <c r="C49"/>
  <c r="B49"/>
  <c r="O46"/>
  <c r="N46"/>
  <c r="M46"/>
  <c r="L46"/>
  <c r="K46"/>
  <c r="F46"/>
  <c r="O45"/>
  <c r="N45"/>
  <c r="M45"/>
  <c r="L45"/>
  <c r="K45"/>
  <c r="F45"/>
  <c r="O44"/>
  <c r="N44"/>
  <c r="M44"/>
  <c r="L44"/>
  <c r="K44"/>
  <c r="F44"/>
  <c r="O43"/>
  <c r="N43"/>
  <c r="M43"/>
  <c r="L43"/>
  <c r="K43"/>
  <c r="F43"/>
  <c r="P43" s="1"/>
  <c r="O42"/>
  <c r="N42"/>
  <c r="M42"/>
  <c r="L42"/>
  <c r="K42"/>
  <c r="F42"/>
  <c r="J37"/>
  <c r="I37"/>
  <c r="H37"/>
  <c r="G37"/>
  <c r="E37"/>
  <c r="D37"/>
  <c r="C37"/>
  <c r="B37"/>
  <c r="O34"/>
  <c r="N34"/>
  <c r="M34"/>
  <c r="L34"/>
  <c r="K34"/>
  <c r="F34"/>
  <c r="O33"/>
  <c r="N33"/>
  <c r="M33"/>
  <c r="L33"/>
  <c r="K33"/>
  <c r="F33"/>
  <c r="O32"/>
  <c r="N32"/>
  <c r="M32"/>
  <c r="L32"/>
  <c r="K32"/>
  <c r="F32"/>
  <c r="P32" s="1"/>
  <c r="O31"/>
  <c r="N31"/>
  <c r="M31"/>
  <c r="L31"/>
  <c r="K31"/>
  <c r="F31"/>
  <c r="O30"/>
  <c r="N30"/>
  <c r="M30"/>
  <c r="L30"/>
  <c r="K30"/>
  <c r="F30"/>
  <c r="O25"/>
  <c r="J25"/>
  <c r="I25"/>
  <c r="H25"/>
  <c r="G25"/>
  <c r="E25"/>
  <c r="D25"/>
  <c r="C25"/>
  <c r="B25"/>
  <c r="O22"/>
  <c r="N22"/>
  <c r="M22"/>
  <c r="L22"/>
  <c r="K22"/>
  <c r="F22"/>
  <c r="P22" s="1"/>
  <c r="O21"/>
  <c r="N21"/>
  <c r="M21"/>
  <c r="L21"/>
  <c r="K21"/>
  <c r="F21"/>
  <c r="O20"/>
  <c r="N20"/>
  <c r="M20"/>
  <c r="L20"/>
  <c r="K20"/>
  <c r="F20"/>
  <c r="O19"/>
  <c r="N19"/>
  <c r="M19"/>
  <c r="L19"/>
  <c r="K19"/>
  <c r="F19"/>
  <c r="O18"/>
  <c r="N18"/>
  <c r="M18"/>
  <c r="L18"/>
  <c r="L25" s="1"/>
  <c r="K18"/>
  <c r="F18"/>
  <c r="P18" s="1"/>
  <c r="J13"/>
  <c r="I13"/>
  <c r="H13"/>
  <c r="G13"/>
  <c r="F13"/>
  <c r="E13"/>
  <c r="D13"/>
  <c r="C13"/>
  <c r="B13"/>
  <c r="O10"/>
  <c r="N10"/>
  <c r="M10"/>
  <c r="L10"/>
  <c r="K10"/>
  <c r="F10"/>
  <c r="O9"/>
  <c r="N9"/>
  <c r="M9"/>
  <c r="L9"/>
  <c r="K9"/>
  <c r="F9"/>
  <c r="O8"/>
  <c r="N8"/>
  <c r="M8"/>
  <c r="L8"/>
  <c r="K8"/>
  <c r="F8"/>
  <c r="O7"/>
  <c r="N7"/>
  <c r="M7"/>
  <c r="L7"/>
  <c r="K7"/>
  <c r="F7"/>
  <c r="P7" s="1"/>
  <c r="O6"/>
  <c r="N6"/>
  <c r="M6"/>
  <c r="L6"/>
  <c r="L13" s="1"/>
  <c r="K6"/>
  <c r="F6"/>
  <c r="A158" i="165"/>
  <c r="A162"/>
  <c r="O49" i="335"/>
  <c r="J49"/>
  <c r="I49"/>
  <c r="H49"/>
  <c r="G49"/>
  <c r="E49"/>
  <c r="D49"/>
  <c r="C49"/>
  <c r="B49"/>
  <c r="O46"/>
  <c r="N46"/>
  <c r="M46"/>
  <c r="L46"/>
  <c r="K46"/>
  <c r="K49" s="1"/>
  <c r="F46"/>
  <c r="O45"/>
  <c r="N45"/>
  <c r="M45"/>
  <c r="L45"/>
  <c r="K45"/>
  <c r="F45"/>
  <c r="O44"/>
  <c r="N44"/>
  <c r="M44"/>
  <c r="L44"/>
  <c r="K44"/>
  <c r="F44"/>
  <c r="O43"/>
  <c r="N43"/>
  <c r="M43"/>
  <c r="L43"/>
  <c r="K43"/>
  <c r="F43"/>
  <c r="O42"/>
  <c r="N42"/>
  <c r="M42"/>
  <c r="L42"/>
  <c r="K42"/>
  <c r="F42"/>
  <c r="P42" s="1"/>
  <c r="O37"/>
  <c r="J37"/>
  <c r="I37"/>
  <c r="H37"/>
  <c r="G37"/>
  <c r="E37"/>
  <c r="D37"/>
  <c r="C37"/>
  <c r="B37"/>
  <c r="O34"/>
  <c r="N34"/>
  <c r="M34"/>
  <c r="L34"/>
  <c r="K34"/>
  <c r="K37" s="1"/>
  <c r="F34"/>
  <c r="O33"/>
  <c r="N33"/>
  <c r="M33"/>
  <c r="L33"/>
  <c r="K33"/>
  <c r="F33"/>
  <c r="O32"/>
  <c r="N32"/>
  <c r="M32"/>
  <c r="L32"/>
  <c r="K32"/>
  <c r="F32"/>
  <c r="O31"/>
  <c r="N31"/>
  <c r="M31"/>
  <c r="L31"/>
  <c r="K31"/>
  <c r="F31"/>
  <c r="O30"/>
  <c r="N30"/>
  <c r="M30"/>
  <c r="L30"/>
  <c r="K30"/>
  <c r="F30"/>
  <c r="P30" s="1"/>
  <c r="O25"/>
  <c r="J25"/>
  <c r="I25"/>
  <c r="H25"/>
  <c r="G25"/>
  <c r="E25"/>
  <c r="D25"/>
  <c r="C25"/>
  <c r="B25"/>
  <c r="O22"/>
  <c r="N22"/>
  <c r="M22"/>
  <c r="L22"/>
  <c r="K22"/>
  <c r="K25" s="1"/>
  <c r="F22"/>
  <c r="O21"/>
  <c r="N21"/>
  <c r="M21"/>
  <c r="L21"/>
  <c r="K21"/>
  <c r="F21"/>
  <c r="O20"/>
  <c r="N20"/>
  <c r="M20"/>
  <c r="L20"/>
  <c r="K20"/>
  <c r="F20"/>
  <c r="O19"/>
  <c r="N19"/>
  <c r="M19"/>
  <c r="L19"/>
  <c r="K19"/>
  <c r="F19"/>
  <c r="O18"/>
  <c r="N18"/>
  <c r="M18"/>
  <c r="L18"/>
  <c r="K18"/>
  <c r="F18"/>
  <c r="P18" s="1"/>
  <c r="O13"/>
  <c r="J13"/>
  <c r="I13"/>
  <c r="H13"/>
  <c r="G13"/>
  <c r="E13"/>
  <c r="D13"/>
  <c r="C13"/>
  <c r="B13"/>
  <c r="O10"/>
  <c r="N10"/>
  <c r="M10"/>
  <c r="L10"/>
  <c r="K10"/>
  <c r="K13" s="1"/>
  <c r="F10"/>
  <c r="O9"/>
  <c r="N9"/>
  <c r="M9"/>
  <c r="L9"/>
  <c r="K9"/>
  <c r="F9"/>
  <c r="O8"/>
  <c r="N8"/>
  <c r="M8"/>
  <c r="L8"/>
  <c r="K8"/>
  <c r="F8"/>
  <c r="O7"/>
  <c r="N7"/>
  <c r="M7"/>
  <c r="L7"/>
  <c r="K7"/>
  <c r="F7"/>
  <c r="O6"/>
  <c r="N6"/>
  <c r="M6"/>
  <c r="L6"/>
  <c r="K6"/>
  <c r="F6"/>
  <c r="P6" s="1"/>
  <c r="J23" i="334"/>
  <c r="I23"/>
  <c r="H23"/>
  <c r="G23"/>
  <c r="E23"/>
  <c r="D23"/>
  <c r="C23"/>
  <c r="B23"/>
  <c r="J12"/>
  <c r="I12"/>
  <c r="H12"/>
  <c r="G12"/>
  <c r="E12"/>
  <c r="D12"/>
  <c r="C12"/>
  <c r="B12"/>
  <c r="O20"/>
  <c r="N20"/>
  <c r="M20"/>
  <c r="L20"/>
  <c r="O9"/>
  <c r="N9"/>
  <c r="M9"/>
  <c r="L9"/>
  <c r="K20"/>
  <c r="F20"/>
  <c r="K9"/>
  <c r="F9"/>
  <c r="O19"/>
  <c r="N19"/>
  <c r="M19"/>
  <c r="L19"/>
  <c r="O8"/>
  <c r="N8"/>
  <c r="M8"/>
  <c r="L8"/>
  <c r="K19"/>
  <c r="F19"/>
  <c r="K8"/>
  <c r="F8"/>
  <c r="O18"/>
  <c r="N18"/>
  <c r="M18"/>
  <c r="L18"/>
  <c r="O7"/>
  <c r="N7"/>
  <c r="M7"/>
  <c r="L7"/>
  <c r="K18"/>
  <c r="F18"/>
  <c r="K7"/>
  <c r="F7"/>
  <c r="O17"/>
  <c r="N17"/>
  <c r="M17"/>
  <c r="L17"/>
  <c r="O6"/>
  <c r="N6"/>
  <c r="M6"/>
  <c r="L6"/>
  <c r="K17"/>
  <c r="F17"/>
  <c r="K6"/>
  <c r="F6"/>
  <c r="O16"/>
  <c r="N16"/>
  <c r="M16"/>
  <c r="L16"/>
  <c r="O5"/>
  <c r="N5"/>
  <c r="M5"/>
  <c r="L5"/>
  <c r="K16"/>
  <c r="F16"/>
  <c r="K5"/>
  <c r="F5"/>
  <c r="A155" i="165"/>
  <c r="A154"/>
  <c r="A220"/>
  <c r="J23" i="333"/>
  <c r="I23"/>
  <c r="H23"/>
  <c r="G23"/>
  <c r="E23"/>
  <c r="D23"/>
  <c r="C23"/>
  <c r="B23"/>
  <c r="J12"/>
  <c r="I12"/>
  <c r="H12"/>
  <c r="G12"/>
  <c r="E12"/>
  <c r="D12"/>
  <c r="C12"/>
  <c r="B12"/>
  <c r="O20"/>
  <c r="N20"/>
  <c r="M20"/>
  <c r="L20"/>
  <c r="O9"/>
  <c r="N9"/>
  <c r="M9"/>
  <c r="L9"/>
  <c r="K20"/>
  <c r="F20"/>
  <c r="K9"/>
  <c r="F9"/>
  <c r="O19"/>
  <c r="N19"/>
  <c r="M19"/>
  <c r="L19"/>
  <c r="O8"/>
  <c r="N8"/>
  <c r="M8"/>
  <c r="L8"/>
  <c r="K19"/>
  <c r="F19"/>
  <c r="P19" s="1"/>
  <c r="K8"/>
  <c r="F8"/>
  <c r="O18"/>
  <c r="N18"/>
  <c r="M18"/>
  <c r="L18"/>
  <c r="O7"/>
  <c r="N7"/>
  <c r="M7"/>
  <c r="L7"/>
  <c r="K18"/>
  <c r="F18"/>
  <c r="K7"/>
  <c r="F7"/>
  <c r="O17"/>
  <c r="N17"/>
  <c r="M17"/>
  <c r="L17"/>
  <c r="O6"/>
  <c r="N6"/>
  <c r="M6"/>
  <c r="L6"/>
  <c r="K17"/>
  <c r="F17"/>
  <c r="P17" s="1"/>
  <c r="K6"/>
  <c r="F6"/>
  <c r="O16"/>
  <c r="N16"/>
  <c r="M16"/>
  <c r="L16"/>
  <c r="O5"/>
  <c r="N5"/>
  <c r="M5"/>
  <c r="L5"/>
  <c r="K16"/>
  <c r="F16"/>
  <c r="K5"/>
  <c r="F5"/>
  <c r="B25" i="332"/>
  <c r="B24"/>
  <c r="B23"/>
  <c r="C225" i="331"/>
  <c r="C224"/>
  <c r="C223"/>
  <c r="C219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F209" s="1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G190"/>
  <c r="F190"/>
  <c r="E190"/>
  <c r="D190"/>
  <c r="C190"/>
  <c r="G189"/>
  <c r="F189"/>
  <c r="E189"/>
  <c r="D189"/>
  <c r="C189"/>
  <c r="G188"/>
  <c r="F188"/>
  <c r="E188"/>
  <c r="D188"/>
  <c r="C188"/>
  <c r="G174"/>
  <c r="F174"/>
  <c r="E174"/>
  <c r="D174"/>
  <c r="C174"/>
  <c r="G173"/>
  <c r="F173"/>
  <c r="E173"/>
  <c r="D173"/>
  <c r="C173"/>
  <c r="G172"/>
  <c r="F172"/>
  <c r="E172"/>
  <c r="D172"/>
  <c r="C172"/>
  <c r="G171"/>
  <c r="F171"/>
  <c r="E171"/>
  <c r="D171"/>
  <c r="C171"/>
  <c r="G170"/>
  <c r="F170"/>
  <c r="E170"/>
  <c r="D170"/>
  <c r="C170"/>
  <c r="G169"/>
  <c r="F169"/>
  <c r="E169"/>
  <c r="D169"/>
  <c r="C169"/>
  <c r="G168"/>
  <c r="F168"/>
  <c r="E168"/>
  <c r="D168"/>
  <c r="C168"/>
  <c r="G167"/>
  <c r="F167"/>
  <c r="E167"/>
  <c r="D167"/>
  <c r="C167"/>
  <c r="G166"/>
  <c r="F166"/>
  <c r="E166"/>
  <c r="D166"/>
  <c r="C166"/>
  <c r="G165"/>
  <c r="F165"/>
  <c r="E165"/>
  <c r="D165"/>
  <c r="C165"/>
  <c r="G164"/>
  <c r="F164"/>
  <c r="E164"/>
  <c r="D164"/>
  <c r="C164"/>
  <c r="G163"/>
  <c r="F163"/>
  <c r="E163"/>
  <c r="D163"/>
  <c r="C163"/>
  <c r="G162"/>
  <c r="F162"/>
  <c r="E162"/>
  <c r="D162"/>
  <c r="C162"/>
  <c r="G161"/>
  <c r="F161"/>
  <c r="E161"/>
  <c r="D161"/>
  <c r="C161"/>
  <c r="G160"/>
  <c r="F160"/>
  <c r="E160"/>
  <c r="D160"/>
  <c r="C160"/>
  <c r="G159"/>
  <c r="F159"/>
  <c r="E159"/>
  <c r="D159"/>
  <c r="C159"/>
  <c r="G158"/>
  <c r="F158"/>
  <c r="E158"/>
  <c r="D158"/>
  <c r="C158"/>
  <c r="F143"/>
  <c r="G136"/>
  <c r="F135"/>
  <c r="G130"/>
  <c r="E129"/>
  <c r="G114"/>
  <c r="G144" s="1"/>
  <c r="F114"/>
  <c r="E114"/>
  <c r="E120" s="1"/>
  <c r="D114"/>
  <c r="D144" s="1"/>
  <c r="C114"/>
  <c r="C144" s="1"/>
  <c r="B114"/>
  <c r="G113"/>
  <c r="G143" s="1"/>
  <c r="F113"/>
  <c r="E113"/>
  <c r="E143" s="1"/>
  <c r="D113"/>
  <c r="D143" s="1"/>
  <c r="C113"/>
  <c r="C143" s="1"/>
  <c r="G112"/>
  <c r="G142" s="1"/>
  <c r="F112"/>
  <c r="F142" s="1"/>
  <c r="E112"/>
  <c r="E142" s="1"/>
  <c r="D112"/>
  <c r="D142" s="1"/>
  <c r="C112"/>
  <c r="C142" s="1"/>
  <c r="B112"/>
  <c r="B142" s="1"/>
  <c r="G111"/>
  <c r="G141" s="1"/>
  <c r="F111"/>
  <c r="F141" s="1"/>
  <c r="E111"/>
  <c r="E141" s="1"/>
  <c r="D111"/>
  <c r="D141" s="1"/>
  <c r="C111"/>
  <c r="C141" s="1"/>
  <c r="G110"/>
  <c r="G140" s="1"/>
  <c r="F110"/>
  <c r="F140" s="1"/>
  <c r="E110"/>
  <c r="E140" s="1"/>
  <c r="D110"/>
  <c r="D140" s="1"/>
  <c r="C110"/>
  <c r="C140" s="1"/>
  <c r="G109"/>
  <c r="G139" s="1"/>
  <c r="F109"/>
  <c r="F139" s="1"/>
  <c r="E109"/>
  <c r="E139" s="1"/>
  <c r="D109"/>
  <c r="D139" s="1"/>
  <c r="C109"/>
  <c r="C139" s="1"/>
  <c r="G108"/>
  <c r="G138" s="1"/>
  <c r="F108"/>
  <c r="E108"/>
  <c r="D108"/>
  <c r="D138" s="1"/>
  <c r="C108"/>
  <c r="C138" s="1"/>
  <c r="B108"/>
  <c r="G107"/>
  <c r="G137" s="1"/>
  <c r="F107"/>
  <c r="F137" s="1"/>
  <c r="E107"/>
  <c r="E137" s="1"/>
  <c r="D107"/>
  <c r="D137" s="1"/>
  <c r="C107"/>
  <c r="C137" s="1"/>
  <c r="G106"/>
  <c r="F106"/>
  <c r="F136" s="1"/>
  <c r="E106"/>
  <c r="E136" s="1"/>
  <c r="D106"/>
  <c r="D136" s="1"/>
  <c r="C106"/>
  <c r="C136" s="1"/>
  <c r="B106"/>
  <c r="B136" s="1"/>
  <c r="G105"/>
  <c r="G135" s="1"/>
  <c r="F105"/>
  <c r="E105"/>
  <c r="E135" s="1"/>
  <c r="D105"/>
  <c r="D135" s="1"/>
  <c r="C105"/>
  <c r="C135" s="1"/>
  <c r="G104"/>
  <c r="G134" s="1"/>
  <c r="F104"/>
  <c r="F134" s="1"/>
  <c r="E104"/>
  <c r="E134" s="1"/>
  <c r="D104"/>
  <c r="D134" s="1"/>
  <c r="C104"/>
  <c r="C134" s="1"/>
  <c r="B104"/>
  <c r="B134" s="1"/>
  <c r="G103"/>
  <c r="G133" s="1"/>
  <c r="F103"/>
  <c r="F133" s="1"/>
  <c r="E103"/>
  <c r="E133" s="1"/>
  <c r="D103"/>
  <c r="D133" s="1"/>
  <c r="C103"/>
  <c r="C133" s="1"/>
  <c r="G102"/>
  <c r="G132" s="1"/>
  <c r="F102"/>
  <c r="F132" s="1"/>
  <c r="E102"/>
  <c r="E132" s="1"/>
  <c r="D102"/>
  <c r="D132" s="1"/>
  <c r="C102"/>
  <c r="C132" s="1"/>
  <c r="G101"/>
  <c r="G131" s="1"/>
  <c r="F101"/>
  <c r="F131" s="1"/>
  <c r="E101"/>
  <c r="E131" s="1"/>
  <c r="D101"/>
  <c r="D131" s="1"/>
  <c r="C101"/>
  <c r="C131" s="1"/>
  <c r="G100"/>
  <c r="F100"/>
  <c r="F130" s="1"/>
  <c r="E100"/>
  <c r="E130" s="1"/>
  <c r="D100"/>
  <c r="D130" s="1"/>
  <c r="C100"/>
  <c r="C130" s="1"/>
  <c r="B100"/>
  <c r="B130" s="1"/>
  <c r="G99"/>
  <c r="G129" s="1"/>
  <c r="F99"/>
  <c r="F129" s="1"/>
  <c r="E99"/>
  <c r="D99"/>
  <c r="D129" s="1"/>
  <c r="C99"/>
  <c r="C129" s="1"/>
  <c r="G98"/>
  <c r="G128" s="1"/>
  <c r="F98"/>
  <c r="F128" s="1"/>
  <c r="E98"/>
  <c r="E128" s="1"/>
  <c r="D98"/>
  <c r="D128" s="1"/>
  <c r="C98"/>
  <c r="B98"/>
  <c r="B128" s="1"/>
  <c r="G90"/>
  <c r="F90"/>
  <c r="E90"/>
  <c r="D90"/>
  <c r="C90"/>
  <c r="G89"/>
  <c r="F89"/>
  <c r="E89"/>
  <c r="D89"/>
  <c r="C89"/>
  <c r="B89"/>
  <c r="G88"/>
  <c r="F88"/>
  <c r="E88"/>
  <c r="D88"/>
  <c r="C88"/>
  <c r="G87"/>
  <c r="F87"/>
  <c r="E87"/>
  <c r="D87"/>
  <c r="C87"/>
  <c r="B84"/>
  <c r="B87" s="1"/>
  <c r="B83"/>
  <c r="G60"/>
  <c r="F60"/>
  <c r="E60"/>
  <c r="D60"/>
  <c r="C60"/>
  <c r="G59"/>
  <c r="F59"/>
  <c r="E59"/>
  <c r="D59"/>
  <c r="C59"/>
  <c r="G58"/>
  <c r="F58"/>
  <c r="E58"/>
  <c r="D58"/>
  <c r="C58"/>
  <c r="G57"/>
  <c r="F57"/>
  <c r="E57"/>
  <c r="D57"/>
  <c r="C57"/>
  <c r="B54"/>
  <c r="B53"/>
  <c r="B203" s="1"/>
  <c r="B52"/>
  <c r="B51"/>
  <c r="B201" s="1"/>
  <c r="B50"/>
  <c r="B200" s="1"/>
  <c r="B49"/>
  <c r="B199" s="1"/>
  <c r="B48"/>
  <c r="B168" s="1"/>
  <c r="B47"/>
  <c r="B197" s="1"/>
  <c r="B46"/>
  <c r="B196" s="1"/>
  <c r="B45"/>
  <c r="B195" s="1"/>
  <c r="B44"/>
  <c r="B43"/>
  <c r="B193" s="1"/>
  <c r="B42"/>
  <c r="B192" s="1"/>
  <c r="B41"/>
  <c r="B191" s="1"/>
  <c r="B40"/>
  <c r="B190" s="1"/>
  <c r="B39"/>
  <c r="B189" s="1"/>
  <c r="B38"/>
  <c r="B188" s="1"/>
  <c r="G29"/>
  <c r="F29"/>
  <c r="E29"/>
  <c r="D29"/>
  <c r="C29"/>
  <c r="B29"/>
  <c r="G28"/>
  <c r="F28"/>
  <c r="E28"/>
  <c r="D28"/>
  <c r="C28"/>
  <c r="G27"/>
  <c r="F27"/>
  <c r="E27"/>
  <c r="D27"/>
  <c r="C27"/>
  <c r="B27"/>
  <c r="G26"/>
  <c r="F26"/>
  <c r="E26"/>
  <c r="D26"/>
  <c r="C26"/>
  <c r="B110"/>
  <c r="B140" s="1"/>
  <c r="B102"/>
  <c r="B132" s="1"/>
  <c r="C225" i="330"/>
  <c r="C224"/>
  <c r="C223"/>
  <c r="C219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C209" s="1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G190"/>
  <c r="F190"/>
  <c r="E190"/>
  <c r="D190"/>
  <c r="C190"/>
  <c r="G189"/>
  <c r="F189"/>
  <c r="E189"/>
  <c r="D189"/>
  <c r="C189"/>
  <c r="G188"/>
  <c r="F188"/>
  <c r="E188"/>
  <c r="D188"/>
  <c r="C188"/>
  <c r="G174"/>
  <c r="F174"/>
  <c r="E174"/>
  <c r="D174"/>
  <c r="C174"/>
  <c r="G173"/>
  <c r="F173"/>
  <c r="E173"/>
  <c r="D173"/>
  <c r="C173"/>
  <c r="G172"/>
  <c r="F172"/>
  <c r="E172"/>
  <c r="D172"/>
  <c r="C172"/>
  <c r="G171"/>
  <c r="F171"/>
  <c r="E171"/>
  <c r="D171"/>
  <c r="C171"/>
  <c r="G170"/>
  <c r="F170"/>
  <c r="E170"/>
  <c r="D170"/>
  <c r="C170"/>
  <c r="G169"/>
  <c r="F169"/>
  <c r="E169"/>
  <c r="D169"/>
  <c r="C169"/>
  <c r="G168"/>
  <c r="F168"/>
  <c r="E168"/>
  <c r="D168"/>
  <c r="C168"/>
  <c r="G167"/>
  <c r="F167"/>
  <c r="E167"/>
  <c r="D167"/>
  <c r="C167"/>
  <c r="G166"/>
  <c r="F166"/>
  <c r="E166"/>
  <c r="D166"/>
  <c r="C166"/>
  <c r="G165"/>
  <c r="F165"/>
  <c r="E165"/>
  <c r="D165"/>
  <c r="C165"/>
  <c r="G164"/>
  <c r="F164"/>
  <c r="E164"/>
  <c r="D164"/>
  <c r="C164"/>
  <c r="G163"/>
  <c r="F163"/>
  <c r="E163"/>
  <c r="D163"/>
  <c r="C163"/>
  <c r="G162"/>
  <c r="F162"/>
  <c r="E162"/>
  <c r="D162"/>
  <c r="C162"/>
  <c r="G161"/>
  <c r="F161"/>
  <c r="E161"/>
  <c r="D161"/>
  <c r="C161"/>
  <c r="G160"/>
  <c r="F160"/>
  <c r="E160"/>
  <c r="D160"/>
  <c r="C160"/>
  <c r="G159"/>
  <c r="F159"/>
  <c r="E159"/>
  <c r="D159"/>
  <c r="C159"/>
  <c r="D158"/>
  <c r="C158"/>
  <c r="F138"/>
  <c r="G137"/>
  <c r="F134"/>
  <c r="G133"/>
  <c r="G114"/>
  <c r="F114"/>
  <c r="F117" s="1"/>
  <c r="E114"/>
  <c r="E144" s="1"/>
  <c r="D114"/>
  <c r="C114"/>
  <c r="G113"/>
  <c r="G143" s="1"/>
  <c r="F113"/>
  <c r="F143" s="1"/>
  <c r="E113"/>
  <c r="E143" s="1"/>
  <c r="D113"/>
  <c r="D143" s="1"/>
  <c r="C113"/>
  <c r="C143" s="1"/>
  <c r="G112"/>
  <c r="G142" s="1"/>
  <c r="F112"/>
  <c r="F142" s="1"/>
  <c r="E112"/>
  <c r="E142" s="1"/>
  <c r="D112"/>
  <c r="D142" s="1"/>
  <c r="C112"/>
  <c r="C142" s="1"/>
  <c r="G111"/>
  <c r="G141" s="1"/>
  <c r="F111"/>
  <c r="F141" s="1"/>
  <c r="E111"/>
  <c r="E141" s="1"/>
  <c r="D111"/>
  <c r="D141" s="1"/>
  <c r="C111"/>
  <c r="C141" s="1"/>
  <c r="G110"/>
  <c r="G140" s="1"/>
  <c r="F110"/>
  <c r="F140" s="1"/>
  <c r="E110"/>
  <c r="E140" s="1"/>
  <c r="D110"/>
  <c r="D140" s="1"/>
  <c r="C110"/>
  <c r="C140" s="1"/>
  <c r="G109"/>
  <c r="G139" s="1"/>
  <c r="F109"/>
  <c r="F139" s="1"/>
  <c r="E109"/>
  <c r="E139" s="1"/>
  <c r="D109"/>
  <c r="D139" s="1"/>
  <c r="C109"/>
  <c r="C139" s="1"/>
  <c r="G108"/>
  <c r="F108"/>
  <c r="E108"/>
  <c r="E138" s="1"/>
  <c r="D108"/>
  <c r="C108"/>
  <c r="G107"/>
  <c r="F107"/>
  <c r="F137" s="1"/>
  <c r="E107"/>
  <c r="E137" s="1"/>
  <c r="D107"/>
  <c r="D137" s="1"/>
  <c r="C107"/>
  <c r="C137" s="1"/>
  <c r="G106"/>
  <c r="G136" s="1"/>
  <c r="F106"/>
  <c r="F136" s="1"/>
  <c r="E106"/>
  <c r="E136" s="1"/>
  <c r="D106"/>
  <c r="D136" s="1"/>
  <c r="C106"/>
  <c r="C136" s="1"/>
  <c r="G105"/>
  <c r="G135" s="1"/>
  <c r="F105"/>
  <c r="F135" s="1"/>
  <c r="E105"/>
  <c r="E135" s="1"/>
  <c r="D105"/>
  <c r="D135" s="1"/>
  <c r="C105"/>
  <c r="C135" s="1"/>
  <c r="G104"/>
  <c r="G134" s="1"/>
  <c r="F104"/>
  <c r="E104"/>
  <c r="E134" s="1"/>
  <c r="D104"/>
  <c r="D134" s="1"/>
  <c r="C104"/>
  <c r="C134" s="1"/>
  <c r="G103"/>
  <c r="F103"/>
  <c r="F133" s="1"/>
  <c r="E103"/>
  <c r="E133" s="1"/>
  <c r="D103"/>
  <c r="D133" s="1"/>
  <c r="C103"/>
  <c r="C133" s="1"/>
  <c r="G102"/>
  <c r="G132" s="1"/>
  <c r="F102"/>
  <c r="F132" s="1"/>
  <c r="E102"/>
  <c r="E132" s="1"/>
  <c r="D102"/>
  <c r="D132" s="1"/>
  <c r="C102"/>
  <c r="C132" s="1"/>
  <c r="G101"/>
  <c r="G131" s="1"/>
  <c r="F101"/>
  <c r="F131" s="1"/>
  <c r="E101"/>
  <c r="E131" s="1"/>
  <c r="D101"/>
  <c r="D131" s="1"/>
  <c r="C101"/>
  <c r="C131" s="1"/>
  <c r="G100"/>
  <c r="G130" s="1"/>
  <c r="F100"/>
  <c r="F130" s="1"/>
  <c r="E100"/>
  <c r="E130" s="1"/>
  <c r="D100"/>
  <c r="D130" s="1"/>
  <c r="C100"/>
  <c r="C130" s="1"/>
  <c r="G99"/>
  <c r="G129" s="1"/>
  <c r="F99"/>
  <c r="F129" s="1"/>
  <c r="E99"/>
  <c r="E129" s="1"/>
  <c r="D99"/>
  <c r="D129" s="1"/>
  <c r="C99"/>
  <c r="C129" s="1"/>
  <c r="G98"/>
  <c r="G128" s="1"/>
  <c r="F98"/>
  <c r="F128" s="1"/>
  <c r="E98"/>
  <c r="E117" s="1"/>
  <c r="D98"/>
  <c r="D128" s="1"/>
  <c r="C98"/>
  <c r="C128" s="1"/>
  <c r="G90"/>
  <c r="F90"/>
  <c r="E90"/>
  <c r="D90"/>
  <c r="C90"/>
  <c r="B90"/>
  <c r="G89"/>
  <c r="F89"/>
  <c r="E89"/>
  <c r="D89"/>
  <c r="C89"/>
  <c r="B89"/>
  <c r="G88"/>
  <c r="F88"/>
  <c r="E88"/>
  <c r="D88"/>
  <c r="C88"/>
  <c r="B88"/>
  <c r="G87"/>
  <c r="F87"/>
  <c r="E87"/>
  <c r="D87"/>
  <c r="C87"/>
  <c r="B84"/>
  <c r="B87" s="1"/>
  <c r="B83"/>
  <c r="G60"/>
  <c r="F60"/>
  <c r="E60"/>
  <c r="D60"/>
  <c r="C60"/>
  <c r="G59"/>
  <c r="F59"/>
  <c r="E59"/>
  <c r="D59"/>
  <c r="C59"/>
  <c r="G58"/>
  <c r="F58"/>
  <c r="E58"/>
  <c r="D58"/>
  <c r="C58"/>
  <c r="G57"/>
  <c r="F57"/>
  <c r="E57"/>
  <c r="D57"/>
  <c r="C57"/>
  <c r="B54"/>
  <c r="B204" s="1"/>
  <c r="B53"/>
  <c r="B52"/>
  <c r="B202" s="1"/>
  <c r="B51"/>
  <c r="B201" s="1"/>
  <c r="B50"/>
  <c r="B200" s="1"/>
  <c r="B49"/>
  <c r="B199" s="1"/>
  <c r="B48"/>
  <c r="B198" s="1"/>
  <c r="B47"/>
  <c r="B197" s="1"/>
  <c r="B46"/>
  <c r="B196" s="1"/>
  <c r="B45"/>
  <c r="B195" s="1"/>
  <c r="B44"/>
  <c r="B194" s="1"/>
  <c r="B43"/>
  <c r="B193" s="1"/>
  <c r="B42"/>
  <c r="B192" s="1"/>
  <c r="B41"/>
  <c r="B191" s="1"/>
  <c r="B40"/>
  <c r="B190" s="1"/>
  <c r="B39"/>
  <c r="B189" s="1"/>
  <c r="B188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B23"/>
  <c r="B22"/>
  <c r="B113" s="1"/>
  <c r="B143" s="1"/>
  <c r="B21"/>
  <c r="B20"/>
  <c r="B19"/>
  <c r="B18"/>
  <c r="B109" s="1"/>
  <c r="B139" s="1"/>
  <c r="B17"/>
  <c r="B16"/>
  <c r="B107" s="1"/>
  <c r="B137" s="1"/>
  <c r="B15"/>
  <c r="B14"/>
  <c r="B105" s="1"/>
  <c r="B135" s="1"/>
  <c r="B13"/>
  <c r="B12"/>
  <c r="B11"/>
  <c r="B10"/>
  <c r="B101" s="1"/>
  <c r="B131" s="1"/>
  <c r="B9"/>
  <c r="B8"/>
  <c r="B99" s="1"/>
  <c r="B129" s="1"/>
  <c r="K218" i="329"/>
  <c r="K219" s="1"/>
  <c r="E218"/>
  <c r="E219" s="1"/>
  <c r="Y204"/>
  <c r="X204"/>
  <c r="W204"/>
  <c r="V204"/>
  <c r="U204"/>
  <c r="S204"/>
  <c r="R204"/>
  <c r="Q204"/>
  <c r="P204"/>
  <c r="O204"/>
  <c r="M204"/>
  <c r="L204"/>
  <c r="K204"/>
  <c r="J204"/>
  <c r="I204"/>
  <c r="G204"/>
  <c r="F204"/>
  <c r="E204"/>
  <c r="D204"/>
  <c r="C204"/>
  <c r="Y203"/>
  <c r="X203"/>
  <c r="W203"/>
  <c r="V203"/>
  <c r="U203"/>
  <c r="S203"/>
  <c r="R203"/>
  <c r="Q203"/>
  <c r="P203"/>
  <c r="O203"/>
  <c r="M203"/>
  <c r="L203"/>
  <c r="K203"/>
  <c r="J203"/>
  <c r="I203"/>
  <c r="G203"/>
  <c r="F203"/>
  <c r="E203"/>
  <c r="D203"/>
  <c r="C203"/>
  <c r="Y202"/>
  <c r="X202"/>
  <c r="W202"/>
  <c r="V202"/>
  <c r="U202"/>
  <c r="S202"/>
  <c r="R202"/>
  <c r="Q202"/>
  <c r="P202"/>
  <c r="O202"/>
  <c r="M202"/>
  <c r="L202"/>
  <c r="K202"/>
  <c r="J202"/>
  <c r="I202"/>
  <c r="G202"/>
  <c r="F202"/>
  <c r="E202"/>
  <c r="D202"/>
  <c r="C202"/>
  <c r="Y201"/>
  <c r="X201"/>
  <c r="W201"/>
  <c r="V201"/>
  <c r="U201"/>
  <c r="S201"/>
  <c r="R201"/>
  <c r="Q201"/>
  <c r="P201"/>
  <c r="O201"/>
  <c r="M201"/>
  <c r="L201"/>
  <c r="K201"/>
  <c r="J201"/>
  <c r="I201"/>
  <c r="G201"/>
  <c r="F201"/>
  <c r="E201"/>
  <c r="D201"/>
  <c r="C201"/>
  <c r="Y200"/>
  <c r="X200"/>
  <c r="W200"/>
  <c r="V200"/>
  <c r="U200"/>
  <c r="S200"/>
  <c r="R200"/>
  <c r="Q200"/>
  <c r="P200"/>
  <c r="O200"/>
  <c r="M200"/>
  <c r="L200"/>
  <c r="K200"/>
  <c r="J200"/>
  <c r="I200"/>
  <c r="G200"/>
  <c r="F200"/>
  <c r="E200"/>
  <c r="D200"/>
  <c r="C200"/>
  <c r="Y199"/>
  <c r="X199"/>
  <c r="W199"/>
  <c r="V199"/>
  <c r="U199"/>
  <c r="S199"/>
  <c r="R199"/>
  <c r="Q199"/>
  <c r="P199"/>
  <c r="O199"/>
  <c r="M199"/>
  <c r="L199"/>
  <c r="K199"/>
  <c r="J199"/>
  <c r="I199"/>
  <c r="G199"/>
  <c r="F199"/>
  <c r="E199"/>
  <c r="D199"/>
  <c r="C199"/>
  <c r="Y198"/>
  <c r="X198"/>
  <c r="W198"/>
  <c r="V198"/>
  <c r="U198"/>
  <c r="S198"/>
  <c r="R198"/>
  <c r="Q198"/>
  <c r="P198"/>
  <c r="O198"/>
  <c r="M198"/>
  <c r="L198"/>
  <c r="K198"/>
  <c r="J198"/>
  <c r="I198"/>
  <c r="G198"/>
  <c r="F198"/>
  <c r="E198"/>
  <c r="D198"/>
  <c r="C198"/>
  <c r="Y197"/>
  <c r="X197"/>
  <c r="W197"/>
  <c r="V197"/>
  <c r="U197"/>
  <c r="S197"/>
  <c r="R197"/>
  <c r="Q197"/>
  <c r="P197"/>
  <c r="O197"/>
  <c r="M197"/>
  <c r="L197"/>
  <c r="K197"/>
  <c r="J197"/>
  <c r="I197"/>
  <c r="G197"/>
  <c r="F197"/>
  <c r="E197"/>
  <c r="D197"/>
  <c r="C197"/>
  <c r="Y196"/>
  <c r="X196"/>
  <c r="W196"/>
  <c r="V196"/>
  <c r="U196"/>
  <c r="S196"/>
  <c r="R196"/>
  <c r="Q196"/>
  <c r="P196"/>
  <c r="O196"/>
  <c r="M196"/>
  <c r="L196"/>
  <c r="K196"/>
  <c r="J196"/>
  <c r="I196"/>
  <c r="G196"/>
  <c r="F196"/>
  <c r="E196"/>
  <c r="D196"/>
  <c r="C196"/>
  <c r="Y195"/>
  <c r="X195"/>
  <c r="W195"/>
  <c r="V195"/>
  <c r="U195"/>
  <c r="S195"/>
  <c r="R195"/>
  <c r="Q195"/>
  <c r="P195"/>
  <c r="O195"/>
  <c r="M195"/>
  <c r="L195"/>
  <c r="K195"/>
  <c r="J195"/>
  <c r="I195"/>
  <c r="G195"/>
  <c r="F195"/>
  <c r="E195"/>
  <c r="D195"/>
  <c r="C195"/>
  <c r="Y194"/>
  <c r="X194"/>
  <c r="W194"/>
  <c r="V194"/>
  <c r="U194"/>
  <c r="S194"/>
  <c r="R194"/>
  <c r="Q194"/>
  <c r="P194"/>
  <c r="O194"/>
  <c r="M194"/>
  <c r="L194"/>
  <c r="K194"/>
  <c r="J194"/>
  <c r="I194"/>
  <c r="G194"/>
  <c r="F194"/>
  <c r="E194"/>
  <c r="D194"/>
  <c r="C194"/>
  <c r="Y193"/>
  <c r="X193"/>
  <c r="W193"/>
  <c r="V193"/>
  <c r="U193"/>
  <c r="S193"/>
  <c r="R193"/>
  <c r="Q193"/>
  <c r="P193"/>
  <c r="O193"/>
  <c r="M193"/>
  <c r="L193"/>
  <c r="K193"/>
  <c r="J193"/>
  <c r="I193"/>
  <c r="G193"/>
  <c r="F193"/>
  <c r="E193"/>
  <c r="D193"/>
  <c r="C193"/>
  <c r="Y192"/>
  <c r="X192"/>
  <c r="W192"/>
  <c r="V192"/>
  <c r="U192"/>
  <c r="S192"/>
  <c r="R192"/>
  <c r="Q192"/>
  <c r="P192"/>
  <c r="O192"/>
  <c r="M192"/>
  <c r="L192"/>
  <c r="K192"/>
  <c r="J192"/>
  <c r="I192"/>
  <c r="G192"/>
  <c r="F192"/>
  <c r="E192"/>
  <c r="D192"/>
  <c r="C192"/>
  <c r="Y191"/>
  <c r="X191"/>
  <c r="W191"/>
  <c r="V191"/>
  <c r="U191"/>
  <c r="U209" s="1"/>
  <c r="S191"/>
  <c r="R191"/>
  <c r="Q191"/>
  <c r="P191"/>
  <c r="O191"/>
  <c r="M191"/>
  <c r="L191"/>
  <c r="K191"/>
  <c r="J191"/>
  <c r="I191"/>
  <c r="G191"/>
  <c r="F191"/>
  <c r="E191"/>
  <c r="D191"/>
  <c r="C191"/>
  <c r="Y190"/>
  <c r="X190"/>
  <c r="W190"/>
  <c r="V190"/>
  <c r="U190"/>
  <c r="S190"/>
  <c r="R190"/>
  <c r="Q190"/>
  <c r="P190"/>
  <c r="O190"/>
  <c r="M190"/>
  <c r="L190"/>
  <c r="K190"/>
  <c r="J190"/>
  <c r="I190"/>
  <c r="G190"/>
  <c r="F190"/>
  <c r="E190"/>
  <c r="D190"/>
  <c r="C190"/>
  <c r="Y189"/>
  <c r="X189"/>
  <c r="W189"/>
  <c r="V189"/>
  <c r="U189"/>
  <c r="S189"/>
  <c r="R189"/>
  <c r="Q189"/>
  <c r="P189"/>
  <c r="O189"/>
  <c r="M189"/>
  <c r="L189"/>
  <c r="K189"/>
  <c r="J189"/>
  <c r="I189"/>
  <c r="G189"/>
  <c r="F189"/>
  <c r="E189"/>
  <c r="D189"/>
  <c r="C189"/>
  <c r="Y188"/>
  <c r="X188"/>
  <c r="W188"/>
  <c r="V188"/>
  <c r="U188"/>
  <c r="S188"/>
  <c r="R188"/>
  <c r="Q188"/>
  <c r="P188"/>
  <c r="O188"/>
  <c r="M188"/>
  <c r="L188"/>
  <c r="K188"/>
  <c r="J188"/>
  <c r="I188"/>
  <c r="I207" s="1"/>
  <c r="G188"/>
  <c r="F188"/>
  <c r="E188"/>
  <c r="D188"/>
  <c r="C188"/>
  <c r="Y174"/>
  <c r="X174"/>
  <c r="W174"/>
  <c r="V174"/>
  <c r="U174"/>
  <c r="S174"/>
  <c r="R174"/>
  <c r="Q174"/>
  <c r="P174"/>
  <c r="O174"/>
  <c r="M174"/>
  <c r="L174"/>
  <c r="K174"/>
  <c r="J174"/>
  <c r="I174"/>
  <c r="G174"/>
  <c r="F174"/>
  <c r="E174"/>
  <c r="D174"/>
  <c r="C174"/>
  <c r="Y173"/>
  <c r="X173"/>
  <c r="W173"/>
  <c r="V173"/>
  <c r="U173"/>
  <c r="S173"/>
  <c r="R173"/>
  <c r="Q173"/>
  <c r="P173"/>
  <c r="O173"/>
  <c r="M173"/>
  <c r="L173"/>
  <c r="K173"/>
  <c r="J173"/>
  <c r="I173"/>
  <c r="G173"/>
  <c r="F173"/>
  <c r="E173"/>
  <c r="D173"/>
  <c r="C173"/>
  <c r="Y172"/>
  <c r="X172"/>
  <c r="W172"/>
  <c r="V172"/>
  <c r="U172"/>
  <c r="S172"/>
  <c r="R172"/>
  <c r="Q172"/>
  <c r="P172"/>
  <c r="O172"/>
  <c r="M172"/>
  <c r="L172"/>
  <c r="K172"/>
  <c r="J172"/>
  <c r="I172"/>
  <c r="G172"/>
  <c r="F172"/>
  <c r="E172"/>
  <c r="D172"/>
  <c r="C172"/>
  <c r="Y171"/>
  <c r="X171"/>
  <c r="W171"/>
  <c r="V171"/>
  <c r="U171"/>
  <c r="S171"/>
  <c r="R171"/>
  <c r="Q171"/>
  <c r="P171"/>
  <c r="O171"/>
  <c r="M171"/>
  <c r="L171"/>
  <c r="K171"/>
  <c r="J171"/>
  <c r="I171"/>
  <c r="G171"/>
  <c r="F171"/>
  <c r="E171"/>
  <c r="D171"/>
  <c r="C171"/>
  <c r="Y170"/>
  <c r="X170"/>
  <c r="W170"/>
  <c r="V170"/>
  <c r="U170"/>
  <c r="S170"/>
  <c r="R170"/>
  <c r="Q170"/>
  <c r="P170"/>
  <c r="O170"/>
  <c r="M170"/>
  <c r="L170"/>
  <c r="K170"/>
  <c r="J170"/>
  <c r="I170"/>
  <c r="G170"/>
  <c r="F170"/>
  <c r="E170"/>
  <c r="D170"/>
  <c r="C170"/>
  <c r="Y169"/>
  <c r="X169"/>
  <c r="W169"/>
  <c r="V169"/>
  <c r="U169"/>
  <c r="S169"/>
  <c r="R169"/>
  <c r="Q169"/>
  <c r="P169"/>
  <c r="O169"/>
  <c r="M169"/>
  <c r="L169"/>
  <c r="K169"/>
  <c r="J169"/>
  <c r="I169"/>
  <c r="G169"/>
  <c r="F169"/>
  <c r="E169"/>
  <c r="D169"/>
  <c r="C169"/>
  <c r="Y168"/>
  <c r="X168"/>
  <c r="W168"/>
  <c r="V168"/>
  <c r="U168"/>
  <c r="S168"/>
  <c r="R168"/>
  <c r="Q168"/>
  <c r="P168"/>
  <c r="O168"/>
  <c r="M168"/>
  <c r="L168"/>
  <c r="K168"/>
  <c r="J168"/>
  <c r="I168"/>
  <c r="G168"/>
  <c r="F168"/>
  <c r="E168"/>
  <c r="D168"/>
  <c r="C168"/>
  <c r="Y167"/>
  <c r="X167"/>
  <c r="W167"/>
  <c r="V167"/>
  <c r="U167"/>
  <c r="S167"/>
  <c r="R167"/>
  <c r="Q167"/>
  <c r="P167"/>
  <c r="O167"/>
  <c r="M167"/>
  <c r="L167"/>
  <c r="K167"/>
  <c r="J167"/>
  <c r="I167"/>
  <c r="G167"/>
  <c r="F167"/>
  <c r="E167"/>
  <c r="D167"/>
  <c r="C167"/>
  <c r="Y166"/>
  <c r="X166"/>
  <c r="W166"/>
  <c r="V166"/>
  <c r="U166"/>
  <c r="S166"/>
  <c r="R166"/>
  <c r="Q166"/>
  <c r="P166"/>
  <c r="O166"/>
  <c r="M166"/>
  <c r="L166"/>
  <c r="K166"/>
  <c r="J166"/>
  <c r="I166"/>
  <c r="G166"/>
  <c r="F166"/>
  <c r="E166"/>
  <c r="D166"/>
  <c r="C166"/>
  <c r="Y165"/>
  <c r="X165"/>
  <c r="W165"/>
  <c r="V165"/>
  <c r="U165"/>
  <c r="S165"/>
  <c r="R165"/>
  <c r="Q165"/>
  <c r="P165"/>
  <c r="O165"/>
  <c r="M165"/>
  <c r="L165"/>
  <c r="K165"/>
  <c r="J165"/>
  <c r="I165"/>
  <c r="G165"/>
  <c r="F165"/>
  <c r="E165"/>
  <c r="D165"/>
  <c r="C165"/>
  <c r="Y164"/>
  <c r="X164"/>
  <c r="W164"/>
  <c r="V164"/>
  <c r="U164"/>
  <c r="S164"/>
  <c r="R164"/>
  <c r="Q164"/>
  <c r="P164"/>
  <c r="O164"/>
  <c r="M164"/>
  <c r="L164"/>
  <c r="K164"/>
  <c r="J164"/>
  <c r="I164"/>
  <c r="G164"/>
  <c r="F164"/>
  <c r="E164"/>
  <c r="D164"/>
  <c r="C164"/>
  <c r="Y163"/>
  <c r="X163"/>
  <c r="W163"/>
  <c r="V163"/>
  <c r="U163"/>
  <c r="S163"/>
  <c r="R163"/>
  <c r="Q163"/>
  <c r="P163"/>
  <c r="O163"/>
  <c r="M163"/>
  <c r="L163"/>
  <c r="K163"/>
  <c r="J163"/>
  <c r="I163"/>
  <c r="G163"/>
  <c r="F163"/>
  <c r="E163"/>
  <c r="D163"/>
  <c r="C163"/>
  <c r="W162"/>
  <c r="V162"/>
  <c r="U162"/>
  <c r="S162"/>
  <c r="R162"/>
  <c r="Q162"/>
  <c r="P162"/>
  <c r="O162"/>
  <c r="M162"/>
  <c r="L162"/>
  <c r="K162"/>
  <c r="J162"/>
  <c r="I162"/>
  <c r="G162"/>
  <c r="F162"/>
  <c r="E162"/>
  <c r="D162"/>
  <c r="C162"/>
  <c r="W161"/>
  <c r="V161"/>
  <c r="U161"/>
  <c r="S161"/>
  <c r="R161"/>
  <c r="Q161"/>
  <c r="P161"/>
  <c r="O161"/>
  <c r="M161"/>
  <c r="L161"/>
  <c r="K161"/>
  <c r="J161"/>
  <c r="I161"/>
  <c r="G161"/>
  <c r="F161"/>
  <c r="E161"/>
  <c r="D161"/>
  <c r="C161"/>
  <c r="W160"/>
  <c r="V160"/>
  <c r="U160"/>
  <c r="S160"/>
  <c r="R160"/>
  <c r="Q160"/>
  <c r="P160"/>
  <c r="O160"/>
  <c r="M160"/>
  <c r="L160"/>
  <c r="K160"/>
  <c r="J160"/>
  <c r="I160"/>
  <c r="G160"/>
  <c r="F160"/>
  <c r="E160"/>
  <c r="D160"/>
  <c r="C160"/>
  <c r="W159"/>
  <c r="V159"/>
  <c r="U159"/>
  <c r="S159"/>
  <c r="R159"/>
  <c r="Q159"/>
  <c r="P159"/>
  <c r="O159"/>
  <c r="M159"/>
  <c r="L159"/>
  <c r="K159"/>
  <c r="J159"/>
  <c r="I159"/>
  <c r="G159"/>
  <c r="F159"/>
  <c r="E159"/>
  <c r="D159"/>
  <c r="C159"/>
  <c r="Y158"/>
  <c r="X158"/>
  <c r="W158"/>
  <c r="V158"/>
  <c r="U158"/>
  <c r="S158"/>
  <c r="R158"/>
  <c r="Q158"/>
  <c r="P158"/>
  <c r="O158"/>
  <c r="J158"/>
  <c r="I158"/>
  <c r="G158"/>
  <c r="F158"/>
  <c r="E158"/>
  <c r="D158"/>
  <c r="C158"/>
  <c r="U118"/>
  <c r="Y114"/>
  <c r="Y144" s="1"/>
  <c r="X114"/>
  <c r="W114"/>
  <c r="W144" s="1"/>
  <c r="V114"/>
  <c r="V144" s="1"/>
  <c r="U114"/>
  <c r="U144" s="1"/>
  <c r="S114"/>
  <c r="S144" s="1"/>
  <c r="R114"/>
  <c r="R144" s="1"/>
  <c r="Q114"/>
  <c r="Q144" s="1"/>
  <c r="P114"/>
  <c r="P144" s="1"/>
  <c r="O114"/>
  <c r="O144" s="1"/>
  <c r="M114"/>
  <c r="L114"/>
  <c r="L144" s="1"/>
  <c r="K114"/>
  <c r="K144" s="1"/>
  <c r="J114"/>
  <c r="J144" s="1"/>
  <c r="I114"/>
  <c r="I144" s="1"/>
  <c r="G114"/>
  <c r="G144" s="1"/>
  <c r="F114"/>
  <c r="F144" s="1"/>
  <c r="E114"/>
  <c r="E144" s="1"/>
  <c r="D114"/>
  <c r="D144" s="1"/>
  <c r="C114"/>
  <c r="C144" s="1"/>
  <c r="Y113"/>
  <c r="Y143" s="1"/>
  <c r="X113"/>
  <c r="X143" s="1"/>
  <c r="W113"/>
  <c r="W143" s="1"/>
  <c r="V113"/>
  <c r="V143" s="1"/>
  <c r="U113"/>
  <c r="U143" s="1"/>
  <c r="S113"/>
  <c r="S143" s="1"/>
  <c r="R113"/>
  <c r="R143" s="1"/>
  <c r="Q113"/>
  <c r="Q143" s="1"/>
  <c r="P113"/>
  <c r="P143" s="1"/>
  <c r="O113"/>
  <c r="O143" s="1"/>
  <c r="M113"/>
  <c r="M143" s="1"/>
  <c r="L113"/>
  <c r="L143" s="1"/>
  <c r="K113"/>
  <c r="K143" s="1"/>
  <c r="J113"/>
  <c r="J143" s="1"/>
  <c r="I113"/>
  <c r="I143" s="1"/>
  <c r="G113"/>
  <c r="G143" s="1"/>
  <c r="F113"/>
  <c r="F143" s="1"/>
  <c r="E113"/>
  <c r="E143" s="1"/>
  <c r="D113"/>
  <c r="D143" s="1"/>
  <c r="C113"/>
  <c r="C143" s="1"/>
  <c r="Y112"/>
  <c r="Y142" s="1"/>
  <c r="X112"/>
  <c r="X142" s="1"/>
  <c r="W112"/>
  <c r="W142" s="1"/>
  <c r="V112"/>
  <c r="V142" s="1"/>
  <c r="U112"/>
  <c r="U142" s="1"/>
  <c r="S112"/>
  <c r="S142" s="1"/>
  <c r="R112"/>
  <c r="R142" s="1"/>
  <c r="Q112"/>
  <c r="Q142" s="1"/>
  <c r="P112"/>
  <c r="P142" s="1"/>
  <c r="O112"/>
  <c r="O142" s="1"/>
  <c r="M112"/>
  <c r="M142" s="1"/>
  <c r="L112"/>
  <c r="L142" s="1"/>
  <c r="K112"/>
  <c r="K142" s="1"/>
  <c r="J112"/>
  <c r="J142" s="1"/>
  <c r="I112"/>
  <c r="I142" s="1"/>
  <c r="G112"/>
  <c r="G142" s="1"/>
  <c r="F112"/>
  <c r="F142" s="1"/>
  <c r="E112"/>
  <c r="E142" s="1"/>
  <c r="D112"/>
  <c r="D142" s="1"/>
  <c r="C112"/>
  <c r="C142" s="1"/>
  <c r="Y111"/>
  <c r="Y141" s="1"/>
  <c r="X111"/>
  <c r="X141" s="1"/>
  <c r="W111"/>
  <c r="W141" s="1"/>
  <c r="V111"/>
  <c r="V141" s="1"/>
  <c r="U111"/>
  <c r="U141" s="1"/>
  <c r="S111"/>
  <c r="S141" s="1"/>
  <c r="R111"/>
  <c r="R141" s="1"/>
  <c r="Q111"/>
  <c r="Q141" s="1"/>
  <c r="P111"/>
  <c r="P141" s="1"/>
  <c r="O111"/>
  <c r="O141" s="1"/>
  <c r="M111"/>
  <c r="M141" s="1"/>
  <c r="L111"/>
  <c r="L141" s="1"/>
  <c r="K111"/>
  <c r="K141" s="1"/>
  <c r="J111"/>
  <c r="J141" s="1"/>
  <c r="I111"/>
  <c r="I141" s="1"/>
  <c r="G111"/>
  <c r="G141" s="1"/>
  <c r="F111"/>
  <c r="F141" s="1"/>
  <c r="E111"/>
  <c r="E141" s="1"/>
  <c r="D111"/>
  <c r="D141" s="1"/>
  <c r="C111"/>
  <c r="C141" s="1"/>
  <c r="Y110"/>
  <c r="Y140" s="1"/>
  <c r="X110"/>
  <c r="X140" s="1"/>
  <c r="W110"/>
  <c r="W140" s="1"/>
  <c r="V110"/>
  <c r="V140" s="1"/>
  <c r="U110"/>
  <c r="U140" s="1"/>
  <c r="S110"/>
  <c r="S140" s="1"/>
  <c r="R110"/>
  <c r="R140" s="1"/>
  <c r="Q110"/>
  <c r="Q140" s="1"/>
  <c r="P110"/>
  <c r="P140" s="1"/>
  <c r="O110"/>
  <c r="O140" s="1"/>
  <c r="M110"/>
  <c r="M140" s="1"/>
  <c r="L110"/>
  <c r="L140" s="1"/>
  <c r="K110"/>
  <c r="K140" s="1"/>
  <c r="J110"/>
  <c r="J140" s="1"/>
  <c r="I110"/>
  <c r="I140" s="1"/>
  <c r="G110"/>
  <c r="G140" s="1"/>
  <c r="F110"/>
  <c r="F140" s="1"/>
  <c r="E110"/>
  <c r="E140" s="1"/>
  <c r="D110"/>
  <c r="D140" s="1"/>
  <c r="C110"/>
  <c r="C140" s="1"/>
  <c r="Y109"/>
  <c r="Y139" s="1"/>
  <c r="X109"/>
  <c r="X139" s="1"/>
  <c r="W109"/>
  <c r="W139" s="1"/>
  <c r="V109"/>
  <c r="V139" s="1"/>
  <c r="U109"/>
  <c r="U139" s="1"/>
  <c r="S109"/>
  <c r="S139" s="1"/>
  <c r="R109"/>
  <c r="R139" s="1"/>
  <c r="Q109"/>
  <c r="Q139" s="1"/>
  <c r="P109"/>
  <c r="P139" s="1"/>
  <c r="O109"/>
  <c r="O139" s="1"/>
  <c r="M109"/>
  <c r="M139" s="1"/>
  <c r="L109"/>
  <c r="L139" s="1"/>
  <c r="K109"/>
  <c r="K139" s="1"/>
  <c r="J109"/>
  <c r="J139" s="1"/>
  <c r="I109"/>
  <c r="I139" s="1"/>
  <c r="G109"/>
  <c r="G139" s="1"/>
  <c r="F109"/>
  <c r="F139" s="1"/>
  <c r="E109"/>
  <c r="E139" s="1"/>
  <c r="D109"/>
  <c r="D139" s="1"/>
  <c r="C109"/>
  <c r="C139" s="1"/>
  <c r="Y108"/>
  <c r="Y138" s="1"/>
  <c r="X108"/>
  <c r="X138" s="1"/>
  <c r="W108"/>
  <c r="V108"/>
  <c r="V138" s="1"/>
  <c r="U108"/>
  <c r="U138" s="1"/>
  <c r="S108"/>
  <c r="R108"/>
  <c r="R138" s="1"/>
  <c r="Q108"/>
  <c r="Q138" s="1"/>
  <c r="P108"/>
  <c r="O108"/>
  <c r="M108"/>
  <c r="M138" s="1"/>
  <c r="L108"/>
  <c r="L138" s="1"/>
  <c r="K108"/>
  <c r="J108"/>
  <c r="J138" s="1"/>
  <c r="I108"/>
  <c r="I138" s="1"/>
  <c r="G108"/>
  <c r="F108"/>
  <c r="F138" s="1"/>
  <c r="E108"/>
  <c r="E138" s="1"/>
  <c r="D108"/>
  <c r="D138" s="1"/>
  <c r="C108"/>
  <c r="Y107"/>
  <c r="Y137" s="1"/>
  <c r="X107"/>
  <c r="X137" s="1"/>
  <c r="W107"/>
  <c r="W137" s="1"/>
  <c r="V107"/>
  <c r="V137" s="1"/>
  <c r="U107"/>
  <c r="U137" s="1"/>
  <c r="S107"/>
  <c r="S137" s="1"/>
  <c r="R107"/>
  <c r="R137" s="1"/>
  <c r="Q107"/>
  <c r="Q137" s="1"/>
  <c r="P107"/>
  <c r="P137" s="1"/>
  <c r="O107"/>
  <c r="O137" s="1"/>
  <c r="M107"/>
  <c r="M137" s="1"/>
  <c r="L107"/>
  <c r="L137" s="1"/>
  <c r="K107"/>
  <c r="K137" s="1"/>
  <c r="J107"/>
  <c r="J137" s="1"/>
  <c r="I107"/>
  <c r="I137" s="1"/>
  <c r="G107"/>
  <c r="G137" s="1"/>
  <c r="F107"/>
  <c r="F137" s="1"/>
  <c r="E107"/>
  <c r="E137" s="1"/>
  <c r="D107"/>
  <c r="D137" s="1"/>
  <c r="C107"/>
  <c r="C137" s="1"/>
  <c r="Y106"/>
  <c r="Y136" s="1"/>
  <c r="X106"/>
  <c r="X136" s="1"/>
  <c r="W106"/>
  <c r="W136" s="1"/>
  <c r="V106"/>
  <c r="V136" s="1"/>
  <c r="U106"/>
  <c r="U136" s="1"/>
  <c r="S106"/>
  <c r="S136" s="1"/>
  <c r="R106"/>
  <c r="R136" s="1"/>
  <c r="Q106"/>
  <c r="Q136" s="1"/>
  <c r="P106"/>
  <c r="P136" s="1"/>
  <c r="O106"/>
  <c r="O136" s="1"/>
  <c r="M106"/>
  <c r="M136" s="1"/>
  <c r="L106"/>
  <c r="L136" s="1"/>
  <c r="K106"/>
  <c r="K136" s="1"/>
  <c r="J106"/>
  <c r="J136" s="1"/>
  <c r="I106"/>
  <c r="I136" s="1"/>
  <c r="G106"/>
  <c r="G136" s="1"/>
  <c r="F106"/>
  <c r="F136" s="1"/>
  <c r="E106"/>
  <c r="E136" s="1"/>
  <c r="D106"/>
  <c r="D136" s="1"/>
  <c r="C106"/>
  <c r="C136" s="1"/>
  <c r="Y105"/>
  <c r="Y135" s="1"/>
  <c r="X105"/>
  <c r="X135" s="1"/>
  <c r="W105"/>
  <c r="W135" s="1"/>
  <c r="V105"/>
  <c r="V135" s="1"/>
  <c r="U105"/>
  <c r="U135" s="1"/>
  <c r="S105"/>
  <c r="S135" s="1"/>
  <c r="R105"/>
  <c r="R135" s="1"/>
  <c r="Q105"/>
  <c r="Q135" s="1"/>
  <c r="P105"/>
  <c r="P135" s="1"/>
  <c r="O105"/>
  <c r="O135" s="1"/>
  <c r="M105"/>
  <c r="M135" s="1"/>
  <c r="L105"/>
  <c r="L135" s="1"/>
  <c r="K105"/>
  <c r="K135" s="1"/>
  <c r="J105"/>
  <c r="J135" s="1"/>
  <c r="I105"/>
  <c r="I135" s="1"/>
  <c r="G105"/>
  <c r="G135" s="1"/>
  <c r="F105"/>
  <c r="F135" s="1"/>
  <c r="E105"/>
  <c r="E135" s="1"/>
  <c r="D105"/>
  <c r="D135" s="1"/>
  <c r="C105"/>
  <c r="C135" s="1"/>
  <c r="Y104"/>
  <c r="Y134" s="1"/>
  <c r="X104"/>
  <c r="X134" s="1"/>
  <c r="W104"/>
  <c r="W134" s="1"/>
  <c r="V104"/>
  <c r="V134" s="1"/>
  <c r="U104"/>
  <c r="U134" s="1"/>
  <c r="S104"/>
  <c r="S134" s="1"/>
  <c r="R104"/>
  <c r="R134" s="1"/>
  <c r="Q104"/>
  <c r="Q134" s="1"/>
  <c r="P104"/>
  <c r="P134" s="1"/>
  <c r="O104"/>
  <c r="O134" s="1"/>
  <c r="M104"/>
  <c r="M134" s="1"/>
  <c r="L104"/>
  <c r="L134" s="1"/>
  <c r="K104"/>
  <c r="K134" s="1"/>
  <c r="J104"/>
  <c r="J134" s="1"/>
  <c r="I104"/>
  <c r="I134" s="1"/>
  <c r="G104"/>
  <c r="G134" s="1"/>
  <c r="F104"/>
  <c r="F134" s="1"/>
  <c r="E104"/>
  <c r="E134" s="1"/>
  <c r="D104"/>
  <c r="D134" s="1"/>
  <c r="C104"/>
  <c r="C134" s="1"/>
  <c r="Y103"/>
  <c r="Y133" s="1"/>
  <c r="X103"/>
  <c r="X133" s="1"/>
  <c r="W103"/>
  <c r="W133" s="1"/>
  <c r="V103"/>
  <c r="V133" s="1"/>
  <c r="U103"/>
  <c r="U133" s="1"/>
  <c r="S103"/>
  <c r="S133" s="1"/>
  <c r="R103"/>
  <c r="R133" s="1"/>
  <c r="Q103"/>
  <c r="Q133" s="1"/>
  <c r="P103"/>
  <c r="P133" s="1"/>
  <c r="O103"/>
  <c r="O133" s="1"/>
  <c r="M103"/>
  <c r="M133" s="1"/>
  <c r="L103"/>
  <c r="L133" s="1"/>
  <c r="K103"/>
  <c r="K133" s="1"/>
  <c r="J103"/>
  <c r="J133" s="1"/>
  <c r="I103"/>
  <c r="I133" s="1"/>
  <c r="G103"/>
  <c r="G133" s="1"/>
  <c r="F103"/>
  <c r="F133" s="1"/>
  <c r="E103"/>
  <c r="E133" s="1"/>
  <c r="D103"/>
  <c r="D133" s="1"/>
  <c r="C103"/>
  <c r="C133" s="1"/>
  <c r="Y102"/>
  <c r="Y132" s="1"/>
  <c r="X102"/>
  <c r="X132" s="1"/>
  <c r="W102"/>
  <c r="W132" s="1"/>
  <c r="V102"/>
  <c r="V132" s="1"/>
  <c r="U102"/>
  <c r="U132" s="1"/>
  <c r="S102"/>
  <c r="S132" s="1"/>
  <c r="R102"/>
  <c r="R132" s="1"/>
  <c r="Q102"/>
  <c r="Q132" s="1"/>
  <c r="P102"/>
  <c r="P132" s="1"/>
  <c r="O102"/>
  <c r="O132" s="1"/>
  <c r="M102"/>
  <c r="M132" s="1"/>
  <c r="L102"/>
  <c r="L132" s="1"/>
  <c r="K102"/>
  <c r="K132" s="1"/>
  <c r="J102"/>
  <c r="J132" s="1"/>
  <c r="I102"/>
  <c r="I132" s="1"/>
  <c r="G102"/>
  <c r="G132" s="1"/>
  <c r="F102"/>
  <c r="F132" s="1"/>
  <c r="E102"/>
  <c r="E132" s="1"/>
  <c r="D102"/>
  <c r="D132" s="1"/>
  <c r="C102"/>
  <c r="C132" s="1"/>
  <c r="Y101"/>
  <c r="Y131" s="1"/>
  <c r="X101"/>
  <c r="X131" s="1"/>
  <c r="W101"/>
  <c r="W131" s="1"/>
  <c r="V101"/>
  <c r="V131" s="1"/>
  <c r="U101"/>
  <c r="U131" s="1"/>
  <c r="S101"/>
  <c r="S131" s="1"/>
  <c r="R101"/>
  <c r="R131" s="1"/>
  <c r="Q101"/>
  <c r="Q131" s="1"/>
  <c r="P101"/>
  <c r="P131" s="1"/>
  <c r="O101"/>
  <c r="O131" s="1"/>
  <c r="M101"/>
  <c r="M131" s="1"/>
  <c r="L101"/>
  <c r="L131" s="1"/>
  <c r="K101"/>
  <c r="K131" s="1"/>
  <c r="J101"/>
  <c r="J131" s="1"/>
  <c r="I101"/>
  <c r="I131" s="1"/>
  <c r="G101"/>
  <c r="G131" s="1"/>
  <c r="F101"/>
  <c r="F131" s="1"/>
  <c r="E101"/>
  <c r="E131" s="1"/>
  <c r="D101"/>
  <c r="D131" s="1"/>
  <c r="C101"/>
  <c r="C131" s="1"/>
  <c r="Y100"/>
  <c r="Y130" s="1"/>
  <c r="X100"/>
  <c r="X130" s="1"/>
  <c r="W100"/>
  <c r="W130" s="1"/>
  <c r="V100"/>
  <c r="V130" s="1"/>
  <c r="U100"/>
  <c r="U130" s="1"/>
  <c r="S100"/>
  <c r="S130" s="1"/>
  <c r="R100"/>
  <c r="R130" s="1"/>
  <c r="Q100"/>
  <c r="Q130" s="1"/>
  <c r="P100"/>
  <c r="P130" s="1"/>
  <c r="O100"/>
  <c r="O130" s="1"/>
  <c r="M100"/>
  <c r="M130" s="1"/>
  <c r="L100"/>
  <c r="L130" s="1"/>
  <c r="K100"/>
  <c r="K130" s="1"/>
  <c r="J100"/>
  <c r="J130" s="1"/>
  <c r="I100"/>
  <c r="I130" s="1"/>
  <c r="G100"/>
  <c r="G130" s="1"/>
  <c r="F100"/>
  <c r="F130" s="1"/>
  <c r="E100"/>
  <c r="E130" s="1"/>
  <c r="D100"/>
  <c r="D130" s="1"/>
  <c r="C100"/>
  <c r="C130" s="1"/>
  <c r="Y99"/>
  <c r="Y129" s="1"/>
  <c r="X99"/>
  <c r="X129" s="1"/>
  <c r="W99"/>
  <c r="W129" s="1"/>
  <c r="V99"/>
  <c r="V129" s="1"/>
  <c r="U99"/>
  <c r="U129" s="1"/>
  <c r="S99"/>
  <c r="S129" s="1"/>
  <c r="R99"/>
  <c r="R129" s="1"/>
  <c r="Q99"/>
  <c r="Q129" s="1"/>
  <c r="P99"/>
  <c r="P129" s="1"/>
  <c r="O99"/>
  <c r="O129" s="1"/>
  <c r="M99"/>
  <c r="M129" s="1"/>
  <c r="L99"/>
  <c r="L129" s="1"/>
  <c r="K99"/>
  <c r="K129" s="1"/>
  <c r="J99"/>
  <c r="J129" s="1"/>
  <c r="I99"/>
  <c r="I129" s="1"/>
  <c r="G99"/>
  <c r="G129" s="1"/>
  <c r="F99"/>
  <c r="F129" s="1"/>
  <c r="E99"/>
  <c r="E129" s="1"/>
  <c r="D99"/>
  <c r="D129" s="1"/>
  <c r="C99"/>
  <c r="C129" s="1"/>
  <c r="Y98"/>
  <c r="Y128" s="1"/>
  <c r="X98"/>
  <c r="X128" s="1"/>
  <c r="W98"/>
  <c r="W128" s="1"/>
  <c r="V98"/>
  <c r="V128" s="1"/>
  <c r="U98"/>
  <c r="U128" s="1"/>
  <c r="S98"/>
  <c r="S128" s="1"/>
  <c r="R98"/>
  <c r="R128" s="1"/>
  <c r="Q98"/>
  <c r="Q128" s="1"/>
  <c r="P98"/>
  <c r="P128" s="1"/>
  <c r="O98"/>
  <c r="O128" s="1"/>
  <c r="M98"/>
  <c r="M128" s="1"/>
  <c r="L98"/>
  <c r="L128" s="1"/>
  <c r="K98"/>
  <c r="K128" s="1"/>
  <c r="J98"/>
  <c r="J128" s="1"/>
  <c r="I98"/>
  <c r="I128" s="1"/>
  <c r="G98"/>
  <c r="G128" s="1"/>
  <c r="F98"/>
  <c r="F128" s="1"/>
  <c r="E98"/>
  <c r="E128" s="1"/>
  <c r="D98"/>
  <c r="D128" s="1"/>
  <c r="C98"/>
  <c r="C128" s="1"/>
  <c r="Y90"/>
  <c r="X90"/>
  <c r="W90"/>
  <c r="V90"/>
  <c r="U90"/>
  <c r="S90"/>
  <c r="R90"/>
  <c r="Q90"/>
  <c r="P90"/>
  <c r="O90"/>
  <c r="N90"/>
  <c r="M90"/>
  <c r="L90"/>
  <c r="K90"/>
  <c r="J90"/>
  <c r="I90"/>
  <c r="G90"/>
  <c r="F90"/>
  <c r="E90"/>
  <c r="D90"/>
  <c r="C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Y88"/>
  <c r="X88"/>
  <c r="W88"/>
  <c r="V88"/>
  <c r="U88"/>
  <c r="S88"/>
  <c r="R88"/>
  <c r="Q88"/>
  <c r="P88"/>
  <c r="O88"/>
  <c r="N88"/>
  <c r="M88"/>
  <c r="L88"/>
  <c r="K88"/>
  <c r="J88"/>
  <c r="I88"/>
  <c r="G88"/>
  <c r="F88"/>
  <c r="E88"/>
  <c r="D88"/>
  <c r="C88"/>
  <c r="Y87"/>
  <c r="X87"/>
  <c r="W87"/>
  <c r="V87"/>
  <c r="U87"/>
  <c r="S87"/>
  <c r="R87"/>
  <c r="Q87"/>
  <c r="P87"/>
  <c r="O87"/>
  <c r="M87"/>
  <c r="L87"/>
  <c r="K87"/>
  <c r="J87"/>
  <c r="I87"/>
  <c r="G87"/>
  <c r="F87"/>
  <c r="E87"/>
  <c r="D87"/>
  <c r="C87"/>
  <c r="T84"/>
  <c r="N84"/>
  <c r="H84"/>
  <c r="B84"/>
  <c r="T83"/>
  <c r="N83"/>
  <c r="H83"/>
  <c r="B83"/>
  <c r="B82"/>
  <c r="B81"/>
  <c r="B80"/>
  <c r="B79"/>
  <c r="B78"/>
  <c r="B77"/>
  <c r="B76"/>
  <c r="B75"/>
  <c r="B74"/>
  <c r="B73"/>
  <c r="B72"/>
  <c r="B71"/>
  <c r="B70"/>
  <c r="B69"/>
  <c r="B68"/>
  <c r="Y60"/>
  <c r="X60"/>
  <c r="W60"/>
  <c r="V60"/>
  <c r="U60"/>
  <c r="S60"/>
  <c r="R60"/>
  <c r="Q60"/>
  <c r="P60"/>
  <c r="O60"/>
  <c r="M60"/>
  <c r="L60"/>
  <c r="K60"/>
  <c r="J60"/>
  <c r="I60"/>
  <c r="G60"/>
  <c r="F60"/>
  <c r="E60"/>
  <c r="D60"/>
  <c r="C60"/>
  <c r="Y59"/>
  <c r="X59"/>
  <c r="W59"/>
  <c r="V59"/>
  <c r="U59"/>
  <c r="S59"/>
  <c r="R59"/>
  <c r="Q59"/>
  <c r="P59"/>
  <c r="O59"/>
  <c r="M59"/>
  <c r="L59"/>
  <c r="K59"/>
  <c r="J59"/>
  <c r="I59"/>
  <c r="G59"/>
  <c r="F59"/>
  <c r="E59"/>
  <c r="D59"/>
  <c r="C59"/>
  <c r="Y58"/>
  <c r="X58"/>
  <c r="W58"/>
  <c r="V58"/>
  <c r="U58"/>
  <c r="S58"/>
  <c r="R58"/>
  <c r="Q58"/>
  <c r="P58"/>
  <c r="O58"/>
  <c r="M58"/>
  <c r="L58"/>
  <c r="K58"/>
  <c r="J58"/>
  <c r="I58"/>
  <c r="G58"/>
  <c r="F58"/>
  <c r="E58"/>
  <c r="D58"/>
  <c r="C58"/>
  <c r="Y57"/>
  <c r="X57"/>
  <c r="W57"/>
  <c r="V57"/>
  <c r="U57"/>
  <c r="S57"/>
  <c r="R57"/>
  <c r="Q57"/>
  <c r="P57"/>
  <c r="O57"/>
  <c r="M57"/>
  <c r="L57"/>
  <c r="K57"/>
  <c r="J57"/>
  <c r="I57"/>
  <c r="G57"/>
  <c r="F57"/>
  <c r="E57"/>
  <c r="D57"/>
  <c r="C57"/>
  <c r="T54"/>
  <c r="N54"/>
  <c r="H54"/>
  <c r="B54"/>
  <c r="T53"/>
  <c r="N53"/>
  <c r="H53"/>
  <c r="B53"/>
  <c r="T52"/>
  <c r="T202" s="1"/>
  <c r="N52"/>
  <c r="N202" s="1"/>
  <c r="H52"/>
  <c r="H202" s="1"/>
  <c r="B52"/>
  <c r="T51"/>
  <c r="T201" s="1"/>
  <c r="N51"/>
  <c r="N201" s="1"/>
  <c r="H51"/>
  <c r="H201" s="1"/>
  <c r="B51"/>
  <c r="T50"/>
  <c r="T200" s="1"/>
  <c r="N50"/>
  <c r="N200" s="1"/>
  <c r="H50"/>
  <c r="H200" s="1"/>
  <c r="B50"/>
  <c r="B200" s="1"/>
  <c r="T49"/>
  <c r="T199" s="1"/>
  <c r="N49"/>
  <c r="N199" s="1"/>
  <c r="H49"/>
  <c r="H199" s="1"/>
  <c r="B49"/>
  <c r="T48"/>
  <c r="T198" s="1"/>
  <c r="N48"/>
  <c r="N198" s="1"/>
  <c r="H48"/>
  <c r="H198" s="1"/>
  <c r="B48"/>
  <c r="T47"/>
  <c r="T197" s="1"/>
  <c r="N47"/>
  <c r="N197" s="1"/>
  <c r="H47"/>
  <c r="H197" s="1"/>
  <c r="B47"/>
  <c r="T46"/>
  <c r="T196" s="1"/>
  <c r="N46"/>
  <c r="N196" s="1"/>
  <c r="H46"/>
  <c r="H196" s="1"/>
  <c r="B46"/>
  <c r="T45"/>
  <c r="T195" s="1"/>
  <c r="N45"/>
  <c r="N195" s="1"/>
  <c r="H45"/>
  <c r="H195" s="1"/>
  <c r="B45"/>
  <c r="T44"/>
  <c r="T194" s="1"/>
  <c r="N44"/>
  <c r="N194" s="1"/>
  <c r="H44"/>
  <c r="H194" s="1"/>
  <c r="B44"/>
  <c r="T43"/>
  <c r="T193" s="1"/>
  <c r="N43"/>
  <c r="N193" s="1"/>
  <c r="H43"/>
  <c r="H193" s="1"/>
  <c r="B43"/>
  <c r="T42"/>
  <c r="T192" s="1"/>
  <c r="N42"/>
  <c r="N192" s="1"/>
  <c r="H42"/>
  <c r="H192" s="1"/>
  <c r="B42"/>
  <c r="T41"/>
  <c r="T191" s="1"/>
  <c r="N41"/>
  <c r="N191" s="1"/>
  <c r="H41"/>
  <c r="H191" s="1"/>
  <c r="B41"/>
  <c r="T40"/>
  <c r="T190" s="1"/>
  <c r="N40"/>
  <c r="N190" s="1"/>
  <c r="H40"/>
  <c r="H190" s="1"/>
  <c r="B40"/>
  <c r="T39"/>
  <c r="T189" s="1"/>
  <c r="N39"/>
  <c r="N189" s="1"/>
  <c r="H39"/>
  <c r="H189" s="1"/>
  <c r="B39"/>
  <c r="T38"/>
  <c r="T188" s="1"/>
  <c r="N38"/>
  <c r="N188" s="1"/>
  <c r="H188"/>
  <c r="B38"/>
  <c r="Y29"/>
  <c r="X29"/>
  <c r="W29"/>
  <c r="V29"/>
  <c r="U29"/>
  <c r="S29"/>
  <c r="R29"/>
  <c r="Q29"/>
  <c r="P29"/>
  <c r="O29"/>
  <c r="M29"/>
  <c r="L29"/>
  <c r="K29"/>
  <c r="J29"/>
  <c r="I29"/>
  <c r="G29"/>
  <c r="F29"/>
  <c r="E29"/>
  <c r="D29"/>
  <c r="C29"/>
  <c r="Y28"/>
  <c r="X28"/>
  <c r="W28"/>
  <c r="V28"/>
  <c r="U28"/>
  <c r="S28"/>
  <c r="R28"/>
  <c r="Q28"/>
  <c r="P28"/>
  <c r="O28"/>
  <c r="M28"/>
  <c r="L28"/>
  <c r="K28"/>
  <c r="J28"/>
  <c r="I28"/>
  <c r="G28"/>
  <c r="F28"/>
  <c r="E28"/>
  <c r="D28"/>
  <c r="C28"/>
  <c r="Y27"/>
  <c r="X27"/>
  <c r="W27"/>
  <c r="V27"/>
  <c r="U27"/>
  <c r="S27"/>
  <c r="R27"/>
  <c r="Q27"/>
  <c r="P27"/>
  <c r="O27"/>
  <c r="M27"/>
  <c r="L27"/>
  <c r="K27"/>
  <c r="J27"/>
  <c r="I27"/>
  <c r="G27"/>
  <c r="F27"/>
  <c r="E27"/>
  <c r="D27"/>
  <c r="C27"/>
  <c r="Y26"/>
  <c r="X26"/>
  <c r="W26"/>
  <c r="V26"/>
  <c r="U26"/>
  <c r="S26"/>
  <c r="R26"/>
  <c r="Q26"/>
  <c r="P26"/>
  <c r="O26"/>
  <c r="M26"/>
  <c r="L26"/>
  <c r="K26"/>
  <c r="J26"/>
  <c r="I26"/>
  <c r="G26"/>
  <c r="F26"/>
  <c r="E26"/>
  <c r="D26"/>
  <c r="C26"/>
  <c r="T23"/>
  <c r="T174" s="1"/>
  <c r="N23"/>
  <c r="N174" s="1"/>
  <c r="H23"/>
  <c r="H114" s="1"/>
  <c r="B23"/>
  <c r="T22"/>
  <c r="N22"/>
  <c r="N173" s="1"/>
  <c r="H22"/>
  <c r="H173" s="1"/>
  <c r="B22"/>
  <c r="B173" s="1"/>
  <c r="T21"/>
  <c r="T172" s="1"/>
  <c r="N21"/>
  <c r="N172" s="1"/>
  <c r="H21"/>
  <c r="H112" s="1"/>
  <c r="H142" s="1"/>
  <c r="B21"/>
  <c r="B172" s="1"/>
  <c r="T20"/>
  <c r="T111" s="1"/>
  <c r="T141" s="1"/>
  <c r="N20"/>
  <c r="N171" s="1"/>
  <c r="H20"/>
  <c r="H171" s="1"/>
  <c r="B20"/>
  <c r="B171" s="1"/>
  <c r="T19"/>
  <c r="T170" s="1"/>
  <c r="N19"/>
  <c r="N170" s="1"/>
  <c r="H19"/>
  <c r="H110" s="1"/>
  <c r="H140" s="1"/>
  <c r="B19"/>
  <c r="B170" s="1"/>
  <c r="T18"/>
  <c r="T109" s="1"/>
  <c r="T139" s="1"/>
  <c r="N18"/>
  <c r="N169" s="1"/>
  <c r="H18"/>
  <c r="H169" s="1"/>
  <c r="B18"/>
  <c r="B169" s="1"/>
  <c r="T17"/>
  <c r="T168" s="1"/>
  <c r="N17"/>
  <c r="N168" s="1"/>
  <c r="H17"/>
  <c r="H108" s="1"/>
  <c r="B17"/>
  <c r="B168" s="1"/>
  <c r="T16"/>
  <c r="T107" s="1"/>
  <c r="T137" s="1"/>
  <c r="N16"/>
  <c r="N167" s="1"/>
  <c r="H16"/>
  <c r="H167" s="1"/>
  <c r="B16"/>
  <c r="B167" s="1"/>
  <c r="T15"/>
  <c r="T166" s="1"/>
  <c r="N15"/>
  <c r="N166" s="1"/>
  <c r="H15"/>
  <c r="H106" s="1"/>
  <c r="H136" s="1"/>
  <c r="B15"/>
  <c r="B166" s="1"/>
  <c r="T14"/>
  <c r="T105" s="1"/>
  <c r="T135" s="1"/>
  <c r="N14"/>
  <c r="N165" s="1"/>
  <c r="H14"/>
  <c r="H165" s="1"/>
  <c r="B14"/>
  <c r="B165" s="1"/>
  <c r="T13"/>
  <c r="T164" s="1"/>
  <c r="N13"/>
  <c r="N164" s="1"/>
  <c r="H13"/>
  <c r="H104" s="1"/>
  <c r="H134" s="1"/>
  <c r="B13"/>
  <c r="B164" s="1"/>
  <c r="T12"/>
  <c r="T103" s="1"/>
  <c r="T133" s="1"/>
  <c r="N12"/>
  <c r="N163" s="1"/>
  <c r="H12"/>
  <c r="H163" s="1"/>
  <c r="B12"/>
  <c r="B163" s="1"/>
  <c r="T11"/>
  <c r="T162" s="1"/>
  <c r="N11"/>
  <c r="N162" s="1"/>
  <c r="H11"/>
  <c r="H102" s="1"/>
  <c r="H132" s="1"/>
  <c r="B11"/>
  <c r="B162" s="1"/>
  <c r="T10"/>
  <c r="T101" s="1"/>
  <c r="T131" s="1"/>
  <c r="N10"/>
  <c r="N161" s="1"/>
  <c r="H10"/>
  <c r="H161" s="1"/>
  <c r="B10"/>
  <c r="B161" s="1"/>
  <c r="T9"/>
  <c r="T160" s="1"/>
  <c r="N9"/>
  <c r="N160" s="1"/>
  <c r="H9"/>
  <c r="H100" s="1"/>
  <c r="H130" s="1"/>
  <c r="B9"/>
  <c r="B160" s="1"/>
  <c r="T8"/>
  <c r="T99" s="1"/>
  <c r="T129" s="1"/>
  <c r="N8"/>
  <c r="N159" s="1"/>
  <c r="H8"/>
  <c r="H159" s="1"/>
  <c r="B8"/>
  <c r="B159" s="1"/>
  <c r="T7"/>
  <c r="T158" s="1"/>
  <c r="N7"/>
  <c r="N158" s="1"/>
  <c r="H98"/>
  <c r="H128" s="1"/>
  <c r="B7"/>
  <c r="B158" s="1"/>
  <c r="B107" l="1"/>
  <c r="B137" s="1"/>
  <c r="B110"/>
  <c r="B140" s="1"/>
  <c r="B191"/>
  <c r="B199"/>
  <c r="B204"/>
  <c r="B190"/>
  <c r="B194"/>
  <c r="B198"/>
  <c r="B209" s="1"/>
  <c r="B202"/>
  <c r="B196"/>
  <c r="B195"/>
  <c r="B203"/>
  <c r="B103"/>
  <c r="B133" s="1"/>
  <c r="B98"/>
  <c r="B128" s="1"/>
  <c r="H27"/>
  <c r="H170"/>
  <c r="H60"/>
  <c r="H58"/>
  <c r="H162"/>
  <c r="G117" i="331"/>
  <c r="C117"/>
  <c r="B159"/>
  <c r="B163"/>
  <c r="B167"/>
  <c r="B171"/>
  <c r="B166"/>
  <c r="B158"/>
  <c r="B170"/>
  <c r="B160"/>
  <c r="B57"/>
  <c r="B162"/>
  <c r="B174"/>
  <c r="F144" i="330"/>
  <c r="F150" s="1"/>
  <c r="B26"/>
  <c r="B28"/>
  <c r="B27"/>
  <c r="C179"/>
  <c r="B173"/>
  <c r="G179"/>
  <c r="B169"/>
  <c r="B203"/>
  <c r="B161"/>
  <c r="B163"/>
  <c r="B171"/>
  <c r="B167"/>
  <c r="B59"/>
  <c r="B165"/>
  <c r="U207" i="329"/>
  <c r="Q207"/>
  <c r="C11" i="288"/>
  <c r="M21" i="266"/>
  <c r="D11" i="258" s="1"/>
  <c r="N99" i="329"/>
  <c r="N129" s="1"/>
  <c r="N106"/>
  <c r="N136" s="1"/>
  <c r="H26"/>
  <c r="H57"/>
  <c r="N204"/>
  <c r="L218" s="1"/>
  <c r="L219" s="1"/>
  <c r="N87"/>
  <c r="B100"/>
  <c r="B130" s="1"/>
  <c r="N101"/>
  <c r="N131" s="1"/>
  <c r="N103"/>
  <c r="N133" s="1"/>
  <c r="N110"/>
  <c r="N140" s="1"/>
  <c r="H160"/>
  <c r="T113"/>
  <c r="T143" s="1"/>
  <c r="H28"/>
  <c r="T60"/>
  <c r="H59"/>
  <c r="B99"/>
  <c r="B129" s="1"/>
  <c r="N102"/>
  <c r="N132" s="1"/>
  <c r="N104"/>
  <c r="N134" s="1"/>
  <c r="B106"/>
  <c r="B136" s="1"/>
  <c r="B108"/>
  <c r="B138" s="1"/>
  <c r="X149"/>
  <c r="N109"/>
  <c r="N139" s="1"/>
  <c r="N111"/>
  <c r="N141" s="1"/>
  <c r="X119"/>
  <c r="H164"/>
  <c r="H172"/>
  <c r="E208"/>
  <c r="B174"/>
  <c r="B180" s="1"/>
  <c r="B29"/>
  <c r="N59"/>
  <c r="N60"/>
  <c r="N108"/>
  <c r="N138" s="1"/>
  <c r="N114"/>
  <c r="N120" s="1"/>
  <c r="N113"/>
  <c r="N143" s="1"/>
  <c r="L117"/>
  <c r="H168"/>
  <c r="H179" s="1"/>
  <c r="H29"/>
  <c r="B59"/>
  <c r="B60"/>
  <c r="H203"/>
  <c r="H204"/>
  <c r="H207" s="1"/>
  <c r="N98"/>
  <c r="N128" s="1"/>
  <c r="N100"/>
  <c r="N130" s="1"/>
  <c r="B102"/>
  <c r="B132" s="1"/>
  <c r="B104"/>
  <c r="B134" s="1"/>
  <c r="N105"/>
  <c r="N135" s="1"/>
  <c r="N107"/>
  <c r="N137" s="1"/>
  <c r="P119"/>
  <c r="B111"/>
  <c r="B141" s="1"/>
  <c r="N112"/>
  <c r="N142" s="1"/>
  <c r="H166"/>
  <c r="H174"/>
  <c r="AE19" i="258"/>
  <c r="AI19"/>
  <c r="AG19"/>
  <c r="AB19"/>
  <c r="AF19"/>
  <c r="AH19"/>
  <c r="AJ19"/>
  <c r="L12" i="334"/>
  <c r="P5"/>
  <c r="P6"/>
  <c r="P7"/>
  <c r="K23"/>
  <c r="O12"/>
  <c r="O23"/>
  <c r="N23"/>
  <c r="P17"/>
  <c r="F23"/>
  <c r="P8"/>
  <c r="P9"/>
  <c r="L23"/>
  <c r="F12"/>
  <c r="P16"/>
  <c r="P18"/>
  <c r="P19"/>
  <c r="N12"/>
  <c r="K12"/>
  <c r="M12"/>
  <c r="M23"/>
  <c r="N37" i="335"/>
  <c r="N49"/>
  <c r="P7"/>
  <c r="P19"/>
  <c r="P31"/>
  <c r="P43"/>
  <c r="N13"/>
  <c r="N25"/>
  <c r="M13"/>
  <c r="M37"/>
  <c r="L13"/>
  <c r="L25"/>
  <c r="P9"/>
  <c r="P21"/>
  <c r="P33"/>
  <c r="P45"/>
  <c r="M25"/>
  <c r="M49"/>
  <c r="P8"/>
  <c r="P20"/>
  <c r="P32"/>
  <c r="L37"/>
  <c r="P44"/>
  <c r="L49"/>
  <c r="F13"/>
  <c r="F25"/>
  <c r="F37"/>
  <c r="F49"/>
  <c r="L49" i="337"/>
  <c r="O13"/>
  <c r="O49"/>
  <c r="P6"/>
  <c r="P33"/>
  <c r="L37"/>
  <c r="P44"/>
  <c r="M13"/>
  <c r="N25"/>
  <c r="O37"/>
  <c r="P8"/>
  <c r="P19"/>
  <c r="M25"/>
  <c r="P30"/>
  <c r="P37" s="1"/>
  <c r="P34"/>
  <c r="P9"/>
  <c r="K13"/>
  <c r="P20"/>
  <c r="F25"/>
  <c r="P31"/>
  <c r="M37"/>
  <c r="P42"/>
  <c r="P49" s="1"/>
  <c r="P46"/>
  <c r="N49"/>
  <c r="K37"/>
  <c r="N37"/>
  <c r="P45"/>
  <c r="K49"/>
  <c r="P10"/>
  <c r="P13" s="1"/>
  <c r="N13"/>
  <c r="P21"/>
  <c r="K25"/>
  <c r="F37"/>
  <c r="M49"/>
  <c r="P25"/>
  <c r="K12" i="333"/>
  <c r="N12"/>
  <c r="N23"/>
  <c r="P7"/>
  <c r="P8"/>
  <c r="L12"/>
  <c r="P16"/>
  <c r="P9"/>
  <c r="L23"/>
  <c r="M12"/>
  <c r="K23"/>
  <c r="O12"/>
  <c r="O23"/>
  <c r="P5"/>
  <c r="P6"/>
  <c r="F12"/>
  <c r="P18"/>
  <c r="P10" i="335"/>
  <c r="P13" s="1"/>
  <c r="P22"/>
  <c r="P25" s="1"/>
  <c r="P34"/>
  <c r="P37" s="1"/>
  <c r="P46"/>
  <c r="P49" s="1"/>
  <c r="P20" i="334"/>
  <c r="P23" s="1"/>
  <c r="C148" i="331"/>
  <c r="C177"/>
  <c r="G177"/>
  <c r="G179"/>
  <c r="E179"/>
  <c r="E209"/>
  <c r="D150"/>
  <c r="D177"/>
  <c r="D179"/>
  <c r="F179"/>
  <c r="F178"/>
  <c r="C149"/>
  <c r="C179"/>
  <c r="E207"/>
  <c r="D119"/>
  <c r="C120"/>
  <c r="G120"/>
  <c r="F118"/>
  <c r="C128"/>
  <c r="C147" s="1"/>
  <c r="C180"/>
  <c r="G180"/>
  <c r="C209"/>
  <c r="G209"/>
  <c r="D117"/>
  <c r="D149"/>
  <c r="F210"/>
  <c r="D120"/>
  <c r="C119"/>
  <c r="D180"/>
  <c r="D209"/>
  <c r="E210"/>
  <c r="F207"/>
  <c r="M208" i="329"/>
  <c r="F208" i="330"/>
  <c r="E149"/>
  <c r="D207"/>
  <c r="C210"/>
  <c r="G210"/>
  <c r="E148"/>
  <c r="D209"/>
  <c r="E210"/>
  <c r="F179"/>
  <c r="E179"/>
  <c r="G209"/>
  <c r="E128"/>
  <c r="E147" s="1"/>
  <c r="F120"/>
  <c r="E119"/>
  <c r="F180"/>
  <c r="D210"/>
  <c r="C207"/>
  <c r="E120"/>
  <c r="E180"/>
  <c r="F209"/>
  <c r="D179"/>
  <c r="E209"/>
  <c r="G207"/>
  <c r="U210" i="329"/>
  <c r="J209"/>
  <c r="K210"/>
  <c r="V209"/>
  <c r="L149"/>
  <c r="U149"/>
  <c r="Y149"/>
  <c r="Q210"/>
  <c r="E118"/>
  <c r="D119"/>
  <c r="D120"/>
  <c r="B113"/>
  <c r="M120"/>
  <c r="D117"/>
  <c r="D118"/>
  <c r="U120"/>
  <c r="F179"/>
  <c r="C180"/>
  <c r="K180"/>
  <c r="P180"/>
  <c r="U180"/>
  <c r="E207"/>
  <c r="V210"/>
  <c r="E149"/>
  <c r="B112"/>
  <c r="B114"/>
  <c r="B120" s="1"/>
  <c r="X120"/>
  <c r="M117"/>
  <c r="L118"/>
  <c r="L119"/>
  <c r="L120"/>
  <c r="P138"/>
  <c r="P149" s="1"/>
  <c r="L178"/>
  <c r="D179"/>
  <c r="L179"/>
  <c r="E180"/>
  <c r="I180"/>
  <c r="M180"/>
  <c r="R180"/>
  <c r="W180"/>
  <c r="V208"/>
  <c r="D177"/>
  <c r="G180"/>
  <c r="Y180"/>
  <c r="P117"/>
  <c r="X117"/>
  <c r="P118"/>
  <c r="M119"/>
  <c r="P120"/>
  <c r="X144"/>
  <c r="X150" s="1"/>
  <c r="D210"/>
  <c r="I210"/>
  <c r="M210"/>
  <c r="J179"/>
  <c r="O179"/>
  <c r="S179"/>
  <c r="L180"/>
  <c r="E209"/>
  <c r="N209"/>
  <c r="R209"/>
  <c r="W209"/>
  <c r="F207"/>
  <c r="P210"/>
  <c r="Y210"/>
  <c r="F208"/>
  <c r="E179"/>
  <c r="I179"/>
  <c r="M179"/>
  <c r="R179"/>
  <c r="W179"/>
  <c r="F180"/>
  <c r="J180"/>
  <c r="O180"/>
  <c r="S180"/>
  <c r="X180"/>
  <c r="D178"/>
  <c r="D180"/>
  <c r="O210"/>
  <c r="S210"/>
  <c r="X210"/>
  <c r="V207"/>
  <c r="F210"/>
  <c r="Q179"/>
  <c r="V179"/>
  <c r="C209"/>
  <c r="G209"/>
  <c r="W210"/>
  <c r="M207"/>
  <c r="C179"/>
  <c r="G179"/>
  <c r="K179"/>
  <c r="P179"/>
  <c r="U179"/>
  <c r="Q180"/>
  <c r="V180"/>
  <c r="F209"/>
  <c r="K209"/>
  <c r="O209"/>
  <c r="S209"/>
  <c r="X209"/>
  <c r="C210"/>
  <c r="G210"/>
  <c r="L210"/>
  <c r="D150"/>
  <c r="D148"/>
  <c r="D147"/>
  <c r="I150"/>
  <c r="I148"/>
  <c r="I147"/>
  <c r="Q150"/>
  <c r="Q148"/>
  <c r="Q147"/>
  <c r="E225" i="330"/>
  <c r="B207"/>
  <c r="E219"/>
  <c r="E223"/>
  <c r="B210"/>
  <c r="E221" s="1"/>
  <c r="T180" i="329"/>
  <c r="T177"/>
  <c r="L150"/>
  <c r="L148"/>
  <c r="L147"/>
  <c r="U150"/>
  <c r="U148"/>
  <c r="U147"/>
  <c r="Y150"/>
  <c r="Y148"/>
  <c r="Y147"/>
  <c r="H138"/>
  <c r="H120"/>
  <c r="H144"/>
  <c r="H117"/>
  <c r="E150"/>
  <c r="E148"/>
  <c r="E147"/>
  <c r="D149"/>
  <c r="I149"/>
  <c r="M149"/>
  <c r="Q149"/>
  <c r="F150"/>
  <c r="F148"/>
  <c r="F147"/>
  <c r="J150"/>
  <c r="J148"/>
  <c r="J147"/>
  <c r="N144"/>
  <c r="R150"/>
  <c r="R148"/>
  <c r="R147"/>
  <c r="V150"/>
  <c r="V148"/>
  <c r="V147"/>
  <c r="I209"/>
  <c r="I208"/>
  <c r="D138" i="330"/>
  <c r="D149" s="1"/>
  <c r="D119"/>
  <c r="D144"/>
  <c r="D117"/>
  <c r="D120"/>
  <c r="D177"/>
  <c r="D180"/>
  <c r="C207" i="331"/>
  <c r="C210"/>
  <c r="G207"/>
  <c r="G208"/>
  <c r="C221" i="330"/>
  <c r="C221" i="331"/>
  <c r="F23" i="333"/>
  <c r="P20"/>
  <c r="M218" i="329"/>
  <c r="M219" s="1"/>
  <c r="N180"/>
  <c r="N178"/>
  <c r="N177"/>
  <c r="C144" i="330"/>
  <c r="C117"/>
  <c r="C120"/>
  <c r="C177"/>
  <c r="C180"/>
  <c r="G178"/>
  <c r="F138" i="331"/>
  <c r="F149" s="1"/>
  <c r="F119"/>
  <c r="B144"/>
  <c r="B117"/>
  <c r="F144"/>
  <c r="F117"/>
  <c r="F120"/>
  <c r="G147"/>
  <c r="G148"/>
  <c r="E177"/>
  <c r="E180"/>
  <c r="C220"/>
  <c r="C220" i="330"/>
  <c r="J210" i="329"/>
  <c r="J208"/>
  <c r="J207"/>
  <c r="R210"/>
  <c r="R208"/>
  <c r="R207"/>
  <c r="E224" i="330"/>
  <c r="B209"/>
  <c r="E220" s="1"/>
  <c r="F207"/>
  <c r="F210"/>
  <c r="B194" i="331"/>
  <c r="B164"/>
  <c r="B198"/>
  <c r="B59"/>
  <c r="B60"/>
  <c r="B202"/>
  <c r="B172"/>
  <c r="E144"/>
  <c r="E117"/>
  <c r="E118"/>
  <c r="D147"/>
  <c r="D148"/>
  <c r="T209" i="329"/>
  <c r="B87"/>
  <c r="B88"/>
  <c r="B89"/>
  <c r="B90"/>
  <c r="B101"/>
  <c r="B131" s="1"/>
  <c r="B149" s="1"/>
  <c r="B105"/>
  <c r="B135" s="1"/>
  <c r="F149"/>
  <c r="J149"/>
  <c r="N149"/>
  <c r="R149"/>
  <c r="V149"/>
  <c r="B109"/>
  <c r="B139" s="1"/>
  <c r="R117"/>
  <c r="J118"/>
  <c r="R119"/>
  <c r="E120"/>
  <c r="J120"/>
  <c r="P147"/>
  <c r="P148"/>
  <c r="T159"/>
  <c r="T161"/>
  <c r="T178" s="1"/>
  <c r="T163"/>
  <c r="T165"/>
  <c r="T167"/>
  <c r="T169"/>
  <c r="T171"/>
  <c r="T173"/>
  <c r="D118" i="330"/>
  <c r="D178"/>
  <c r="F180" i="331"/>
  <c r="C208"/>
  <c r="G210"/>
  <c r="N179" i="329"/>
  <c r="T26"/>
  <c r="T27"/>
  <c r="T28"/>
  <c r="T29"/>
  <c r="T57"/>
  <c r="T58"/>
  <c r="T59"/>
  <c r="T203"/>
  <c r="T204"/>
  <c r="F117"/>
  <c r="Y118"/>
  <c r="F119"/>
  <c r="Q119"/>
  <c r="V119"/>
  <c r="I120"/>
  <c r="M144"/>
  <c r="I178"/>
  <c r="U208"/>
  <c r="E210"/>
  <c r="C118" i="330"/>
  <c r="C178"/>
  <c r="G180"/>
  <c r="B120" i="331"/>
  <c r="D221" s="1"/>
  <c r="D225"/>
  <c r="H209" i="329"/>
  <c r="B189"/>
  <c r="B193"/>
  <c r="B197"/>
  <c r="B201"/>
  <c r="N203"/>
  <c r="H87"/>
  <c r="T87"/>
  <c r="H88"/>
  <c r="T88"/>
  <c r="H90"/>
  <c r="T90"/>
  <c r="T98"/>
  <c r="T128" s="1"/>
  <c r="H99"/>
  <c r="H129" s="1"/>
  <c r="T100"/>
  <c r="T130" s="1"/>
  <c r="H101"/>
  <c r="H131" s="1"/>
  <c r="T102"/>
  <c r="T132" s="1"/>
  <c r="H103"/>
  <c r="H133" s="1"/>
  <c r="T104"/>
  <c r="T134" s="1"/>
  <c r="H105"/>
  <c r="H135" s="1"/>
  <c r="T106"/>
  <c r="T136" s="1"/>
  <c r="H107"/>
  <c r="H137" s="1"/>
  <c r="T108"/>
  <c r="H109"/>
  <c r="H139" s="1"/>
  <c r="T110"/>
  <c r="T140" s="1"/>
  <c r="H111"/>
  <c r="H141" s="1"/>
  <c r="T112"/>
  <c r="T142" s="1"/>
  <c r="H113"/>
  <c r="H143" s="1"/>
  <c r="T114"/>
  <c r="E117"/>
  <c r="J117"/>
  <c r="U117"/>
  <c r="M118"/>
  <c r="R118"/>
  <c r="X118"/>
  <c r="E119"/>
  <c r="J119"/>
  <c r="U119"/>
  <c r="R120"/>
  <c r="P177"/>
  <c r="X177"/>
  <c r="P178"/>
  <c r="Y209"/>
  <c r="B162" i="330"/>
  <c r="B166"/>
  <c r="B170"/>
  <c r="B174"/>
  <c r="B57"/>
  <c r="F119"/>
  <c r="B159"/>
  <c r="B58" i="331"/>
  <c r="Q209" i="329"/>
  <c r="Q208"/>
  <c r="G144" i="330"/>
  <c r="G117"/>
  <c r="G118"/>
  <c r="B138" i="331"/>
  <c r="H210" i="329"/>
  <c r="C138"/>
  <c r="C149" s="1"/>
  <c r="C119"/>
  <c r="G138"/>
  <c r="G149" s="1"/>
  <c r="G119"/>
  <c r="K138"/>
  <c r="K149" s="1"/>
  <c r="K119"/>
  <c r="O138"/>
  <c r="O149" s="1"/>
  <c r="O119"/>
  <c r="S138"/>
  <c r="S149" s="1"/>
  <c r="S119"/>
  <c r="W138"/>
  <c r="W149" s="1"/>
  <c r="W119"/>
  <c r="B144"/>
  <c r="C148"/>
  <c r="C147"/>
  <c r="G148"/>
  <c r="G147"/>
  <c r="K148"/>
  <c r="K147"/>
  <c r="O148"/>
  <c r="O147"/>
  <c r="S148"/>
  <c r="S147"/>
  <c r="W148"/>
  <c r="W147"/>
  <c r="B60" i="330"/>
  <c r="B58"/>
  <c r="E207"/>
  <c r="E208"/>
  <c r="D207" i="331"/>
  <c r="D210"/>
  <c r="Q117" i="329"/>
  <c r="V117"/>
  <c r="I118"/>
  <c r="Y120"/>
  <c r="I177"/>
  <c r="Q177"/>
  <c r="Y177"/>
  <c r="Q178"/>
  <c r="M209"/>
  <c r="G120" i="330"/>
  <c r="B179" i="329"/>
  <c r="B26"/>
  <c r="N26"/>
  <c r="B27"/>
  <c r="N27"/>
  <c r="B28"/>
  <c r="N28"/>
  <c r="N29"/>
  <c r="B57"/>
  <c r="N57"/>
  <c r="B58"/>
  <c r="N58"/>
  <c r="B188"/>
  <c r="B192"/>
  <c r="B142"/>
  <c r="B143"/>
  <c r="I117"/>
  <c r="Y117"/>
  <c r="F118"/>
  <c r="Q118"/>
  <c r="V118"/>
  <c r="I119"/>
  <c r="Y119"/>
  <c r="F120"/>
  <c r="Q120"/>
  <c r="V120"/>
  <c r="E177"/>
  <c r="U177"/>
  <c r="E178"/>
  <c r="M178"/>
  <c r="U178"/>
  <c r="F149" i="330"/>
  <c r="G150" i="331"/>
  <c r="E178"/>
  <c r="B180"/>
  <c r="F221" s="1"/>
  <c r="D208"/>
  <c r="B160" i="330"/>
  <c r="B100"/>
  <c r="B130" s="1"/>
  <c r="B164"/>
  <c r="B104"/>
  <c r="B134" s="1"/>
  <c r="B29"/>
  <c r="B168"/>
  <c r="B108"/>
  <c r="B172"/>
  <c r="B112"/>
  <c r="B142" s="1"/>
  <c r="C138"/>
  <c r="C149" s="1"/>
  <c r="C119"/>
  <c r="G138"/>
  <c r="G149" s="1"/>
  <c r="G119"/>
  <c r="E138" i="331"/>
  <c r="E149" s="1"/>
  <c r="E119"/>
  <c r="C117" i="329"/>
  <c r="G117"/>
  <c r="K117"/>
  <c r="O117"/>
  <c r="S117"/>
  <c r="W117"/>
  <c r="C118"/>
  <c r="G118"/>
  <c r="K118"/>
  <c r="O118"/>
  <c r="S118"/>
  <c r="W118"/>
  <c r="C120"/>
  <c r="G120"/>
  <c r="K120"/>
  <c r="O120"/>
  <c r="S120"/>
  <c r="W120"/>
  <c r="C177"/>
  <c r="G177"/>
  <c r="O177"/>
  <c r="S177"/>
  <c r="W177"/>
  <c r="C178"/>
  <c r="G178"/>
  <c r="K178"/>
  <c r="O178"/>
  <c r="S178"/>
  <c r="W178"/>
  <c r="D209"/>
  <c r="B103" i="330"/>
  <c r="B133" s="1"/>
  <c r="B111"/>
  <c r="B141" s="1"/>
  <c r="B26" i="331"/>
  <c r="G119"/>
  <c r="G149"/>
  <c r="C150"/>
  <c r="M23" i="333"/>
  <c r="B28" i="331"/>
  <c r="B161"/>
  <c r="F224" s="1"/>
  <c r="B101"/>
  <c r="B131" s="1"/>
  <c r="B165"/>
  <c r="B105"/>
  <c r="B135" s="1"/>
  <c r="B169"/>
  <c r="B109"/>
  <c r="B139" s="1"/>
  <c r="B173"/>
  <c r="B113"/>
  <c r="B143" s="1"/>
  <c r="B204"/>
  <c r="B90"/>
  <c r="B88"/>
  <c r="F225"/>
  <c r="F177" i="329"/>
  <c r="J177"/>
  <c r="R177"/>
  <c r="V177"/>
  <c r="F178"/>
  <c r="J178"/>
  <c r="R178"/>
  <c r="V178"/>
  <c r="L209"/>
  <c r="P209"/>
  <c r="Y207"/>
  <c r="Y208"/>
  <c r="E150" i="330"/>
  <c r="F177" i="331"/>
  <c r="D207" i="329"/>
  <c r="L207"/>
  <c r="P207"/>
  <c r="X207"/>
  <c r="D208"/>
  <c r="L208"/>
  <c r="P208"/>
  <c r="X208"/>
  <c r="B98" i="330"/>
  <c r="B128" s="1"/>
  <c r="B102"/>
  <c r="B132" s="1"/>
  <c r="B106"/>
  <c r="B136" s="1"/>
  <c r="B110"/>
  <c r="B140" s="1"/>
  <c r="B114"/>
  <c r="F118"/>
  <c r="F178"/>
  <c r="D208"/>
  <c r="B99" i="331"/>
  <c r="B129" s="1"/>
  <c r="B103"/>
  <c r="B133" s="1"/>
  <c r="B107"/>
  <c r="B137" s="1"/>
  <c r="B111"/>
  <c r="B141" s="1"/>
  <c r="D118"/>
  <c r="D178"/>
  <c r="F208"/>
  <c r="C207" i="329"/>
  <c r="G207"/>
  <c r="K207"/>
  <c r="O207"/>
  <c r="S207"/>
  <c r="W207"/>
  <c r="C208"/>
  <c r="G208"/>
  <c r="K208"/>
  <c r="O208"/>
  <c r="S208"/>
  <c r="W208"/>
  <c r="E118" i="330"/>
  <c r="E178"/>
  <c r="C208"/>
  <c r="G208"/>
  <c r="C118" i="331"/>
  <c r="G118"/>
  <c r="C178"/>
  <c r="G178"/>
  <c r="E208"/>
  <c r="B177" i="329" l="1"/>
  <c r="B117"/>
  <c r="B178"/>
  <c r="B210"/>
  <c r="B207"/>
  <c r="B208"/>
  <c r="B118"/>
  <c r="B119"/>
  <c r="J218"/>
  <c r="J219" s="1"/>
  <c r="N119"/>
  <c r="N118"/>
  <c r="N208"/>
  <c r="H180"/>
  <c r="B177" i="331"/>
  <c r="F148" i="330"/>
  <c r="F147"/>
  <c r="H208" i="329"/>
  <c r="N207"/>
  <c r="F218"/>
  <c r="F219" s="1"/>
  <c r="H178"/>
  <c r="N210"/>
  <c r="G218"/>
  <c r="G219" s="1"/>
  <c r="N117"/>
  <c r="X147"/>
  <c r="P12" i="334"/>
  <c r="P12" i="333"/>
  <c r="P23"/>
  <c r="B119" i="331"/>
  <c r="D220" s="1"/>
  <c r="S150" i="329"/>
  <c r="O150"/>
  <c r="P150"/>
  <c r="C150"/>
  <c r="X148"/>
  <c r="E223" i="331"/>
  <c r="B210"/>
  <c r="E221" s="1"/>
  <c r="B208"/>
  <c r="E219" s="1"/>
  <c r="E225"/>
  <c r="B207"/>
  <c r="T117" i="329"/>
  <c r="T118"/>
  <c r="T144"/>
  <c r="T120"/>
  <c r="M150"/>
  <c r="M148"/>
  <c r="M147"/>
  <c r="T210"/>
  <c r="T208"/>
  <c r="T207"/>
  <c r="C150" i="330"/>
  <c r="C148"/>
  <c r="C147"/>
  <c r="M222" i="329"/>
  <c r="L222"/>
  <c r="D225" i="330"/>
  <c r="B120"/>
  <c r="D221" s="1"/>
  <c r="B118"/>
  <c r="D219" s="1"/>
  <c r="D223"/>
  <c r="B144"/>
  <c r="B117"/>
  <c r="D233" i="331"/>
  <c r="F150"/>
  <c r="F148"/>
  <c r="F147"/>
  <c r="C218" i="329"/>
  <c r="C219" s="1"/>
  <c r="H150"/>
  <c r="H148"/>
  <c r="H147"/>
  <c r="F223" i="331"/>
  <c r="B118"/>
  <c r="D219" s="1"/>
  <c r="B179"/>
  <c r="F220" s="1"/>
  <c r="H118" i="329"/>
  <c r="H149"/>
  <c r="B178" i="331"/>
  <c r="F219" s="1"/>
  <c r="K150" i="329"/>
  <c r="D224" i="331"/>
  <c r="F232" s="1"/>
  <c r="D223"/>
  <c r="H119" i="329"/>
  <c r="D224" i="330"/>
  <c r="E232" s="1"/>
  <c r="B138"/>
  <c r="B119"/>
  <c r="D220" s="1"/>
  <c r="F223"/>
  <c r="B180"/>
  <c r="F221" s="1"/>
  <c r="B178"/>
  <c r="F219" s="1"/>
  <c r="F225"/>
  <c r="E150" i="331"/>
  <c r="E148"/>
  <c r="E147"/>
  <c r="D150" i="330"/>
  <c r="D148"/>
  <c r="D147"/>
  <c r="F233" i="331"/>
  <c r="F224" i="330"/>
  <c r="B179"/>
  <c r="F220" s="1"/>
  <c r="B150" i="329"/>
  <c r="B148"/>
  <c r="B147"/>
  <c r="B225" i="331"/>
  <c r="B149"/>
  <c r="B220" s="1"/>
  <c r="B224"/>
  <c r="F228" s="1"/>
  <c r="G150" i="330"/>
  <c r="G148"/>
  <c r="G147"/>
  <c r="T119" i="329"/>
  <c r="T138"/>
  <c r="T149" s="1"/>
  <c r="E224" i="331"/>
  <c r="B209"/>
  <c r="E220" s="1"/>
  <c r="B150"/>
  <c r="B221" s="1"/>
  <c r="B148"/>
  <c r="B219" s="1"/>
  <c r="B147"/>
  <c r="B223"/>
  <c r="I218" i="329"/>
  <c r="I219" s="1"/>
  <c r="J220" s="1"/>
  <c r="N150"/>
  <c r="N148"/>
  <c r="N147"/>
  <c r="W150"/>
  <c r="G150"/>
  <c r="T179"/>
  <c r="D218"/>
  <c r="D219" s="1"/>
  <c r="G221" l="1"/>
  <c r="L221"/>
  <c r="E232" i="331"/>
  <c r="E228"/>
  <c r="C229"/>
  <c r="B229"/>
  <c r="B224" i="330"/>
  <c r="D228" s="1"/>
  <c r="B149"/>
  <c r="B220" s="1"/>
  <c r="B225"/>
  <c r="D229" s="1"/>
  <c r="D233"/>
  <c r="D220" i="329"/>
  <c r="F222"/>
  <c r="B227" i="331"/>
  <c r="C227"/>
  <c r="T150" i="329"/>
  <c r="T148"/>
  <c r="T147"/>
  <c r="E233" i="331"/>
  <c r="E229"/>
  <c r="K221" i="329"/>
  <c r="K220"/>
  <c r="C228" i="331"/>
  <c r="B228"/>
  <c r="F231" i="330"/>
  <c r="D228" i="331"/>
  <c r="D232"/>
  <c r="E227"/>
  <c r="E231"/>
  <c r="F229"/>
  <c r="D229"/>
  <c r="G222" i="329"/>
  <c r="D231" i="331"/>
  <c r="D227"/>
  <c r="B223" i="330"/>
  <c r="D227" s="1"/>
  <c r="B147"/>
  <c r="B148"/>
  <c r="B219" s="1"/>
  <c r="B150"/>
  <c r="B221" s="1"/>
  <c r="F233"/>
  <c r="F232"/>
  <c r="D232"/>
  <c r="F227" i="331"/>
  <c r="F231"/>
  <c r="E221" i="329"/>
  <c r="E220"/>
  <c r="F221"/>
  <c r="D231" i="330"/>
  <c r="E233"/>
  <c r="M221" i="329"/>
  <c r="E231" i="330"/>
  <c r="F229" l="1"/>
  <c r="B229"/>
  <c r="C229"/>
  <c r="E229"/>
  <c r="B228"/>
  <c r="C228"/>
  <c r="E228"/>
  <c r="B227"/>
  <c r="C227"/>
  <c r="E227"/>
  <c r="F228"/>
  <c r="F227"/>
  <c r="A217" i="165" l="1"/>
  <c r="A216"/>
  <c r="A215"/>
  <c r="A214"/>
  <c r="A213"/>
  <c r="A212"/>
  <c r="A211"/>
  <c r="A210"/>
  <c r="A209"/>
  <c r="A208"/>
  <c r="A207"/>
  <c r="A205"/>
  <c r="A204"/>
  <c r="A203"/>
  <c r="A202"/>
  <c r="A201"/>
  <c r="A200"/>
  <c r="A199"/>
  <c r="A198"/>
  <c r="A197"/>
  <c r="A196"/>
  <c r="A195"/>
  <c r="A193"/>
  <c r="A192"/>
  <c r="A191"/>
  <c r="A190"/>
  <c r="A189"/>
  <c r="A188"/>
  <c r="A187"/>
  <c r="A186"/>
  <c r="A185"/>
  <c r="A184"/>
  <c r="A183"/>
  <c r="A181"/>
  <c r="A180"/>
  <c r="A179"/>
  <c r="A178"/>
  <c r="A177"/>
  <c r="A176"/>
  <c r="A175"/>
  <c r="A174"/>
  <c r="A173"/>
  <c r="A172"/>
  <c r="A171"/>
  <c r="A169"/>
  <c r="E24" i="302"/>
  <c r="AP47" i="258" s="1"/>
  <c r="D24" i="302"/>
  <c r="AO47" i="258" s="1"/>
  <c r="B24" i="302"/>
  <c r="AM47" i="258" s="1"/>
  <c r="E23" i="302"/>
  <c r="AP36" i="258" s="1"/>
  <c r="D23" i="302"/>
  <c r="AO36" i="258" s="1"/>
  <c r="C23" i="302"/>
  <c r="AN36" i="258" s="1"/>
  <c r="B23" i="302"/>
  <c r="AM36" i="258" s="1"/>
  <c r="E22" i="302"/>
  <c r="AP25" i="258" s="1"/>
  <c r="D22" i="302"/>
  <c r="AO25" i="258" s="1"/>
  <c r="C22" i="302"/>
  <c r="AN25" i="258" s="1"/>
  <c r="B22" i="302"/>
  <c r="AM25" i="258" s="1"/>
  <c r="I18" i="302"/>
  <c r="I25" s="1"/>
  <c r="AT58" i="258" s="1"/>
  <c r="H18" i="302"/>
  <c r="H25" s="1"/>
  <c r="AS58" i="258" s="1"/>
  <c r="G18" i="302"/>
  <c r="G25" s="1"/>
  <c r="AR58" i="258" s="1"/>
  <c r="F18" i="302"/>
  <c r="F25" s="1"/>
  <c r="AQ58" i="258" s="1"/>
  <c r="I17" i="302"/>
  <c r="H17"/>
  <c r="G17"/>
  <c r="F17"/>
  <c r="I16"/>
  <c r="H16"/>
  <c r="G16"/>
  <c r="F16"/>
  <c r="I15"/>
  <c r="H15"/>
  <c r="G15"/>
  <c r="F15"/>
  <c r="I14"/>
  <c r="H14"/>
  <c r="G14"/>
  <c r="F14"/>
  <c r="I13"/>
  <c r="H13"/>
  <c r="G13"/>
  <c r="F13"/>
  <c r="F12"/>
  <c r="F21" s="1"/>
  <c r="AQ14" i="258" s="1"/>
  <c r="E24" i="301"/>
  <c r="AP46" i="258" s="1"/>
  <c r="D24" i="301"/>
  <c r="AO46" i="258" s="1"/>
  <c r="B24" i="301"/>
  <c r="AM46" i="258" s="1"/>
  <c r="E23" i="301"/>
  <c r="AP35" i="258" s="1"/>
  <c r="D23" i="301"/>
  <c r="AO35" i="258" s="1"/>
  <c r="C23" i="301"/>
  <c r="AN35" i="258" s="1"/>
  <c r="B23" i="301"/>
  <c r="AM35" i="258" s="1"/>
  <c r="E22" i="301"/>
  <c r="AP24" i="258" s="1"/>
  <c r="D22" i="301"/>
  <c r="AO24" i="258" s="1"/>
  <c r="C22" i="301"/>
  <c r="AN24" i="258" s="1"/>
  <c r="B22" i="301"/>
  <c r="AM24" i="258" s="1"/>
  <c r="I18" i="301"/>
  <c r="I25" s="1"/>
  <c r="AT57" i="258" s="1"/>
  <c r="H18" i="301"/>
  <c r="H25" s="1"/>
  <c r="AS57" i="258" s="1"/>
  <c r="G18" i="301"/>
  <c r="G25" s="1"/>
  <c r="AR57" i="258" s="1"/>
  <c r="F18" i="301"/>
  <c r="F25" s="1"/>
  <c r="AQ57" i="258" s="1"/>
  <c r="I17" i="301"/>
  <c r="H17"/>
  <c r="G17"/>
  <c r="F17"/>
  <c r="H16"/>
  <c r="G16"/>
  <c r="F16"/>
  <c r="I15"/>
  <c r="H15"/>
  <c r="G15"/>
  <c r="F15"/>
  <c r="I14"/>
  <c r="H14"/>
  <c r="G14"/>
  <c r="F14"/>
  <c r="I13"/>
  <c r="H13"/>
  <c r="G13"/>
  <c r="F13"/>
  <c r="F12"/>
  <c r="F21" s="1"/>
  <c r="AQ13" i="258" s="1"/>
  <c r="I24" i="300"/>
  <c r="AT45" i="258" s="1"/>
  <c r="H24" i="300"/>
  <c r="AS45" i="258" s="1"/>
  <c r="E24" i="300"/>
  <c r="AP45" i="258" s="1"/>
  <c r="D24" i="300"/>
  <c r="AO45" i="258" s="1"/>
  <c r="B24" i="300"/>
  <c r="AM45" i="258" s="1"/>
  <c r="I23" i="300"/>
  <c r="AT34" i="258" s="1"/>
  <c r="H23" i="300"/>
  <c r="AS34" i="258" s="1"/>
  <c r="E23" i="300"/>
  <c r="AP34" i="258" s="1"/>
  <c r="D23" i="300"/>
  <c r="AO34" i="258" s="1"/>
  <c r="C23" i="300"/>
  <c r="AN34" i="258" s="1"/>
  <c r="B23" i="300"/>
  <c r="AM34" i="258" s="1"/>
  <c r="I22" i="300"/>
  <c r="AT23" i="258" s="1"/>
  <c r="H22" i="300"/>
  <c r="AS23" i="258" s="1"/>
  <c r="E22" i="300"/>
  <c r="AP23" i="258" s="1"/>
  <c r="D22" i="300"/>
  <c r="AO23" i="258" s="1"/>
  <c r="C22" i="300"/>
  <c r="AN23" i="258" s="1"/>
  <c r="B22" i="300"/>
  <c r="AM23" i="258" s="1"/>
  <c r="G18" i="300"/>
  <c r="G25" s="1"/>
  <c r="AR56" i="258" s="1"/>
  <c r="F18" i="300"/>
  <c r="F25" s="1"/>
  <c r="AQ56" i="258" s="1"/>
  <c r="G17" i="300"/>
  <c r="F17"/>
  <c r="G16"/>
  <c r="F16"/>
  <c r="G15"/>
  <c r="F15"/>
  <c r="G14"/>
  <c r="F14"/>
  <c r="G13"/>
  <c r="F13"/>
  <c r="F12"/>
  <c r="F21" s="1"/>
  <c r="AQ12" i="258" s="1"/>
  <c r="I24" i="299"/>
  <c r="AT44" i="258" s="1"/>
  <c r="H24" i="299"/>
  <c r="AS44" i="258" s="1"/>
  <c r="E24" i="299"/>
  <c r="AP44" i="258" s="1"/>
  <c r="D24" i="299"/>
  <c r="AO44" i="258" s="1"/>
  <c r="B24" i="299"/>
  <c r="AM44" i="258" s="1"/>
  <c r="I23" i="299"/>
  <c r="AT33" i="258" s="1"/>
  <c r="H23" i="299"/>
  <c r="AS33" i="258" s="1"/>
  <c r="E23" i="299"/>
  <c r="AP33" i="258" s="1"/>
  <c r="D23" i="299"/>
  <c r="AO33" i="258" s="1"/>
  <c r="C23" i="299"/>
  <c r="AN33" i="258" s="1"/>
  <c r="B23" i="299"/>
  <c r="AM33" i="258" s="1"/>
  <c r="I22" i="299"/>
  <c r="AT22" i="258" s="1"/>
  <c r="H22" i="299"/>
  <c r="AS22" i="258" s="1"/>
  <c r="E22" i="299"/>
  <c r="AP22" i="258" s="1"/>
  <c r="D22" i="299"/>
  <c r="AO22" i="258" s="1"/>
  <c r="C22" i="299"/>
  <c r="AN22" i="258" s="1"/>
  <c r="B22" i="299"/>
  <c r="AM22" i="258" s="1"/>
  <c r="G18" i="299"/>
  <c r="G25" s="1"/>
  <c r="AR55" i="258" s="1"/>
  <c r="F18" i="299"/>
  <c r="F25" s="1"/>
  <c r="AQ55" i="258" s="1"/>
  <c r="G17" i="299"/>
  <c r="F17"/>
  <c r="G16"/>
  <c r="F16"/>
  <c r="G15"/>
  <c r="F15"/>
  <c r="G14"/>
  <c r="F14"/>
  <c r="G13"/>
  <c r="F13"/>
  <c r="F12"/>
  <c r="F21" s="1"/>
  <c r="AQ11" i="258" s="1"/>
  <c r="E24" i="298"/>
  <c r="AP43" i="258" s="1"/>
  <c r="D24" i="298"/>
  <c r="AO43" i="258" s="1"/>
  <c r="B24" i="298"/>
  <c r="AM43" i="258" s="1"/>
  <c r="E23" i="298"/>
  <c r="AP32" i="258" s="1"/>
  <c r="D23" i="298"/>
  <c r="AO32" i="258" s="1"/>
  <c r="C23" i="298"/>
  <c r="AN32" i="258" s="1"/>
  <c r="B23" i="298"/>
  <c r="AM32" i="258" s="1"/>
  <c r="E22" i="298"/>
  <c r="AP21" i="258" s="1"/>
  <c r="D22" i="298"/>
  <c r="AO21" i="258" s="1"/>
  <c r="C22" i="298"/>
  <c r="AN21" i="258" s="1"/>
  <c r="B22" i="298"/>
  <c r="AM21" i="258" s="1"/>
  <c r="I18" i="298"/>
  <c r="I25" s="1"/>
  <c r="AT54" i="258" s="1"/>
  <c r="H18" i="298"/>
  <c r="H25" s="1"/>
  <c r="AS54" i="258" s="1"/>
  <c r="G18" i="298"/>
  <c r="G25" s="1"/>
  <c r="AR54" i="258" s="1"/>
  <c r="F18" i="298"/>
  <c r="F25" s="1"/>
  <c r="AQ54" i="258" s="1"/>
  <c r="I17" i="298"/>
  <c r="H17"/>
  <c r="G17"/>
  <c r="F17"/>
  <c r="I16"/>
  <c r="H16"/>
  <c r="G16"/>
  <c r="F16"/>
  <c r="I15"/>
  <c r="H15"/>
  <c r="G15"/>
  <c r="F15"/>
  <c r="I14"/>
  <c r="H14"/>
  <c r="G14"/>
  <c r="F14"/>
  <c r="I13"/>
  <c r="H13"/>
  <c r="G13"/>
  <c r="F13"/>
  <c r="F12"/>
  <c r="F21" s="1"/>
  <c r="AQ10" i="258" s="1"/>
  <c r="E24" i="297"/>
  <c r="AP42" i="258" s="1"/>
  <c r="D24" i="297"/>
  <c r="AO42" i="258" s="1"/>
  <c r="B24" i="297"/>
  <c r="AM42" i="258" s="1"/>
  <c r="E23" i="297"/>
  <c r="AP31" i="258" s="1"/>
  <c r="D23" i="297"/>
  <c r="AO31" i="258" s="1"/>
  <c r="C23" i="297"/>
  <c r="AN31" i="258" s="1"/>
  <c r="B23" i="297"/>
  <c r="AM31" i="258" s="1"/>
  <c r="E22" i="297"/>
  <c r="AP20" i="258" s="1"/>
  <c r="D22" i="297"/>
  <c r="AO20" i="258" s="1"/>
  <c r="C22" i="297"/>
  <c r="AN20" i="258" s="1"/>
  <c r="B22" i="297"/>
  <c r="AM20" i="258" s="1"/>
  <c r="I18" i="297"/>
  <c r="I25" s="1"/>
  <c r="AT53" i="258" s="1"/>
  <c r="H18" i="297"/>
  <c r="H25" s="1"/>
  <c r="AS53" i="258" s="1"/>
  <c r="G18" i="297"/>
  <c r="G25" s="1"/>
  <c r="AR53" i="258" s="1"/>
  <c r="F18" i="297"/>
  <c r="F25" s="1"/>
  <c r="AQ53" i="258" s="1"/>
  <c r="I17" i="297"/>
  <c r="H17"/>
  <c r="G17"/>
  <c r="F17"/>
  <c r="I16"/>
  <c r="H16"/>
  <c r="G16"/>
  <c r="F16"/>
  <c r="I15"/>
  <c r="H15"/>
  <c r="G15"/>
  <c r="F15"/>
  <c r="I14"/>
  <c r="H14"/>
  <c r="G14"/>
  <c r="F14"/>
  <c r="I13"/>
  <c r="H13"/>
  <c r="G13"/>
  <c r="F13"/>
  <c r="F12"/>
  <c r="F21" s="1"/>
  <c r="AQ9" i="258" s="1"/>
  <c r="I24" i="296"/>
  <c r="AT41" i="258" s="1"/>
  <c r="H24" i="296"/>
  <c r="AS41" i="258" s="1"/>
  <c r="E24" i="296"/>
  <c r="AP41" i="258" s="1"/>
  <c r="D24" i="296"/>
  <c r="AO41" i="258" s="1"/>
  <c r="B24" i="296"/>
  <c r="AM41" i="258" s="1"/>
  <c r="I23" i="296"/>
  <c r="AT30" i="258" s="1"/>
  <c r="H23" i="296"/>
  <c r="AS30" i="258" s="1"/>
  <c r="E23" i="296"/>
  <c r="AP30" i="258" s="1"/>
  <c r="D23" i="296"/>
  <c r="AO30" i="258" s="1"/>
  <c r="C23" i="296"/>
  <c r="AN30" i="258" s="1"/>
  <c r="B23" i="296"/>
  <c r="AM30" i="258" s="1"/>
  <c r="I22" i="296"/>
  <c r="AT19" i="258" s="1"/>
  <c r="H22" i="296"/>
  <c r="AS19" i="258" s="1"/>
  <c r="E22" i="296"/>
  <c r="AP19" i="258" s="1"/>
  <c r="D22" i="296"/>
  <c r="AO19" i="258" s="1"/>
  <c r="C22" i="296"/>
  <c r="AN19" i="258" s="1"/>
  <c r="B22" i="296"/>
  <c r="AM19" i="258" s="1"/>
  <c r="G18" i="296"/>
  <c r="G25" s="1"/>
  <c r="AR52" i="258" s="1"/>
  <c r="F18" i="296"/>
  <c r="F25" s="1"/>
  <c r="AQ52" i="258" s="1"/>
  <c r="G17" i="296"/>
  <c r="G23" s="1"/>
  <c r="AR30" i="258" s="1"/>
  <c r="F17" i="296"/>
  <c r="F23" s="1"/>
  <c r="AQ30" i="258" s="1"/>
  <c r="G16" i="296"/>
  <c r="G22" s="1"/>
  <c r="AR19" i="258" s="1"/>
  <c r="F16" i="296"/>
  <c r="F22" s="1"/>
  <c r="AQ19" i="258" s="1"/>
  <c r="G15" i="296"/>
  <c r="F15"/>
  <c r="G14"/>
  <c r="F14"/>
  <c r="G13"/>
  <c r="F13"/>
  <c r="F12"/>
  <c r="F21" s="1"/>
  <c r="AQ8" i="258" s="1"/>
  <c r="I24" i="295"/>
  <c r="AT40" i="258" s="1"/>
  <c r="H24" i="295"/>
  <c r="AS40" i="258" s="1"/>
  <c r="E24" i="295"/>
  <c r="AP40" i="258" s="1"/>
  <c r="D24" i="295"/>
  <c r="AO40" i="258" s="1"/>
  <c r="B24" i="295"/>
  <c r="AM40" i="258" s="1"/>
  <c r="I23" i="295"/>
  <c r="AT29" i="258" s="1"/>
  <c r="H23" i="295"/>
  <c r="AS29" i="258" s="1"/>
  <c r="E23" i="295"/>
  <c r="AP29" i="258" s="1"/>
  <c r="D23" i="295"/>
  <c r="AO29" i="258" s="1"/>
  <c r="C23" i="295"/>
  <c r="AN29" i="258" s="1"/>
  <c r="B23" i="295"/>
  <c r="AM29" i="258" s="1"/>
  <c r="I22" i="295"/>
  <c r="AT18" i="258" s="1"/>
  <c r="H22" i="295"/>
  <c r="AS18" i="258" s="1"/>
  <c r="E22" i="295"/>
  <c r="AP18" i="258" s="1"/>
  <c r="D22" i="295"/>
  <c r="AO18" i="258" s="1"/>
  <c r="C22" i="295"/>
  <c r="AN18" i="258" s="1"/>
  <c r="B22" i="295"/>
  <c r="AM18" i="258" s="1"/>
  <c r="G18" i="295"/>
  <c r="G25" s="1"/>
  <c r="AR51" i="258" s="1"/>
  <c r="F18" i="295"/>
  <c r="F25" s="1"/>
  <c r="AQ51" i="258" s="1"/>
  <c r="G17" i="295"/>
  <c r="F17"/>
  <c r="G16"/>
  <c r="F16"/>
  <c r="G15"/>
  <c r="F15"/>
  <c r="G14"/>
  <c r="F14"/>
  <c r="G13"/>
  <c r="F13"/>
  <c r="F12"/>
  <c r="F21" s="1"/>
  <c r="AQ7" i="258" s="1"/>
  <c r="I24" i="294"/>
  <c r="AT39" i="258" s="1"/>
  <c r="H24" i="294"/>
  <c r="AS39" i="258" s="1"/>
  <c r="G24" i="294"/>
  <c r="AR39" i="258" s="1"/>
  <c r="E24" i="294"/>
  <c r="AP39" i="258" s="1"/>
  <c r="D24" i="294"/>
  <c r="AO39" i="258" s="1"/>
  <c r="AN39"/>
  <c r="B24" i="294"/>
  <c r="AM39" i="258" s="1"/>
  <c r="I23" i="294"/>
  <c r="AT28" i="258" s="1"/>
  <c r="H23" i="294"/>
  <c r="AS28" i="258" s="1"/>
  <c r="G23" i="294"/>
  <c r="AR28" i="258" s="1"/>
  <c r="E23" i="294"/>
  <c r="AP28" i="258" s="1"/>
  <c r="D23" i="294"/>
  <c r="AO28" i="258" s="1"/>
  <c r="C23" i="294"/>
  <c r="AN28" i="258" s="1"/>
  <c r="B23" i="294"/>
  <c r="AM28" i="258" s="1"/>
  <c r="I22" i="294"/>
  <c r="AT17" i="258" s="1"/>
  <c r="H22" i="294"/>
  <c r="AS17" i="258" s="1"/>
  <c r="G22" i="294"/>
  <c r="AR17" i="258" s="1"/>
  <c r="E22" i="294"/>
  <c r="AP17" i="258" s="1"/>
  <c r="D22" i="294"/>
  <c r="AO17" i="258" s="1"/>
  <c r="C22" i="294"/>
  <c r="AN17" i="258" s="1"/>
  <c r="B22" i="294"/>
  <c r="AM17" i="258" s="1"/>
  <c r="F18" i="294"/>
  <c r="F25" s="1"/>
  <c r="AQ50" i="258" s="1"/>
  <c r="F17" i="294"/>
  <c r="F16"/>
  <c r="F15"/>
  <c r="F14"/>
  <c r="F13"/>
  <c r="F12"/>
  <c r="F21" s="1"/>
  <c r="AQ6" i="258" s="1"/>
  <c r="AT38"/>
  <c r="H24" i="293"/>
  <c r="AS38" i="258" s="1"/>
  <c r="G24" i="293"/>
  <c r="AR38" i="258" s="1"/>
  <c r="E24" i="293"/>
  <c r="AP38" i="258" s="1"/>
  <c r="D24" i="293"/>
  <c r="AO38" i="258" s="1"/>
  <c r="AN38"/>
  <c r="B24" i="293"/>
  <c r="AM38" i="258" s="1"/>
  <c r="I23" i="293"/>
  <c r="AT27" i="258" s="1"/>
  <c r="H23" i="293"/>
  <c r="AS27" i="258" s="1"/>
  <c r="G23" i="293"/>
  <c r="AR27" i="258" s="1"/>
  <c r="E23" i="293"/>
  <c r="AP27" i="258" s="1"/>
  <c r="D23" i="293"/>
  <c r="AO27" i="258" s="1"/>
  <c r="C23" i="293"/>
  <c r="AN27" i="258" s="1"/>
  <c r="B23" i="293"/>
  <c r="AM27" i="258" s="1"/>
  <c r="I22" i="293"/>
  <c r="AT16" i="258" s="1"/>
  <c r="H22" i="293"/>
  <c r="AS16" i="258" s="1"/>
  <c r="G22" i="293"/>
  <c r="AR16" i="258" s="1"/>
  <c r="E22" i="293"/>
  <c r="AP16" i="258" s="1"/>
  <c r="D22" i="293"/>
  <c r="AO16" i="258" s="1"/>
  <c r="C22" i="293"/>
  <c r="AN16" i="258" s="1"/>
  <c r="B22" i="293"/>
  <c r="AM16" i="258" s="1"/>
  <c r="F18" i="293"/>
  <c r="F25" s="1"/>
  <c r="AQ49" i="258" s="1"/>
  <c r="F17" i="293"/>
  <c r="F16"/>
  <c r="F15"/>
  <c r="F14"/>
  <c r="F13"/>
  <c r="F12"/>
  <c r="F21" s="1"/>
  <c r="AQ5" i="258" s="1"/>
  <c r="E24" i="292"/>
  <c r="AP37" i="258" s="1"/>
  <c r="D24" i="292"/>
  <c r="AO37" i="258" s="1"/>
  <c r="AN37"/>
  <c r="B24" i="292"/>
  <c r="AM37" i="258" s="1"/>
  <c r="E23" i="292"/>
  <c r="AP26" i="258" s="1"/>
  <c r="D23" i="292"/>
  <c r="AO26" i="258" s="1"/>
  <c r="C23" i="292"/>
  <c r="AN26" i="258" s="1"/>
  <c r="B23" i="292"/>
  <c r="AM26" i="258" s="1"/>
  <c r="E22" i="292"/>
  <c r="AP15" i="258" s="1"/>
  <c r="D22" i="292"/>
  <c r="AO15" i="258" s="1"/>
  <c r="C22" i="292"/>
  <c r="AN15" i="258" s="1"/>
  <c r="B22" i="292"/>
  <c r="AM15" i="258" s="1"/>
  <c r="I18" i="292"/>
  <c r="I25" s="1"/>
  <c r="AT48" i="258" s="1"/>
  <c r="H18" i="292"/>
  <c r="H25" s="1"/>
  <c r="AS48" i="258" s="1"/>
  <c r="F18" i="292"/>
  <c r="F25" s="1"/>
  <c r="AQ48" i="258" s="1"/>
  <c r="I17" i="292"/>
  <c r="H17"/>
  <c r="F17"/>
  <c r="I16"/>
  <c r="H16"/>
  <c r="F16"/>
  <c r="I15"/>
  <c r="H15"/>
  <c r="F15"/>
  <c r="I14"/>
  <c r="H14"/>
  <c r="F14"/>
  <c r="I13"/>
  <c r="H13"/>
  <c r="F13"/>
  <c r="I21"/>
  <c r="AT4" i="258" s="1"/>
  <c r="H21" i="292"/>
  <c r="AS4" i="258" s="1"/>
  <c r="F12" i="292"/>
  <c r="I24" i="291"/>
  <c r="AH58" i="258" s="1"/>
  <c r="E24" i="291"/>
  <c r="AD58" i="258" s="1"/>
  <c r="D24" i="291"/>
  <c r="AC58" i="258" s="1"/>
  <c r="B17" i="291"/>
  <c r="B24" s="1"/>
  <c r="AA58" i="258" s="1"/>
  <c r="B16" i="291"/>
  <c r="B15"/>
  <c r="B14"/>
  <c r="B13"/>
  <c r="B12"/>
  <c r="I20"/>
  <c r="AH14" i="258" s="1"/>
  <c r="E20" i="291"/>
  <c r="AD14" i="258" s="1"/>
  <c r="D20" i="291"/>
  <c r="AC14" i="258" s="1"/>
  <c r="B11" i="291"/>
  <c r="B20" s="1"/>
  <c r="AA14" i="258" s="1"/>
  <c r="E24" i="290"/>
  <c r="AD57" i="258" s="1"/>
  <c r="D24" i="290"/>
  <c r="AC57" i="258" s="1"/>
  <c r="B17" i="290"/>
  <c r="B24" s="1"/>
  <c r="AA57" i="258" s="1"/>
  <c r="B16" i="290"/>
  <c r="B15"/>
  <c r="B14"/>
  <c r="B13"/>
  <c r="B12"/>
  <c r="AJ46" i="258"/>
  <c r="AI46"/>
  <c r="H23" i="290"/>
  <c r="AG46" i="258" s="1"/>
  <c r="F23" i="290"/>
  <c r="AE46" i="258" s="1"/>
  <c r="E20" i="290"/>
  <c r="AD13" i="258" s="1"/>
  <c r="D20" i="290"/>
  <c r="AC13" i="258" s="1"/>
  <c r="B11" i="290"/>
  <c r="B20" s="1"/>
  <c r="AA13" i="258" s="1"/>
  <c r="E24" i="289"/>
  <c r="AD56" i="258" s="1"/>
  <c r="D24" i="289"/>
  <c r="AC56" i="258" s="1"/>
  <c r="B17" i="289"/>
  <c r="B24" s="1"/>
  <c r="AA56" i="258" s="1"/>
  <c r="B16" i="289"/>
  <c r="B15"/>
  <c r="B14"/>
  <c r="B13"/>
  <c r="B12"/>
  <c r="E20"/>
  <c r="AD12" i="258" s="1"/>
  <c r="D20" i="289"/>
  <c r="AC12" i="258" s="1"/>
  <c r="B11" i="289"/>
  <c r="B20" s="1"/>
  <c r="AA12" i="258" s="1"/>
  <c r="D24" i="288"/>
  <c r="AC55" i="258" s="1"/>
  <c r="B17" i="288"/>
  <c r="B24" s="1"/>
  <c r="AA55" i="258" s="1"/>
  <c r="B16" i="288"/>
  <c r="B15"/>
  <c r="B14"/>
  <c r="B13"/>
  <c r="B12"/>
  <c r="D20"/>
  <c r="AC11" i="258" s="1"/>
  <c r="B11" i="288"/>
  <c r="B20" s="1"/>
  <c r="AA11" i="258" s="1"/>
  <c r="K24" i="287"/>
  <c r="AJ54" i="258" s="1"/>
  <c r="J24" i="287"/>
  <c r="AI54" i="258" s="1"/>
  <c r="I24" i="287"/>
  <c r="AH54" i="258" s="1"/>
  <c r="E24" i="287"/>
  <c r="AD54" i="258" s="1"/>
  <c r="D24" i="287"/>
  <c r="AC54" i="258" s="1"/>
  <c r="B17" i="287"/>
  <c r="B24" s="1"/>
  <c r="AA54" i="258" s="1"/>
  <c r="B16" i="287"/>
  <c r="B15"/>
  <c r="B14"/>
  <c r="B13"/>
  <c r="B12"/>
  <c r="K20"/>
  <c r="AJ10" i="258" s="1"/>
  <c r="J20" i="287"/>
  <c r="AI10" i="258" s="1"/>
  <c r="I20" i="287"/>
  <c r="AH10" i="258" s="1"/>
  <c r="E20" i="287"/>
  <c r="AD10" i="258" s="1"/>
  <c r="D20" i="287"/>
  <c r="AC10" i="258" s="1"/>
  <c r="B11" i="287"/>
  <c r="B20" s="1"/>
  <c r="AA10" i="258" s="1"/>
  <c r="K24" i="286"/>
  <c r="AJ53" i="258" s="1"/>
  <c r="J24" i="286"/>
  <c r="AI53" i="258" s="1"/>
  <c r="I24" i="286"/>
  <c r="AH53" i="258" s="1"/>
  <c r="E24" i="286"/>
  <c r="AD53" i="258" s="1"/>
  <c r="D24" i="286"/>
  <c r="AC53" i="258" s="1"/>
  <c r="B17" i="286"/>
  <c r="B24" s="1"/>
  <c r="AA53" i="258" s="1"/>
  <c r="B16" i="286"/>
  <c r="B15"/>
  <c r="B14"/>
  <c r="B13"/>
  <c r="B12"/>
  <c r="K20"/>
  <c r="AJ9" i="258" s="1"/>
  <c r="J20" i="286"/>
  <c r="AI9" i="258" s="1"/>
  <c r="I20" i="286"/>
  <c r="AH9" i="258" s="1"/>
  <c r="E20" i="286"/>
  <c r="AD9" i="258" s="1"/>
  <c r="D20" i="286"/>
  <c r="AC9" i="258" s="1"/>
  <c r="B11" i="286"/>
  <c r="B20" s="1"/>
  <c r="AA9" i="258" s="1"/>
  <c r="E24" i="285"/>
  <c r="AD52" i="258" s="1"/>
  <c r="D24" i="285"/>
  <c r="AC52" i="258" s="1"/>
  <c r="B17" i="285"/>
  <c r="B24" s="1"/>
  <c r="AA52" i="258" s="1"/>
  <c r="B16" i="285"/>
  <c r="B15"/>
  <c r="B14"/>
  <c r="B13"/>
  <c r="B12"/>
  <c r="H23"/>
  <c r="AG41" i="258" s="1"/>
  <c r="AF41"/>
  <c r="AE41"/>
  <c r="E20" i="285"/>
  <c r="AD8" i="258" s="1"/>
  <c r="D20" i="285"/>
  <c r="AC8" i="258" s="1"/>
  <c r="B11" i="285"/>
  <c r="B20" s="1"/>
  <c r="AA8" i="258" s="1"/>
  <c r="E24" i="284"/>
  <c r="AD51" i="258" s="1"/>
  <c r="D24" i="284"/>
  <c r="AC51" i="258" s="1"/>
  <c r="B17" i="284"/>
  <c r="B24" s="1"/>
  <c r="AA51" i="258" s="1"/>
  <c r="B16" i="284"/>
  <c r="B15"/>
  <c r="B14"/>
  <c r="B13"/>
  <c r="B12"/>
  <c r="AG40" i="258"/>
  <c r="G23" i="284"/>
  <c r="AF40" i="258" s="1"/>
  <c r="AE40"/>
  <c r="E20" i="284"/>
  <c r="AD7" i="258" s="1"/>
  <c r="D20" i="284"/>
  <c r="AC7" i="258" s="1"/>
  <c r="B11" i="284"/>
  <c r="B20" s="1"/>
  <c r="AA7" i="258" s="1"/>
  <c r="D24" i="283"/>
  <c r="AC50" i="258" s="1"/>
  <c r="B17" i="283"/>
  <c r="B24" s="1"/>
  <c r="AA50" i="258" s="1"/>
  <c r="B16" i="283"/>
  <c r="B15"/>
  <c r="B14"/>
  <c r="B13"/>
  <c r="B12"/>
  <c r="F23"/>
  <c r="AE39" i="258" s="1"/>
  <c r="D20" i="283"/>
  <c r="AC6" i="258" s="1"/>
  <c r="B11" i="283"/>
  <c r="B20" s="1"/>
  <c r="AA6" i="258" s="1"/>
  <c r="E24" i="282"/>
  <c r="AD49" i="258" s="1"/>
  <c r="D24" i="282"/>
  <c r="AC49" i="258" s="1"/>
  <c r="B17" i="282"/>
  <c r="B24" s="1"/>
  <c r="AA49" i="258" s="1"/>
  <c r="B16" i="282"/>
  <c r="B15"/>
  <c r="B14"/>
  <c r="B13"/>
  <c r="B12"/>
  <c r="E20"/>
  <c r="AD5" i="258" s="1"/>
  <c r="D20" i="282"/>
  <c r="AC5" i="258" s="1"/>
  <c r="B11" i="282"/>
  <c r="B20" s="1"/>
  <c r="AA5" i="258" s="1"/>
  <c r="K17" i="281"/>
  <c r="K24" s="1"/>
  <c r="AJ48" i="258" s="1"/>
  <c r="J17" i="281"/>
  <c r="J24" s="1"/>
  <c r="AI48" i="258" s="1"/>
  <c r="I17" i="281"/>
  <c r="I24" s="1"/>
  <c r="AH48" i="258" s="1"/>
  <c r="H17" i="281"/>
  <c r="H24" s="1"/>
  <c r="AG48" i="258" s="1"/>
  <c r="G17" i="281"/>
  <c r="G24" s="1"/>
  <c r="AF48" i="258" s="1"/>
  <c r="F17" i="281"/>
  <c r="F24" s="1"/>
  <c r="AE48" i="258" s="1"/>
  <c r="E17" i="281"/>
  <c r="E24" s="1"/>
  <c r="AD48" i="258" s="1"/>
  <c r="D17" i="281"/>
  <c r="D24" s="1"/>
  <c r="AC48" i="258" s="1"/>
  <c r="B17" i="281"/>
  <c r="AA48" i="258" s="1"/>
  <c r="K20" i="281"/>
  <c r="AJ4" i="258" s="1"/>
  <c r="J20" i="281"/>
  <c r="AI4" i="258" s="1"/>
  <c r="I20" i="281"/>
  <c r="AH4" i="258" s="1"/>
  <c r="E20" i="281"/>
  <c r="AD4" i="258" s="1"/>
  <c r="D20" i="281"/>
  <c r="AC4" i="258" s="1"/>
  <c r="AA4"/>
  <c r="O36"/>
  <c r="O25"/>
  <c r="O35"/>
  <c r="O24"/>
  <c r="O34"/>
  <c r="O23"/>
  <c r="O33"/>
  <c r="O22"/>
  <c r="O32"/>
  <c r="O21"/>
  <c r="O31"/>
  <c r="O20"/>
  <c r="O30"/>
  <c r="O19"/>
  <c r="O29"/>
  <c r="O18"/>
  <c r="O28"/>
  <c r="O17"/>
  <c r="O27"/>
  <c r="O16"/>
  <c r="P38"/>
  <c r="O26"/>
  <c r="O15"/>
  <c r="P15"/>
  <c r="U24" i="269"/>
  <c r="L47" i="258" s="1"/>
  <c r="T24" i="269"/>
  <c r="K47" i="258" s="1"/>
  <c r="S24" i="269"/>
  <c r="J47" i="258" s="1"/>
  <c r="R24" i="269"/>
  <c r="I47" i="258" s="1"/>
  <c r="Q24" i="269"/>
  <c r="H47" i="258" s="1"/>
  <c r="P24" i="269"/>
  <c r="G47" i="258" s="1"/>
  <c r="O24" i="269"/>
  <c r="F47" i="258" s="1"/>
  <c r="N24" i="269"/>
  <c r="E47" i="258" s="1"/>
  <c r="L24" i="269"/>
  <c r="C47" i="258" s="1"/>
  <c r="K24" i="269"/>
  <c r="J24"/>
  <c r="I24"/>
  <c r="H24"/>
  <c r="G24"/>
  <c r="F24"/>
  <c r="E24"/>
  <c r="D24"/>
  <c r="B24"/>
  <c r="U23"/>
  <c r="L36" i="258" s="1"/>
  <c r="T23" i="269"/>
  <c r="K36" i="258" s="1"/>
  <c r="S23" i="269"/>
  <c r="J36" i="258" s="1"/>
  <c r="R23" i="269"/>
  <c r="I36" i="258" s="1"/>
  <c r="Q23" i="269"/>
  <c r="H36" i="258" s="1"/>
  <c r="P23" i="269"/>
  <c r="G36" i="258" s="1"/>
  <c r="O23" i="269"/>
  <c r="F36" i="258" s="1"/>
  <c r="N23" i="269"/>
  <c r="E36" i="258" s="1"/>
  <c r="M23" i="269"/>
  <c r="D36" i="258" s="1"/>
  <c r="L23" i="269"/>
  <c r="C36" i="258" s="1"/>
  <c r="U22" i="269"/>
  <c r="L25" i="258" s="1"/>
  <c r="T22" i="269"/>
  <c r="K25" i="258" s="1"/>
  <c r="S22" i="269"/>
  <c r="J25" i="258" s="1"/>
  <c r="R22" i="269"/>
  <c r="I25" i="258" s="1"/>
  <c r="Q22" i="269"/>
  <c r="H25" i="258" s="1"/>
  <c r="P22" i="269"/>
  <c r="G25" i="258" s="1"/>
  <c r="O22" i="269"/>
  <c r="F25" i="258" s="1"/>
  <c r="N22" i="269"/>
  <c r="E25" i="258" s="1"/>
  <c r="L22" i="269"/>
  <c r="C25" i="258" s="1"/>
  <c r="K22" i="269"/>
  <c r="J22"/>
  <c r="I22"/>
  <c r="H22"/>
  <c r="G22"/>
  <c r="F22"/>
  <c r="E22"/>
  <c r="D22"/>
  <c r="C22"/>
  <c r="B22"/>
  <c r="M18"/>
  <c r="M17"/>
  <c r="C16" i="291" s="1"/>
  <c r="M16" i="269"/>
  <c r="C15" i="291" s="1"/>
  <c r="C16" i="269"/>
  <c r="M15"/>
  <c r="C15"/>
  <c r="M14"/>
  <c r="C13" i="291" s="1"/>
  <c r="C14" i="269"/>
  <c r="M13"/>
  <c r="C12" i="291" s="1"/>
  <c r="C13" i="269"/>
  <c r="M12"/>
  <c r="C12"/>
  <c r="C24" s="1"/>
  <c r="U24" i="268"/>
  <c r="L46" i="258" s="1"/>
  <c r="T24" i="268"/>
  <c r="K46" i="258" s="1"/>
  <c r="S24" i="268"/>
  <c r="J46" i="258" s="1"/>
  <c r="R24" i="268"/>
  <c r="I46" i="258" s="1"/>
  <c r="Q24" i="268"/>
  <c r="H46" i="258" s="1"/>
  <c r="P24" i="268"/>
  <c r="G46" i="258" s="1"/>
  <c r="O24" i="268"/>
  <c r="F46" i="258" s="1"/>
  <c r="N24" i="268"/>
  <c r="E46" i="258" s="1"/>
  <c r="L24" i="268"/>
  <c r="C46" i="258" s="1"/>
  <c r="K24" i="268"/>
  <c r="J24"/>
  <c r="I24"/>
  <c r="H24"/>
  <c r="G24"/>
  <c r="F24"/>
  <c r="E24"/>
  <c r="D24"/>
  <c r="B24"/>
  <c r="S23"/>
  <c r="J35" i="258" s="1"/>
  <c r="Q23" i="268"/>
  <c r="H35" i="258" s="1"/>
  <c r="O23" i="268"/>
  <c r="F35" i="258" s="1"/>
  <c r="N23" i="268"/>
  <c r="E35" i="258" s="1"/>
  <c r="L23" i="268"/>
  <c r="C35" i="258" s="1"/>
  <c r="S22" i="268"/>
  <c r="J24" i="258" s="1"/>
  <c r="Q22" i="268"/>
  <c r="H24" i="258" s="1"/>
  <c r="O22" i="268"/>
  <c r="F24" i="258" s="1"/>
  <c r="N22" i="268"/>
  <c r="E24" i="258" s="1"/>
  <c r="L22" i="268"/>
  <c r="C24" i="258" s="1"/>
  <c r="I22" i="268"/>
  <c r="G22"/>
  <c r="E22"/>
  <c r="D22"/>
  <c r="B22"/>
  <c r="M18"/>
  <c r="M17"/>
  <c r="C16" i="290" s="1"/>
  <c r="AB35" i="258" s="1"/>
  <c r="M15" i="268"/>
  <c r="C14" i="290" s="1"/>
  <c r="C15" i="268"/>
  <c r="C22" s="1"/>
  <c r="M14"/>
  <c r="C13" i="290" s="1"/>
  <c r="C14" i="268"/>
  <c r="M13"/>
  <c r="C12" i="290" s="1"/>
  <c r="C13" i="268"/>
  <c r="M12"/>
  <c r="C12"/>
  <c r="C24" s="1"/>
  <c r="U24" i="267"/>
  <c r="L45" i="258" s="1"/>
  <c r="T24" i="267"/>
  <c r="K45" i="258" s="1"/>
  <c r="S24" i="267"/>
  <c r="J45" i="258" s="1"/>
  <c r="R24" i="267"/>
  <c r="I45" i="258" s="1"/>
  <c r="Q24" i="267"/>
  <c r="H45" i="258" s="1"/>
  <c r="P24" i="267"/>
  <c r="G45" i="258" s="1"/>
  <c r="O24" i="267"/>
  <c r="F45" i="258" s="1"/>
  <c r="N24" i="267"/>
  <c r="E45" i="258" s="1"/>
  <c r="M24" i="267"/>
  <c r="D45" i="258" s="1"/>
  <c r="L24" i="267"/>
  <c r="C45" i="258" s="1"/>
  <c r="K24" i="267"/>
  <c r="J24"/>
  <c r="I24"/>
  <c r="H24"/>
  <c r="G24"/>
  <c r="F24"/>
  <c r="E24"/>
  <c r="D24"/>
  <c r="B24"/>
  <c r="Q23"/>
  <c r="H34" i="258" s="1"/>
  <c r="O23" i="267"/>
  <c r="F34" i="258" s="1"/>
  <c r="N23" i="267"/>
  <c r="E34" i="258" s="1"/>
  <c r="L23" i="267"/>
  <c r="C34" i="258" s="1"/>
  <c r="Q22" i="267"/>
  <c r="H23" i="258" s="1"/>
  <c r="O22" i="267"/>
  <c r="F23" i="258" s="1"/>
  <c r="N22" i="267"/>
  <c r="E23" i="258" s="1"/>
  <c r="L22" i="267"/>
  <c r="C23" i="258" s="1"/>
  <c r="G22" i="267"/>
  <c r="E22"/>
  <c r="D22"/>
  <c r="B22"/>
  <c r="M13"/>
  <c r="C12" i="289" s="1"/>
  <c r="C13" i="267"/>
  <c r="M12"/>
  <c r="C12"/>
  <c r="C24" s="1"/>
  <c r="U24" i="266"/>
  <c r="L44" i="258" s="1"/>
  <c r="T24" i="266"/>
  <c r="K44" i="258" s="1"/>
  <c r="S24" i="266"/>
  <c r="J44" i="258" s="1"/>
  <c r="R24" i="266"/>
  <c r="I44" i="258" s="1"/>
  <c r="Q24" i="266"/>
  <c r="H44" i="258" s="1"/>
  <c r="P24" i="266"/>
  <c r="G44" i="258" s="1"/>
  <c r="O24" i="266"/>
  <c r="F44" i="258" s="1"/>
  <c r="N24" i="266"/>
  <c r="E44" i="258" s="1"/>
  <c r="M24" i="266"/>
  <c r="D44" i="258" s="1"/>
  <c r="L24" i="266"/>
  <c r="C44" i="258" s="1"/>
  <c r="K24" i="266"/>
  <c r="J24"/>
  <c r="I24"/>
  <c r="H24"/>
  <c r="G24"/>
  <c r="F24"/>
  <c r="E24"/>
  <c r="D24"/>
  <c r="B24"/>
  <c r="P23"/>
  <c r="G33" i="258" s="1"/>
  <c r="N23" i="266"/>
  <c r="E33" i="258" s="1"/>
  <c r="L23" i="266"/>
  <c r="C33" i="258" s="1"/>
  <c r="P22" i="266"/>
  <c r="G22" i="258" s="1"/>
  <c r="N22" i="266"/>
  <c r="E22" i="258" s="1"/>
  <c r="L22" i="266"/>
  <c r="C22" i="258" s="1"/>
  <c r="G22" i="266"/>
  <c r="E22"/>
  <c r="D22"/>
  <c r="B22"/>
  <c r="C13"/>
  <c r="C12"/>
  <c r="C24" s="1"/>
  <c r="U24" i="265"/>
  <c r="L43" i="258" s="1"/>
  <c r="T24" i="265"/>
  <c r="K43" i="258" s="1"/>
  <c r="S24" i="265"/>
  <c r="J43" i="258" s="1"/>
  <c r="R24" i="265"/>
  <c r="I43" i="258" s="1"/>
  <c r="Q24" i="265"/>
  <c r="H43" i="258" s="1"/>
  <c r="P24" i="265"/>
  <c r="G43" i="258" s="1"/>
  <c r="O24" i="265"/>
  <c r="F43" i="258" s="1"/>
  <c r="N24" i="265"/>
  <c r="E43" i="258" s="1"/>
  <c r="L24" i="265"/>
  <c r="C43" i="258" s="1"/>
  <c r="K24" i="265"/>
  <c r="J24"/>
  <c r="I24"/>
  <c r="H24"/>
  <c r="G24"/>
  <c r="F24"/>
  <c r="E24"/>
  <c r="D24"/>
  <c r="B24"/>
  <c r="U23"/>
  <c r="L32" i="258" s="1"/>
  <c r="T23" i="265"/>
  <c r="K32" i="258" s="1"/>
  <c r="S23" i="265"/>
  <c r="J32" i="258" s="1"/>
  <c r="R23" i="265"/>
  <c r="I32" i="258" s="1"/>
  <c r="Q23" i="265"/>
  <c r="H32" i="258" s="1"/>
  <c r="P23" i="265"/>
  <c r="G32" i="258" s="1"/>
  <c r="O23" i="265"/>
  <c r="F32" i="258" s="1"/>
  <c r="N23" i="265"/>
  <c r="E32" i="258" s="1"/>
  <c r="M23" i="265"/>
  <c r="D32" i="258" s="1"/>
  <c r="L23" i="265"/>
  <c r="C32" i="258" s="1"/>
  <c r="U22" i="265"/>
  <c r="L21" i="258" s="1"/>
  <c r="T22" i="265"/>
  <c r="K21" i="258" s="1"/>
  <c r="S22" i="265"/>
  <c r="J21" i="258" s="1"/>
  <c r="R22" i="265"/>
  <c r="I21" i="258" s="1"/>
  <c r="Q22" i="265"/>
  <c r="H21" i="258" s="1"/>
  <c r="P22" i="265"/>
  <c r="G21" i="258" s="1"/>
  <c r="O22" i="265"/>
  <c r="F21" i="258" s="1"/>
  <c r="N22" i="265"/>
  <c r="E21" i="258" s="1"/>
  <c r="L22" i="265"/>
  <c r="C21" i="258" s="1"/>
  <c r="K22" i="265"/>
  <c r="J22"/>
  <c r="I22"/>
  <c r="H22"/>
  <c r="G22"/>
  <c r="F22"/>
  <c r="E22"/>
  <c r="D22"/>
  <c r="B22"/>
  <c r="M18"/>
  <c r="M17"/>
  <c r="C16" i="287" s="1"/>
  <c r="M16" i="265"/>
  <c r="C15" i="287" s="1"/>
  <c r="C16" i="265"/>
  <c r="M15"/>
  <c r="C14" i="287" s="1"/>
  <c r="C15" i="265"/>
  <c r="C22" s="1"/>
  <c r="M14"/>
  <c r="C13" i="287" s="1"/>
  <c r="C14" i="265"/>
  <c r="M13"/>
  <c r="C12" i="287" s="1"/>
  <c r="C13" i="265"/>
  <c r="M12"/>
  <c r="C12"/>
  <c r="C24" s="1"/>
  <c r="U24" i="264"/>
  <c r="L42" i="258" s="1"/>
  <c r="T24" i="264"/>
  <c r="K42" i="258" s="1"/>
  <c r="S24" i="264"/>
  <c r="J42" i="258" s="1"/>
  <c r="R24" i="264"/>
  <c r="I42" i="258" s="1"/>
  <c r="Q24" i="264"/>
  <c r="H42" i="258" s="1"/>
  <c r="P24" i="264"/>
  <c r="G42" i="258" s="1"/>
  <c r="O24" i="264"/>
  <c r="F42" i="258" s="1"/>
  <c r="N24" i="264"/>
  <c r="E42" i="258" s="1"/>
  <c r="L24" i="264"/>
  <c r="C42" i="258" s="1"/>
  <c r="K24" i="264"/>
  <c r="J24"/>
  <c r="I24"/>
  <c r="H24"/>
  <c r="G24"/>
  <c r="F24"/>
  <c r="E24"/>
  <c r="D24"/>
  <c r="B24"/>
  <c r="U23"/>
  <c r="L31" i="258" s="1"/>
  <c r="T23" i="264"/>
  <c r="K31" i="258" s="1"/>
  <c r="S23" i="264"/>
  <c r="J31" i="258" s="1"/>
  <c r="R23" i="264"/>
  <c r="I31" i="258" s="1"/>
  <c r="Q23" i="264"/>
  <c r="H31" i="258" s="1"/>
  <c r="P23" i="264"/>
  <c r="G31" i="258" s="1"/>
  <c r="O23" i="264"/>
  <c r="F31" i="258" s="1"/>
  <c r="N23" i="264"/>
  <c r="E31" i="258" s="1"/>
  <c r="L23" i="264"/>
  <c r="C31" i="258" s="1"/>
  <c r="U22" i="264"/>
  <c r="L20" i="258" s="1"/>
  <c r="T22" i="264"/>
  <c r="K20" i="258" s="1"/>
  <c r="S22" i="264"/>
  <c r="J20" i="258" s="1"/>
  <c r="R22" i="264"/>
  <c r="I20" i="258" s="1"/>
  <c r="Q22" i="264"/>
  <c r="H20" i="258" s="1"/>
  <c r="P22" i="264"/>
  <c r="G20" i="258" s="1"/>
  <c r="O22" i="264"/>
  <c r="F20" i="258" s="1"/>
  <c r="N22" i="264"/>
  <c r="E20" i="258" s="1"/>
  <c r="L22" i="264"/>
  <c r="C20" i="258" s="1"/>
  <c r="K22" i="264"/>
  <c r="J22"/>
  <c r="I22"/>
  <c r="H22"/>
  <c r="G22"/>
  <c r="F22"/>
  <c r="E22"/>
  <c r="D22"/>
  <c r="B22"/>
  <c r="M18"/>
  <c r="M17"/>
  <c r="C16" i="286" s="1"/>
  <c r="M16" i="264"/>
  <c r="C15" i="286" s="1"/>
  <c r="C16" i="264"/>
  <c r="M15"/>
  <c r="C14" i="286" s="1"/>
  <c r="C15" i="264"/>
  <c r="C22" s="1"/>
  <c r="M14"/>
  <c r="C13" i="286" s="1"/>
  <c r="C14" i="264"/>
  <c r="M13"/>
  <c r="C12" i="286" s="1"/>
  <c r="C13" i="264"/>
  <c r="M12"/>
  <c r="C12"/>
  <c r="C24" s="1"/>
  <c r="U24" i="263"/>
  <c r="L41" i="258" s="1"/>
  <c r="T24" i="263"/>
  <c r="K41" i="258" s="1"/>
  <c r="S24" i="263"/>
  <c r="J41" i="258" s="1"/>
  <c r="R24" i="263"/>
  <c r="I41" i="258" s="1"/>
  <c r="Q24" i="263"/>
  <c r="H41" i="258" s="1"/>
  <c r="P24" i="263"/>
  <c r="G41" i="258" s="1"/>
  <c r="O24" i="263"/>
  <c r="F41" i="258" s="1"/>
  <c r="N24" i="263"/>
  <c r="E41" i="258" s="1"/>
  <c r="M24" i="263"/>
  <c r="D41" i="258" s="1"/>
  <c r="L24" i="263"/>
  <c r="C41" i="258" s="1"/>
  <c r="K24" i="263"/>
  <c r="J24"/>
  <c r="I24"/>
  <c r="H24"/>
  <c r="G24"/>
  <c r="F24"/>
  <c r="E24"/>
  <c r="D24"/>
  <c r="B24"/>
  <c r="O23"/>
  <c r="F30" i="258" s="1"/>
  <c r="N23" i="263"/>
  <c r="E30" i="258" s="1"/>
  <c r="L23" i="263"/>
  <c r="C30" i="258" s="1"/>
  <c r="O22" i="263"/>
  <c r="F19" i="258" s="1"/>
  <c r="N22" i="263"/>
  <c r="E19" i="258" s="1"/>
  <c r="L22" i="263"/>
  <c r="C19" i="258" s="1"/>
  <c r="E22" i="263"/>
  <c r="D22"/>
  <c r="B22"/>
  <c r="U24" i="262"/>
  <c r="L40" i="258" s="1"/>
  <c r="T24" i="262"/>
  <c r="K40" i="258" s="1"/>
  <c r="S24" i="262"/>
  <c r="J40" i="258" s="1"/>
  <c r="R24" i="262"/>
  <c r="I40" i="258" s="1"/>
  <c r="Q24" i="262"/>
  <c r="H40" i="258" s="1"/>
  <c r="P24" i="262"/>
  <c r="G40" i="258" s="1"/>
  <c r="O24" i="262"/>
  <c r="F40" i="258" s="1"/>
  <c r="N24" i="262"/>
  <c r="E40" i="258" s="1"/>
  <c r="M24" i="262"/>
  <c r="D40" i="258" s="1"/>
  <c r="L24" i="262"/>
  <c r="C40" i="258" s="1"/>
  <c r="K24" i="262"/>
  <c r="J24"/>
  <c r="I24"/>
  <c r="H24"/>
  <c r="G24"/>
  <c r="F24"/>
  <c r="E24"/>
  <c r="D24"/>
  <c r="B24"/>
  <c r="Q23"/>
  <c r="H29" i="258" s="1"/>
  <c r="O23" i="262"/>
  <c r="F29" i="258" s="1"/>
  <c r="N23" i="262"/>
  <c r="E29" i="258" s="1"/>
  <c r="L23" i="262"/>
  <c r="C29" i="258" s="1"/>
  <c r="Q22" i="262"/>
  <c r="H18" i="258" s="1"/>
  <c r="O22" i="262"/>
  <c r="F18" i="258" s="1"/>
  <c r="N22" i="262"/>
  <c r="E18" i="258" s="1"/>
  <c r="L22" i="262"/>
  <c r="C18" i="258" s="1"/>
  <c r="G22" i="262"/>
  <c r="E22"/>
  <c r="D22"/>
  <c r="B22"/>
  <c r="U24" i="261"/>
  <c r="L39" i="258" s="1"/>
  <c r="T24" i="261"/>
  <c r="K39" i="258" s="1"/>
  <c r="S24" i="261"/>
  <c r="J39" i="258" s="1"/>
  <c r="R24" i="261"/>
  <c r="I39" i="258" s="1"/>
  <c r="Q24" i="261"/>
  <c r="H39" i="258" s="1"/>
  <c r="P24" i="261"/>
  <c r="G39" i="258" s="1"/>
  <c r="O24" i="261"/>
  <c r="F39" i="258" s="1"/>
  <c r="N24" i="261"/>
  <c r="E39" i="258" s="1"/>
  <c r="M24" i="261"/>
  <c r="D39" i="258" s="1"/>
  <c r="L24" i="261"/>
  <c r="C39" i="258" s="1"/>
  <c r="K24" i="261"/>
  <c r="J24"/>
  <c r="I24"/>
  <c r="H24"/>
  <c r="G24"/>
  <c r="F24"/>
  <c r="E24"/>
  <c r="D24"/>
  <c r="B24"/>
  <c r="N23"/>
  <c r="E28" i="258" s="1"/>
  <c r="L23" i="261"/>
  <c r="C28" i="258" s="1"/>
  <c r="N22" i="261"/>
  <c r="E17" i="258" s="1"/>
  <c r="L22" i="261"/>
  <c r="C17" i="258" s="1"/>
  <c r="D22" i="261"/>
  <c r="B22"/>
  <c r="U24" i="260"/>
  <c r="L38" i="258" s="1"/>
  <c r="T24" i="260"/>
  <c r="K38" i="258" s="1"/>
  <c r="S24" i="260"/>
  <c r="J38" i="258" s="1"/>
  <c r="R24" i="260"/>
  <c r="I38" i="258" s="1"/>
  <c r="Q24" i="260"/>
  <c r="H38" i="258" s="1"/>
  <c r="P24" i="260"/>
  <c r="G38" i="258" s="1"/>
  <c r="O24" i="260"/>
  <c r="F38" i="258" s="1"/>
  <c r="N24" i="260"/>
  <c r="E38" i="258" s="1"/>
  <c r="M24" i="260"/>
  <c r="D38" i="258" s="1"/>
  <c r="L24" i="260"/>
  <c r="C38" i="258" s="1"/>
  <c r="K24" i="260"/>
  <c r="J24"/>
  <c r="I24"/>
  <c r="H24"/>
  <c r="G24"/>
  <c r="F24"/>
  <c r="E24"/>
  <c r="D24"/>
  <c r="B24"/>
  <c r="P23"/>
  <c r="G27" i="258" s="1"/>
  <c r="O23" i="260"/>
  <c r="F27" i="258" s="1"/>
  <c r="N23" i="260"/>
  <c r="E27" i="258" s="1"/>
  <c r="L23" i="260"/>
  <c r="C27" i="258" s="1"/>
  <c r="P22" i="260"/>
  <c r="G16" i="258" s="1"/>
  <c r="O22" i="260"/>
  <c r="F16" i="258" s="1"/>
  <c r="N22" i="260"/>
  <c r="E16" i="258" s="1"/>
  <c r="L22" i="260"/>
  <c r="C16" i="258" s="1"/>
  <c r="F22" i="260"/>
  <c r="E22"/>
  <c r="D22"/>
  <c r="B22"/>
  <c r="U24" i="259"/>
  <c r="L37" i="258" s="1"/>
  <c r="T24" i="259"/>
  <c r="K37" i="258" s="1"/>
  <c r="S24" i="259"/>
  <c r="J37" i="258" s="1"/>
  <c r="R24" i="259"/>
  <c r="I37" i="258" s="1"/>
  <c r="Q24" i="259"/>
  <c r="H37" i="258" s="1"/>
  <c r="P24" i="259"/>
  <c r="G37" i="258" s="1"/>
  <c r="O24" i="259"/>
  <c r="F37" i="258" s="1"/>
  <c r="N24" i="259"/>
  <c r="E37" i="258" s="1"/>
  <c r="L24" i="259"/>
  <c r="C37" i="258" s="1"/>
  <c r="U23" i="259"/>
  <c r="L26" i="258" s="1"/>
  <c r="T23" i="259"/>
  <c r="K26" i="258" s="1"/>
  <c r="S23" i="259"/>
  <c r="J26" i="258" s="1"/>
  <c r="R23" i="259"/>
  <c r="I26" i="258" s="1"/>
  <c r="Q23" i="259"/>
  <c r="H26" i="258" s="1"/>
  <c r="P23" i="259"/>
  <c r="G26" i="258" s="1"/>
  <c r="O23" i="259"/>
  <c r="F26" i="258" s="1"/>
  <c r="N23" i="259"/>
  <c r="E26" i="258" s="1"/>
  <c r="L23" i="259"/>
  <c r="C26" i="258" s="1"/>
  <c r="U22" i="259"/>
  <c r="L15" i="258" s="1"/>
  <c r="T22" i="259"/>
  <c r="K15" i="258" s="1"/>
  <c r="S22" i="259"/>
  <c r="J15" i="258" s="1"/>
  <c r="R22" i="259"/>
  <c r="I15" i="258" s="1"/>
  <c r="Q22" i="259"/>
  <c r="H15" i="258" s="1"/>
  <c r="P22" i="259"/>
  <c r="G15" i="258" s="1"/>
  <c r="O22" i="259"/>
  <c r="F15" i="258" s="1"/>
  <c r="N22" i="259"/>
  <c r="E15" i="258" s="1"/>
  <c r="L22" i="259"/>
  <c r="C15" i="258" s="1"/>
  <c r="M18" i="259"/>
  <c r="M17"/>
  <c r="M16"/>
  <c r="M15"/>
  <c r="M14"/>
  <c r="M13"/>
  <c r="M12"/>
  <c r="D27" i="160"/>
  <c r="G27"/>
  <c r="I27"/>
  <c r="K27"/>
  <c r="O27"/>
  <c r="Q27"/>
  <c r="U27"/>
  <c r="W27"/>
  <c r="D28"/>
  <c r="E28"/>
  <c r="F28"/>
  <c r="G28"/>
  <c r="H28"/>
  <c r="I28"/>
  <c r="J28"/>
  <c r="K28"/>
  <c r="N28"/>
  <c r="O28"/>
  <c r="Q28"/>
  <c r="T28"/>
  <c r="U28"/>
  <c r="W28"/>
  <c r="D30"/>
  <c r="E30"/>
  <c r="H30"/>
  <c r="I30"/>
  <c r="J30"/>
  <c r="K30"/>
  <c r="N30"/>
  <c r="O30"/>
  <c r="Q30"/>
  <c r="T30"/>
  <c r="U30"/>
  <c r="W30"/>
  <c r="D27" i="159"/>
  <c r="G27"/>
  <c r="I27"/>
  <c r="J27"/>
  <c r="M27"/>
  <c r="O27"/>
  <c r="P27"/>
  <c r="S27"/>
  <c r="U27"/>
  <c r="V27"/>
  <c r="Y27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D30"/>
  <c r="E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D27" i="149"/>
  <c r="E27"/>
  <c r="F27"/>
  <c r="G27"/>
  <c r="D28"/>
  <c r="G28"/>
  <c r="D30"/>
  <c r="E30"/>
  <c r="D27" i="147"/>
  <c r="E27"/>
  <c r="F27"/>
  <c r="G27"/>
  <c r="D28"/>
  <c r="G28"/>
  <c r="D30"/>
  <c r="E30"/>
  <c r="D27" i="161"/>
  <c r="G27"/>
  <c r="I27"/>
  <c r="J27"/>
  <c r="M27"/>
  <c r="O27"/>
  <c r="P27"/>
  <c r="S27"/>
  <c r="D28"/>
  <c r="E28"/>
  <c r="F28"/>
  <c r="G28"/>
  <c r="H28"/>
  <c r="I28"/>
  <c r="J28"/>
  <c r="K28"/>
  <c r="L28"/>
  <c r="M28"/>
  <c r="N28"/>
  <c r="O28"/>
  <c r="P28"/>
  <c r="Q28"/>
  <c r="R28"/>
  <c r="S28"/>
  <c r="D30"/>
  <c r="E30"/>
  <c r="H30"/>
  <c r="I30"/>
  <c r="J30"/>
  <c r="K30"/>
  <c r="L30"/>
  <c r="M30"/>
  <c r="N30"/>
  <c r="O30"/>
  <c r="P30"/>
  <c r="Q30"/>
  <c r="R30"/>
  <c r="S30"/>
  <c r="C28"/>
  <c r="D27" i="162"/>
  <c r="G27"/>
  <c r="I27"/>
  <c r="J27"/>
  <c r="M27"/>
  <c r="O27"/>
  <c r="P27"/>
  <c r="S27"/>
  <c r="C28"/>
  <c r="D28"/>
  <c r="E28"/>
  <c r="F28"/>
  <c r="G28"/>
  <c r="H28"/>
  <c r="I28"/>
  <c r="J28"/>
  <c r="K28"/>
  <c r="L28"/>
  <c r="M28"/>
  <c r="N28"/>
  <c r="O28"/>
  <c r="P28"/>
  <c r="Q28"/>
  <c r="R28"/>
  <c r="S28"/>
  <c r="C30"/>
  <c r="D30"/>
  <c r="E30"/>
  <c r="H30"/>
  <c r="I30"/>
  <c r="J30"/>
  <c r="K30"/>
  <c r="L30"/>
  <c r="M30"/>
  <c r="N30"/>
  <c r="O30"/>
  <c r="P30"/>
  <c r="Q30"/>
  <c r="R30"/>
  <c r="S30"/>
  <c r="C30" i="161"/>
  <c r="B30" i="162"/>
  <c r="B30" i="161"/>
  <c r="G4"/>
  <c r="G4" i="162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24" i="161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M24" i="162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24" i="161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G5" i="162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31" s="1"/>
  <c r="G5" i="161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31" s="1"/>
  <c r="C30" i="160"/>
  <c r="B30"/>
  <c r="M31"/>
  <c r="M28"/>
  <c r="G24"/>
  <c r="G31" s="1"/>
  <c r="G23"/>
  <c r="G22"/>
  <c r="G21"/>
  <c r="G20"/>
  <c r="G19"/>
  <c r="G18"/>
  <c r="G17"/>
  <c r="G16"/>
  <c r="G15"/>
  <c r="G14"/>
  <c r="G11"/>
  <c r="G10"/>
  <c r="G9"/>
  <c r="G8"/>
  <c r="G7"/>
  <c r="G6"/>
  <c r="C30" i="159"/>
  <c r="B30"/>
  <c r="S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4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31" s="1"/>
  <c r="G4"/>
  <c r="C30" i="149"/>
  <c r="C30" i="147"/>
  <c r="B30" i="149"/>
  <c r="B30" i="147"/>
  <c r="G5" i="149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31" s="1"/>
  <c r="G5" i="147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31" s="1"/>
  <c r="G4" i="149"/>
  <c r="G4" i="147"/>
  <c r="AQ4" i="258" l="1"/>
  <c r="F21" i="292"/>
  <c r="C11" i="291"/>
  <c r="M21" i="269"/>
  <c r="D14" i="258" s="1"/>
  <c r="M22" i="269"/>
  <c r="D25" i="258" s="1"/>
  <c r="C14" i="291"/>
  <c r="C17"/>
  <c r="C24" s="1"/>
  <c r="AB58" i="258" s="1"/>
  <c r="M25" i="269"/>
  <c r="D58" i="258" s="1"/>
  <c r="M24" i="269"/>
  <c r="D47" i="258" s="1"/>
  <c r="M21" i="268"/>
  <c r="D13" i="258" s="1"/>
  <c r="C11" i="290"/>
  <c r="C20" s="1"/>
  <c r="AB13" i="258" s="1"/>
  <c r="M25" i="268"/>
  <c r="D57" i="258" s="1"/>
  <c r="C17" i="290"/>
  <c r="M21" i="267"/>
  <c r="D12" i="258" s="1"/>
  <c r="C11" i="289"/>
  <c r="AB45" i="258" s="1"/>
  <c r="M25" i="265"/>
  <c r="D54" i="258" s="1"/>
  <c r="C17" i="287"/>
  <c r="C24" s="1"/>
  <c r="AB54" i="258" s="1"/>
  <c r="M21" i="265"/>
  <c r="D10" i="258" s="1"/>
  <c r="C11" i="287"/>
  <c r="C20" s="1"/>
  <c r="AB10" i="258" s="1"/>
  <c r="C11" i="286"/>
  <c r="C20" s="1"/>
  <c r="AB9" i="258" s="1"/>
  <c r="M21" i="264"/>
  <c r="D9" i="258" s="1"/>
  <c r="C17" i="286"/>
  <c r="C24" s="1"/>
  <c r="AB53" i="258" s="1"/>
  <c r="M25" i="264"/>
  <c r="D53" i="258" s="1"/>
  <c r="D31"/>
  <c r="G14" i="292"/>
  <c r="C13" i="281"/>
  <c r="G18" i="292"/>
  <c r="G25" s="1"/>
  <c r="AR48" i="258" s="1"/>
  <c r="M25" i="259"/>
  <c r="D48" i="258" s="1"/>
  <c r="C11" i="281"/>
  <c r="M21" i="259"/>
  <c r="D4" i="258" s="1"/>
  <c r="G12" i="292"/>
  <c r="G21" s="1"/>
  <c r="AR4" i="258" s="1"/>
  <c r="G16" i="292"/>
  <c r="C15" i="281"/>
  <c r="G15" i="292"/>
  <c r="C14" i="281"/>
  <c r="G13" i="292"/>
  <c r="C12" i="281"/>
  <c r="G17" i="292"/>
  <c r="C16" i="281"/>
  <c r="I23" i="290"/>
  <c r="AH46" i="258" s="1"/>
  <c r="I20" i="290"/>
  <c r="AH13" i="258" s="1"/>
  <c r="AH45"/>
  <c r="I20" i="289"/>
  <c r="AH12" i="258" s="1"/>
  <c r="H23" i="286"/>
  <c r="AG42" i="258" s="1"/>
  <c r="P48"/>
  <c r="P37"/>
  <c r="P26"/>
  <c r="M29" i="160"/>
  <c r="M30"/>
  <c r="G30" i="149"/>
  <c r="G30" i="159"/>
  <c r="AB44" i="258"/>
  <c r="C20" i="288"/>
  <c r="AB11" i="258" s="1"/>
  <c r="G30" i="161"/>
  <c r="G30" i="147"/>
  <c r="G30" i="162"/>
  <c r="G30" i="160"/>
  <c r="F23" i="293"/>
  <c r="AQ27" i="258" s="1"/>
  <c r="F23" i="294"/>
  <c r="AQ28" i="258" s="1"/>
  <c r="G22" i="295"/>
  <c r="AR18" i="258" s="1"/>
  <c r="H22" i="292"/>
  <c r="AS15" i="258" s="1"/>
  <c r="G24" i="300"/>
  <c r="AR45" i="258" s="1"/>
  <c r="F24" i="293"/>
  <c r="AQ38" i="258" s="1"/>
  <c r="F22" i="295"/>
  <c r="AQ18" i="258" s="1"/>
  <c r="F24" i="300"/>
  <c r="AQ45" i="258" s="1"/>
  <c r="I24" i="292"/>
  <c r="AT37" i="258" s="1"/>
  <c r="F24" i="292"/>
  <c r="AQ37" i="258" s="1"/>
  <c r="G24" i="296"/>
  <c r="AR41" i="258" s="1"/>
  <c r="G22" i="299"/>
  <c r="AR22" i="258" s="1"/>
  <c r="G23" i="300"/>
  <c r="AR34" i="258" s="1"/>
  <c r="H24" i="301"/>
  <c r="AS46" i="258" s="1"/>
  <c r="H22" i="301"/>
  <c r="AS24" i="258" s="1"/>
  <c r="F22" i="292"/>
  <c r="AQ15" i="258" s="1"/>
  <c r="F24" i="296"/>
  <c r="AQ41" i="258" s="1"/>
  <c r="F22" i="299"/>
  <c r="AQ22" i="258" s="1"/>
  <c r="F23" i="300"/>
  <c r="AQ34" i="258" s="1"/>
  <c r="G23" i="302"/>
  <c r="AR36" i="258" s="1"/>
  <c r="G21" i="284"/>
  <c r="AF18" i="258" s="1"/>
  <c r="B21" i="285"/>
  <c r="AA19" i="258" s="1"/>
  <c r="D21" i="290"/>
  <c r="AC24" i="258" s="1"/>
  <c r="F21" i="291"/>
  <c r="AE25" i="258" s="1"/>
  <c r="J21" i="291"/>
  <c r="AI25" i="258" s="1"/>
  <c r="D21" i="286"/>
  <c r="AC20" i="258" s="1"/>
  <c r="I21" i="287"/>
  <c r="AH21" i="258" s="1"/>
  <c r="G21" i="289"/>
  <c r="AF23" i="258" s="1"/>
  <c r="D21" i="283"/>
  <c r="AC17" i="258" s="1"/>
  <c r="H21" i="286"/>
  <c r="AG20" i="258" s="1"/>
  <c r="E21" i="287"/>
  <c r="AD21" i="258" s="1"/>
  <c r="B23" i="290"/>
  <c r="AA46" i="258" s="1"/>
  <c r="C21" i="286"/>
  <c r="AB20" i="258" s="1"/>
  <c r="B21" i="284"/>
  <c r="AA18" i="258" s="1"/>
  <c r="E21" i="284"/>
  <c r="AD18" i="258" s="1"/>
  <c r="E21" i="291"/>
  <c r="AD25" i="258" s="1"/>
  <c r="I21" i="291"/>
  <c r="AH25" i="258" s="1"/>
  <c r="H22" i="281"/>
  <c r="AG26" i="258" s="1"/>
  <c r="H23" i="281"/>
  <c r="AG37" i="258" s="1"/>
  <c r="D23" i="284"/>
  <c r="AC40" i="258" s="1"/>
  <c r="D22" i="284"/>
  <c r="AC29" i="258" s="1"/>
  <c r="I22" i="286"/>
  <c r="AH31" i="258" s="1"/>
  <c r="I23" i="286"/>
  <c r="AH42" i="258" s="1"/>
  <c r="J23" i="287"/>
  <c r="AI43" i="258" s="1"/>
  <c r="J22" i="287"/>
  <c r="AI32" i="258" s="1"/>
  <c r="B22" i="288"/>
  <c r="AA33" i="258" s="1"/>
  <c r="B23" i="288"/>
  <c r="AA44" i="258" s="1"/>
  <c r="J23" i="291"/>
  <c r="AI47" i="258" s="1"/>
  <c r="J22" i="291"/>
  <c r="AI36" i="258" s="1"/>
  <c r="G23" i="281"/>
  <c r="AF37" i="258" s="1"/>
  <c r="G22" i="281"/>
  <c r="AF26" i="258" s="1"/>
  <c r="F22" i="282"/>
  <c r="AE27" i="258" s="1"/>
  <c r="F23" i="282"/>
  <c r="AE38" i="258" s="1"/>
  <c r="E22" i="285"/>
  <c r="AD30" i="258" s="1"/>
  <c r="E23" i="285"/>
  <c r="AD41" i="258" s="1"/>
  <c r="H22" i="286"/>
  <c r="AG31" i="258" s="1"/>
  <c r="E22" i="291"/>
  <c r="AD36" i="258" s="1"/>
  <c r="E23" i="291"/>
  <c r="AD47" i="258" s="1"/>
  <c r="I23" i="291"/>
  <c r="AH47" i="258" s="1"/>
  <c r="I22" i="291"/>
  <c r="AH36" i="258" s="1"/>
  <c r="F23" i="281"/>
  <c r="AE37" i="258" s="1"/>
  <c r="F22" i="281"/>
  <c r="AE26" i="258" s="1"/>
  <c r="J22" i="281"/>
  <c r="AI26" i="258" s="1"/>
  <c r="J23" i="281"/>
  <c r="AI37" i="258" s="1"/>
  <c r="E23" i="282"/>
  <c r="AD38" i="258" s="1"/>
  <c r="E22" i="282"/>
  <c r="AD27" i="258" s="1"/>
  <c r="D23" i="283"/>
  <c r="AC39" i="258" s="1"/>
  <c r="D22" i="283"/>
  <c r="AC28" i="258" s="1"/>
  <c r="D23" i="285"/>
  <c r="AC41" i="258" s="1"/>
  <c r="D22" i="285"/>
  <c r="AC30" i="258" s="1"/>
  <c r="G23" i="286"/>
  <c r="AF42" i="258" s="1"/>
  <c r="G22" i="286"/>
  <c r="AF31" i="258" s="1"/>
  <c r="K23" i="286"/>
  <c r="AJ42" i="258" s="1"/>
  <c r="K22" i="286"/>
  <c r="AJ31" i="258" s="1"/>
  <c r="D23" i="287"/>
  <c r="AC43" i="258" s="1"/>
  <c r="D22" i="287"/>
  <c r="AC32" i="258" s="1"/>
  <c r="H23" i="287"/>
  <c r="AG43" i="258" s="1"/>
  <c r="H22" i="287"/>
  <c r="AG32" i="258" s="1"/>
  <c r="D23" i="289"/>
  <c r="AC45" i="258" s="1"/>
  <c r="D22" i="289"/>
  <c r="AC34" i="258" s="1"/>
  <c r="AD35"/>
  <c r="E23" i="290"/>
  <c r="AD46" i="258" s="1"/>
  <c r="D23" i="291"/>
  <c r="AC47" i="258" s="1"/>
  <c r="D22" i="291"/>
  <c r="AC36" i="258" s="1"/>
  <c r="H23" i="291"/>
  <c r="AG47" i="258" s="1"/>
  <c r="H22" i="291"/>
  <c r="AG36" i="258" s="1"/>
  <c r="G21" i="281"/>
  <c r="AF15" i="258" s="1"/>
  <c r="I22" i="297"/>
  <c r="AT20" i="258" s="1"/>
  <c r="I24" i="297"/>
  <c r="AT42" i="258" s="1"/>
  <c r="I22" i="298"/>
  <c r="AT21" i="258" s="1"/>
  <c r="I24" i="298"/>
  <c r="AT43" i="258" s="1"/>
  <c r="G22" i="301"/>
  <c r="AR24" i="258" s="1"/>
  <c r="G22" i="302"/>
  <c r="AR25" i="258" s="1"/>
  <c r="F21" i="281"/>
  <c r="AE15" i="258" s="1"/>
  <c r="F21" i="282"/>
  <c r="AE16" i="258" s="1"/>
  <c r="B23" i="284"/>
  <c r="AA40" i="258" s="1"/>
  <c r="G21" i="286"/>
  <c r="AF20" i="258" s="1"/>
  <c r="D21" i="287"/>
  <c r="AC21" i="258" s="1"/>
  <c r="D21" i="288"/>
  <c r="AC22" i="258" s="1"/>
  <c r="I21" i="290"/>
  <c r="AH24" i="258" s="1"/>
  <c r="H22" i="297"/>
  <c r="AS20" i="258" s="1"/>
  <c r="H22" i="298"/>
  <c r="AS21" i="258" s="1"/>
  <c r="F22" i="301"/>
  <c r="AQ24" i="258" s="1"/>
  <c r="G24" i="301"/>
  <c r="AR46" i="258" s="1"/>
  <c r="F24" i="302"/>
  <c r="AQ47" i="258" s="1"/>
  <c r="E21" i="281"/>
  <c r="AD15" i="258" s="1"/>
  <c r="I21" i="281"/>
  <c r="AH15" i="258" s="1"/>
  <c r="E21" i="282"/>
  <c r="AD16" i="258" s="1"/>
  <c r="D21" i="284"/>
  <c r="AC18" i="258" s="1"/>
  <c r="E21" i="285"/>
  <c r="F21" i="286"/>
  <c r="AE20" i="258" s="1"/>
  <c r="J21" i="286"/>
  <c r="AI20" i="258" s="1"/>
  <c r="B23" i="286"/>
  <c r="AA42" i="258" s="1"/>
  <c r="B21" i="287"/>
  <c r="AA21" i="258" s="1"/>
  <c r="G21" i="287"/>
  <c r="AF21" i="258" s="1"/>
  <c r="K21" i="287"/>
  <c r="AJ21" i="258" s="1"/>
  <c r="B21" i="288"/>
  <c r="AA22" i="258" s="1"/>
  <c r="D21" i="289"/>
  <c r="AC23" i="258" s="1"/>
  <c r="B21" i="290"/>
  <c r="AA24" i="258" s="1"/>
  <c r="G21" i="290"/>
  <c r="AF24" i="258" s="1"/>
  <c r="D21" i="291"/>
  <c r="AC25" i="258" s="1"/>
  <c r="H21" i="291"/>
  <c r="AG25" i="258" s="1"/>
  <c r="G22" i="297"/>
  <c r="AR20" i="258" s="1"/>
  <c r="G22" i="298"/>
  <c r="AR21" i="258" s="1"/>
  <c r="G23" i="298"/>
  <c r="AR32" i="258" s="1"/>
  <c r="I22" i="301"/>
  <c r="AT24" i="258" s="1"/>
  <c r="F24" i="301"/>
  <c r="AQ46" i="258" s="1"/>
  <c r="I22" i="302"/>
  <c r="AT25" i="258" s="1"/>
  <c r="I24" i="302"/>
  <c r="AT47" i="258" s="1"/>
  <c r="D22" i="281"/>
  <c r="AC26" i="258" s="1"/>
  <c r="D23" i="281"/>
  <c r="AC37" i="258" s="1"/>
  <c r="E23" i="286"/>
  <c r="AD42" i="258" s="1"/>
  <c r="E22" i="286"/>
  <c r="AD31" i="258" s="1"/>
  <c r="F22" i="287"/>
  <c r="AE32" i="258" s="1"/>
  <c r="F23" i="287"/>
  <c r="AE43" i="258" s="1"/>
  <c r="G22" i="289"/>
  <c r="AF34" i="258" s="1"/>
  <c r="G23" i="289"/>
  <c r="AF45" i="258" s="1"/>
  <c r="F23" i="291"/>
  <c r="AE47" i="258" s="1"/>
  <c r="F22" i="291"/>
  <c r="AE36" i="258" s="1"/>
  <c r="AA26"/>
  <c r="AA37"/>
  <c r="K23" i="281"/>
  <c r="AJ37" i="258" s="1"/>
  <c r="K22" i="281"/>
  <c r="AJ26" i="258" s="1"/>
  <c r="D22" i="286"/>
  <c r="AC31" i="258" s="1"/>
  <c r="D23" i="286"/>
  <c r="AC42" i="258" s="1"/>
  <c r="E22" i="287"/>
  <c r="AD32" i="258" s="1"/>
  <c r="E23" i="287"/>
  <c r="AD43" i="258" s="1"/>
  <c r="I22" i="287"/>
  <c r="AH32" i="258" s="1"/>
  <c r="I23" i="287"/>
  <c r="AH43" i="258" s="1"/>
  <c r="E22" i="289"/>
  <c r="AD34" i="258" s="1"/>
  <c r="E23" i="289"/>
  <c r="AD45" i="258" s="1"/>
  <c r="G23" i="290"/>
  <c r="AF46" i="258" s="1"/>
  <c r="G22" i="290"/>
  <c r="AF35" i="258" s="1"/>
  <c r="E23" i="281"/>
  <c r="AD37" i="258" s="1"/>
  <c r="E22" i="281"/>
  <c r="AD26" i="258" s="1"/>
  <c r="I23" i="281"/>
  <c r="AH37" i="258" s="1"/>
  <c r="I22" i="281"/>
  <c r="AH26" i="258" s="1"/>
  <c r="D22" i="282"/>
  <c r="AC27" i="258" s="1"/>
  <c r="D23" i="282"/>
  <c r="AC38" i="258" s="1"/>
  <c r="E23" i="284"/>
  <c r="AD40" i="258" s="1"/>
  <c r="E22" i="284"/>
  <c r="AD29" i="258" s="1"/>
  <c r="B22" i="285"/>
  <c r="AA30" i="258" s="1"/>
  <c r="B23" i="285"/>
  <c r="AA41" i="258" s="1"/>
  <c r="F22" i="286"/>
  <c r="AE31" i="258" s="1"/>
  <c r="F23" i="286"/>
  <c r="AE42" i="258" s="1"/>
  <c r="J23" i="286"/>
  <c r="AI42" i="258" s="1"/>
  <c r="J22" i="286"/>
  <c r="AI31" i="258" s="1"/>
  <c r="G23" i="287"/>
  <c r="AF43" i="258" s="1"/>
  <c r="G22" i="287"/>
  <c r="AF32" i="258" s="1"/>
  <c r="K22" i="287"/>
  <c r="AJ32" i="258" s="1"/>
  <c r="K23" i="287"/>
  <c r="AJ43" i="258" s="1"/>
  <c r="D22" i="288"/>
  <c r="AC33" i="258" s="1"/>
  <c r="D23" i="288"/>
  <c r="AC44" i="258" s="1"/>
  <c r="D22" i="290"/>
  <c r="AC35" i="258" s="1"/>
  <c r="D23" i="290"/>
  <c r="AC46" i="258" s="1"/>
  <c r="B22" i="291"/>
  <c r="AA36" i="258" s="1"/>
  <c r="B23" i="291"/>
  <c r="AA47" i="258" s="1"/>
  <c r="G22" i="291"/>
  <c r="AF36" i="258" s="1"/>
  <c r="G23" i="291"/>
  <c r="AF47" i="258" s="1"/>
  <c r="K22" i="291"/>
  <c r="AJ36" i="258" s="1"/>
  <c r="K23" i="291"/>
  <c r="AJ47" i="258" s="1"/>
  <c r="K21" i="281"/>
  <c r="AJ15" i="258" s="1"/>
  <c r="B21" i="282"/>
  <c r="AA16" i="258" s="1"/>
  <c r="B23" i="282"/>
  <c r="AA38" i="258" s="1"/>
  <c r="B21" i="291"/>
  <c r="AA25" i="258" s="1"/>
  <c r="G24" i="302"/>
  <c r="AR47" i="258" s="1"/>
  <c r="AA15"/>
  <c r="J21" i="281"/>
  <c r="AI15" i="258" s="1"/>
  <c r="B21" i="283"/>
  <c r="AA17" i="258" s="1"/>
  <c r="B21" i="286"/>
  <c r="AA20" i="258" s="1"/>
  <c r="K21" i="286"/>
  <c r="AJ20" i="258" s="1"/>
  <c r="H21" i="287"/>
  <c r="AG21" i="258" s="1"/>
  <c r="E21" i="289"/>
  <c r="AD23" i="258" s="1"/>
  <c r="H24" i="297"/>
  <c r="AS42" i="258" s="1"/>
  <c r="H24" i="298"/>
  <c r="AS43" i="258" s="1"/>
  <c r="F22" i="302"/>
  <c r="AQ25" i="258" s="1"/>
  <c r="D21" i="281"/>
  <c r="AC15" i="258" s="1"/>
  <c r="H21" i="281"/>
  <c r="AG15" i="258" s="1"/>
  <c r="D21" i="282"/>
  <c r="AC16" i="258" s="1"/>
  <c r="B23" i="283"/>
  <c r="AA39" i="258" s="1"/>
  <c r="D21" i="285"/>
  <c r="E21" i="286"/>
  <c r="AD20" i="258" s="1"/>
  <c r="I21" i="286"/>
  <c r="AH20" i="258" s="1"/>
  <c r="F21" i="287"/>
  <c r="AE21" i="258" s="1"/>
  <c r="J21" i="287"/>
  <c r="AI21" i="258" s="1"/>
  <c r="B23" i="287"/>
  <c r="AA43" i="258" s="1"/>
  <c r="B21" i="289"/>
  <c r="AA23" i="258" s="1"/>
  <c r="B23" i="289"/>
  <c r="AA45" i="258" s="1"/>
  <c r="E21" i="290"/>
  <c r="AD24" i="258" s="1"/>
  <c r="G21" i="291"/>
  <c r="AF25" i="258" s="1"/>
  <c r="K21" i="291"/>
  <c r="AJ25" i="258" s="1"/>
  <c r="I22" i="292"/>
  <c r="AT15" i="258" s="1"/>
  <c r="H24" i="292"/>
  <c r="AS37" i="258" s="1"/>
  <c r="F24" i="294"/>
  <c r="AQ39" i="258" s="1"/>
  <c r="F24" i="295"/>
  <c r="AQ40" i="258" s="1"/>
  <c r="F22" i="297"/>
  <c r="AQ20" i="258" s="1"/>
  <c r="F24" i="297"/>
  <c r="AQ42" i="258" s="1"/>
  <c r="F22" i="298"/>
  <c r="AQ21" i="258" s="1"/>
  <c r="F24" i="298"/>
  <c r="AQ43" i="258" s="1"/>
  <c r="F24" i="299"/>
  <c r="AQ44" i="258" s="1"/>
  <c r="I24" i="301"/>
  <c r="AT46" i="258" s="1"/>
  <c r="H22" i="302"/>
  <c r="AS25" i="258" s="1"/>
  <c r="H23" i="302"/>
  <c r="AS36" i="258" s="1"/>
  <c r="G24" i="299"/>
  <c r="AR44" i="258" s="1"/>
  <c r="M24" i="268"/>
  <c r="D46" i="258" s="1"/>
  <c r="M23" i="268"/>
  <c r="D35" i="258" s="1"/>
  <c r="B22" i="284"/>
  <c r="AA29" i="258" s="1"/>
  <c r="G24" i="295"/>
  <c r="AR40" i="258" s="1"/>
  <c r="G23" i="295"/>
  <c r="AR29" i="258" s="1"/>
  <c r="F22" i="293"/>
  <c r="AQ16" i="258" s="1"/>
  <c r="M22" i="268"/>
  <c r="D24" i="258" s="1"/>
  <c r="I23" i="292"/>
  <c r="AT26" i="258" s="1"/>
  <c r="M22" i="265"/>
  <c r="D21" i="258" s="1"/>
  <c r="M24" i="265"/>
  <c r="D43" i="258" s="1"/>
  <c r="B22" i="287"/>
  <c r="AA32" i="258" s="1"/>
  <c r="B22" i="283"/>
  <c r="AA28" i="258" s="1"/>
  <c r="B22" i="286"/>
  <c r="AA31" i="258" s="1"/>
  <c r="G24" i="297"/>
  <c r="AR42" i="258" s="1"/>
  <c r="G23" i="297"/>
  <c r="AR31" i="258" s="1"/>
  <c r="G24" i="298"/>
  <c r="AR43" i="258" s="1"/>
  <c r="G22" i="300"/>
  <c r="AR23" i="258" s="1"/>
  <c r="H23" i="301"/>
  <c r="AS35" i="258" s="1"/>
  <c r="M24" i="264"/>
  <c r="D42" i="258" s="1"/>
  <c r="B22" i="290"/>
  <c r="AA35" i="258" s="1"/>
  <c r="H23" i="292"/>
  <c r="AS26" i="258" s="1"/>
  <c r="F22" i="294"/>
  <c r="AQ17" i="258" s="1"/>
  <c r="F23" i="297"/>
  <c r="AQ31" i="258" s="1"/>
  <c r="M22" i="259"/>
  <c r="D15" i="258" s="1"/>
  <c r="M23" i="259"/>
  <c r="D26" i="258" s="1"/>
  <c r="M24" i="259"/>
  <c r="D37" i="258" s="1"/>
  <c r="M22" i="264"/>
  <c r="D20" i="258" s="1"/>
  <c r="B22" i="282"/>
  <c r="AA27" i="258" s="1"/>
  <c r="C21" i="287"/>
  <c r="AB21" i="258" s="1"/>
  <c r="B22" i="289"/>
  <c r="AA34" i="258" s="1"/>
  <c r="F23" i="292"/>
  <c r="AQ26" i="258" s="1"/>
  <c r="F23" i="295"/>
  <c r="AQ29" i="258" s="1"/>
  <c r="H23" i="297"/>
  <c r="AS31" i="258" s="1"/>
  <c r="H23" i="298"/>
  <c r="AS32" i="258" s="1"/>
  <c r="F23" i="299"/>
  <c r="AQ33" i="258" s="1"/>
  <c r="I23" i="301"/>
  <c r="AT35" i="258" s="1"/>
  <c r="I23" i="302"/>
  <c r="AT36" i="258" s="1"/>
  <c r="H24" i="302"/>
  <c r="AS47" i="258" s="1"/>
  <c r="F23" i="298"/>
  <c r="AQ32" i="258" s="1"/>
  <c r="F22" i="300"/>
  <c r="AQ23" i="258" s="1"/>
  <c r="G23" i="301"/>
  <c r="AR35" i="258" s="1"/>
  <c r="C17" i="281"/>
  <c r="C24" s="1"/>
  <c r="AB48" i="258" s="1"/>
  <c r="I23" i="297"/>
  <c r="AT31" i="258" s="1"/>
  <c r="I23" i="298"/>
  <c r="AT32" i="258" s="1"/>
  <c r="G23" i="299"/>
  <c r="AR33" i="258" s="1"/>
  <c r="F23" i="301"/>
  <c r="AQ35" i="258" s="1"/>
  <c r="F23" i="302"/>
  <c r="AQ36" i="258" s="1"/>
  <c r="C29" i="152"/>
  <c r="D29"/>
  <c r="E29"/>
  <c r="C29" i="153"/>
  <c r="D29"/>
  <c r="E29"/>
  <c r="I61" i="206"/>
  <c r="E62"/>
  <c r="G62"/>
  <c r="J62"/>
  <c r="L62"/>
  <c r="O62"/>
  <c r="E63"/>
  <c r="G63"/>
  <c r="J63"/>
  <c r="L63"/>
  <c r="O63"/>
  <c r="E64"/>
  <c r="G64"/>
  <c r="J64"/>
  <c r="L64"/>
  <c r="O64"/>
  <c r="E65"/>
  <c r="G65"/>
  <c r="J65"/>
  <c r="L65"/>
  <c r="O65"/>
  <c r="E63" i="201"/>
  <c r="F63"/>
  <c r="G63"/>
  <c r="J63"/>
  <c r="K63"/>
  <c r="L63"/>
  <c r="O63"/>
  <c r="P63"/>
  <c r="F64"/>
  <c r="G64"/>
  <c r="K64"/>
  <c r="L64"/>
  <c r="P64"/>
  <c r="E63" i="202"/>
  <c r="G63"/>
  <c r="J63"/>
  <c r="L63"/>
  <c r="O63"/>
  <c r="E64"/>
  <c r="G64"/>
  <c r="J64"/>
  <c r="L64"/>
  <c r="O64"/>
  <c r="E63" i="203"/>
  <c r="F63"/>
  <c r="G63"/>
  <c r="J63"/>
  <c r="K63"/>
  <c r="L63"/>
  <c r="O63"/>
  <c r="P63"/>
  <c r="F64"/>
  <c r="G64"/>
  <c r="K64"/>
  <c r="L64"/>
  <c r="P64"/>
  <c r="E63" i="204"/>
  <c r="G63"/>
  <c r="J63"/>
  <c r="L63"/>
  <c r="O63"/>
  <c r="E64"/>
  <c r="G64"/>
  <c r="J64"/>
  <c r="L64"/>
  <c r="O64"/>
  <c r="E63" i="205"/>
  <c r="F63"/>
  <c r="G63"/>
  <c r="J63"/>
  <c r="K63"/>
  <c r="L63"/>
  <c r="O63"/>
  <c r="P63"/>
  <c r="F64"/>
  <c r="G64"/>
  <c r="K64"/>
  <c r="L64"/>
  <c r="P64"/>
  <c r="E63" i="207"/>
  <c r="F63"/>
  <c r="G63"/>
  <c r="J63"/>
  <c r="K63"/>
  <c r="L63"/>
  <c r="O63"/>
  <c r="P63"/>
  <c r="F64"/>
  <c r="G64"/>
  <c r="K64"/>
  <c r="L64"/>
  <c r="P64"/>
  <c r="E63" i="208"/>
  <c r="G63"/>
  <c r="J63"/>
  <c r="L63"/>
  <c r="O63"/>
  <c r="E64"/>
  <c r="G64"/>
  <c r="J64"/>
  <c r="L64"/>
  <c r="O64"/>
  <c r="E63" i="209"/>
  <c r="F63"/>
  <c r="G63"/>
  <c r="J63"/>
  <c r="K63"/>
  <c r="L63"/>
  <c r="O63"/>
  <c r="P63"/>
  <c r="F64"/>
  <c r="G64"/>
  <c r="K64"/>
  <c r="L64"/>
  <c r="P64"/>
  <c r="E63" i="210"/>
  <c r="G63"/>
  <c r="J63"/>
  <c r="G64"/>
  <c r="E63" i="211"/>
  <c r="F63"/>
  <c r="G63"/>
  <c r="J63"/>
  <c r="K63"/>
  <c r="F64"/>
  <c r="G64"/>
  <c r="K64"/>
  <c r="E63" i="212"/>
  <c r="G63"/>
  <c r="J63"/>
  <c r="G64"/>
  <c r="E63" i="213"/>
  <c r="F63"/>
  <c r="G63"/>
  <c r="J63"/>
  <c r="K63"/>
  <c r="G64"/>
  <c r="E63" i="214"/>
  <c r="G63"/>
  <c r="J63"/>
  <c r="G64"/>
  <c r="E63" i="215"/>
  <c r="F63"/>
  <c r="G63"/>
  <c r="J63"/>
  <c r="K63"/>
  <c r="F64"/>
  <c r="G64"/>
  <c r="E63" i="216"/>
  <c r="G63"/>
  <c r="J63"/>
  <c r="G64"/>
  <c r="E63" i="217"/>
  <c r="F63"/>
  <c r="G63"/>
  <c r="J63"/>
  <c r="K63"/>
  <c r="F64"/>
  <c r="G64"/>
  <c r="K64"/>
  <c r="E63" i="200"/>
  <c r="G63"/>
  <c r="J63"/>
  <c r="L63"/>
  <c r="O63"/>
  <c r="E64"/>
  <c r="G64"/>
  <c r="J64"/>
  <c r="L64"/>
  <c r="O64"/>
  <c r="B64" i="201"/>
  <c r="B64" i="202"/>
  <c r="B64" i="203"/>
  <c r="B64" i="204"/>
  <c r="B64" i="205"/>
  <c r="B64" i="206"/>
  <c r="B64" i="207"/>
  <c r="B64" i="208"/>
  <c r="B64" i="209"/>
  <c r="B64" i="210"/>
  <c r="B64" i="211"/>
  <c r="B64" i="212"/>
  <c r="B64" i="213"/>
  <c r="B64" i="214"/>
  <c r="B64" i="215"/>
  <c r="B64" i="216"/>
  <c r="B64" i="217"/>
  <c r="B64" i="200"/>
  <c r="B63" i="201"/>
  <c r="B63" i="202"/>
  <c r="B63" i="203"/>
  <c r="B63" i="204"/>
  <c r="B63" i="205"/>
  <c r="B63" i="206"/>
  <c r="B63" i="207"/>
  <c r="B63" i="208"/>
  <c r="B63" i="209"/>
  <c r="B63" i="210"/>
  <c r="B63" i="211"/>
  <c r="B63" i="212"/>
  <c r="B63" i="213"/>
  <c r="B63" i="214"/>
  <c r="B63" i="215"/>
  <c r="B63" i="216"/>
  <c r="B63" i="217"/>
  <c r="B63" i="200"/>
  <c r="J63" i="179"/>
  <c r="E63"/>
  <c r="E63" i="123"/>
  <c r="G63"/>
  <c r="J63"/>
  <c r="L63"/>
  <c r="O63"/>
  <c r="E64"/>
  <c r="G64"/>
  <c r="J64"/>
  <c r="L64"/>
  <c r="O64"/>
  <c r="C63" i="124"/>
  <c r="E63"/>
  <c r="F63"/>
  <c r="G63"/>
  <c r="J63"/>
  <c r="K63"/>
  <c r="L63"/>
  <c r="O63"/>
  <c r="P63"/>
  <c r="C64"/>
  <c r="F64"/>
  <c r="G64"/>
  <c r="K64"/>
  <c r="L64"/>
  <c r="P64"/>
  <c r="E63" i="176"/>
  <c r="G63"/>
  <c r="J63"/>
  <c r="L63"/>
  <c r="O63"/>
  <c r="E64"/>
  <c r="G64"/>
  <c r="J64"/>
  <c r="L64"/>
  <c r="O64"/>
  <c r="E63" i="177"/>
  <c r="F63"/>
  <c r="G63"/>
  <c r="J63"/>
  <c r="K63"/>
  <c r="L63"/>
  <c r="O63"/>
  <c r="P63"/>
  <c r="F64"/>
  <c r="G64"/>
  <c r="K64"/>
  <c r="L64"/>
  <c r="P64"/>
  <c r="E63" i="178"/>
  <c r="G63"/>
  <c r="J63"/>
  <c r="L63"/>
  <c r="O63"/>
  <c r="E64"/>
  <c r="G64"/>
  <c r="J64"/>
  <c r="L64"/>
  <c r="O64"/>
  <c r="F63" i="179"/>
  <c r="G63"/>
  <c r="K63"/>
  <c r="L63"/>
  <c r="P63"/>
  <c r="F64"/>
  <c r="G64"/>
  <c r="K64"/>
  <c r="L64"/>
  <c r="P64"/>
  <c r="E63" i="180"/>
  <c r="G63"/>
  <c r="J63"/>
  <c r="L63"/>
  <c r="O63"/>
  <c r="E64"/>
  <c r="G64"/>
  <c r="J64"/>
  <c r="L64"/>
  <c r="O64"/>
  <c r="E63" i="181"/>
  <c r="F63"/>
  <c r="G63"/>
  <c r="J63"/>
  <c r="K63"/>
  <c r="L63"/>
  <c r="O63"/>
  <c r="P63"/>
  <c r="F64"/>
  <c r="G64"/>
  <c r="K64"/>
  <c r="L64"/>
  <c r="P64"/>
  <c r="E63" i="182"/>
  <c r="G63"/>
  <c r="J63"/>
  <c r="L63"/>
  <c r="O63"/>
  <c r="E64"/>
  <c r="G64"/>
  <c r="J64"/>
  <c r="L64"/>
  <c r="O64"/>
  <c r="E63" i="183"/>
  <c r="F63"/>
  <c r="G63"/>
  <c r="J63"/>
  <c r="K63"/>
  <c r="L63"/>
  <c r="O63"/>
  <c r="P63"/>
  <c r="F64"/>
  <c r="G64"/>
  <c r="K64"/>
  <c r="L64"/>
  <c r="P64"/>
  <c r="B64" i="123"/>
  <c r="B64" i="124"/>
  <c r="B64" i="176"/>
  <c r="B64" i="177"/>
  <c r="B64" i="178"/>
  <c r="B64" i="179"/>
  <c r="B64" i="180"/>
  <c r="B64" i="181"/>
  <c r="B64" i="182"/>
  <c r="B64" i="183"/>
  <c r="B63" i="123"/>
  <c r="B63" i="124"/>
  <c r="B63" i="176"/>
  <c r="B63" i="177"/>
  <c r="B63" i="178"/>
  <c r="B63" i="179"/>
  <c r="B63" i="180"/>
  <c r="B63" i="181"/>
  <c r="B63" i="182"/>
  <c r="B63" i="183"/>
  <c r="A151" i="165"/>
  <c r="A150"/>
  <c r="B78" i="255"/>
  <c r="D78"/>
  <c r="C78"/>
  <c r="D77"/>
  <c r="C77"/>
  <c r="B77"/>
  <c r="B76"/>
  <c r="B75"/>
  <c r="B74"/>
  <c r="B73"/>
  <c r="B78" i="254"/>
  <c r="B73"/>
  <c r="B74"/>
  <c r="D78"/>
  <c r="C78"/>
  <c r="D77"/>
  <c r="C77"/>
  <c r="B77"/>
  <c r="B76"/>
  <c r="B75"/>
  <c r="C23" i="291" l="1"/>
  <c r="AB47" i="258" s="1"/>
  <c r="G24" i="292"/>
  <c r="AR37" i="258" s="1"/>
  <c r="G22" i="292"/>
  <c r="AR15" i="258" s="1"/>
  <c r="G23" i="292"/>
  <c r="AR26" i="258" s="1"/>
  <c r="C22" i="291"/>
  <c r="AB36" i="258" s="1"/>
  <c r="C20" i="291"/>
  <c r="AB14" i="258" s="1"/>
  <c r="C21" i="290"/>
  <c r="AB24" i="258" s="1"/>
  <c r="C20" i="289"/>
  <c r="AB12" i="258" s="1"/>
  <c r="C21" i="291"/>
  <c r="AB25" i="258" s="1"/>
  <c r="C23" i="290"/>
  <c r="AB46" i="258" s="1"/>
  <c r="C21" i="281"/>
  <c r="AB15" i="258" s="1"/>
  <c r="C20" i="281"/>
  <c r="AB4" i="258" s="1"/>
  <c r="AC19"/>
  <c r="AD19"/>
  <c r="C23" i="286"/>
  <c r="AB42" i="258" s="1"/>
  <c r="AB31"/>
  <c r="C23" i="281"/>
  <c r="AB37" i="258" s="1"/>
  <c r="C22" i="281"/>
  <c r="AB26" i="258" s="1"/>
  <c r="C22" i="287"/>
  <c r="AB32" i="258" s="1"/>
  <c r="C23" i="287"/>
  <c r="AB43" i="258" s="1"/>
  <c r="A75" i="165"/>
  <c r="A74"/>
  <c r="B6" i="233"/>
  <c r="C6"/>
  <c r="D6"/>
  <c r="E6"/>
  <c r="B7"/>
  <c r="C7"/>
  <c r="D7"/>
  <c r="E7"/>
  <c r="B8"/>
  <c r="C8"/>
  <c r="D8"/>
  <c r="E8"/>
  <c r="B9"/>
  <c r="C9"/>
  <c r="D9"/>
  <c r="E9"/>
  <c r="B10"/>
  <c r="C10"/>
  <c r="D10"/>
  <c r="E10"/>
  <c r="B11"/>
  <c r="C11"/>
  <c r="D11"/>
  <c r="E11"/>
  <c r="B12"/>
  <c r="C12"/>
  <c r="D12"/>
  <c r="E12"/>
  <c r="B13"/>
  <c r="C13"/>
  <c r="D13"/>
  <c r="E13"/>
  <c r="B14"/>
  <c r="C14"/>
  <c r="D14"/>
  <c r="E14"/>
  <c r="B15"/>
  <c r="C15"/>
  <c r="D15"/>
  <c r="E15"/>
  <c r="B16"/>
  <c r="C16"/>
  <c r="D16"/>
  <c r="E16"/>
  <c r="B17"/>
  <c r="C17"/>
  <c r="D17"/>
  <c r="E17"/>
  <c r="B18"/>
  <c r="C18"/>
  <c r="D18"/>
  <c r="E18"/>
  <c r="B19"/>
  <c r="C19"/>
  <c r="D19"/>
  <c r="E19"/>
  <c r="B20"/>
  <c r="C20"/>
  <c r="D20"/>
  <c r="E20"/>
  <c r="B21"/>
  <c r="C21"/>
  <c r="D21"/>
  <c r="E21"/>
  <c r="B22"/>
  <c r="C22"/>
  <c r="D22"/>
  <c r="E22"/>
  <c r="B23"/>
  <c r="C23"/>
  <c r="D23"/>
  <c r="E23"/>
  <c r="B24"/>
  <c r="D24"/>
  <c r="E24"/>
  <c r="B25"/>
  <c r="C25"/>
  <c r="D25"/>
  <c r="E25"/>
  <c r="B26"/>
  <c r="C26"/>
  <c r="D26"/>
  <c r="E26"/>
  <c r="B27"/>
  <c r="C27"/>
  <c r="D27"/>
  <c r="E27"/>
  <c r="B28"/>
  <c r="C28"/>
  <c r="D28"/>
  <c r="E28"/>
  <c r="B29"/>
  <c r="C29"/>
  <c r="D29"/>
  <c r="E29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B48"/>
  <c r="C48"/>
  <c r="D48"/>
  <c r="E48"/>
  <c r="B49"/>
  <c r="C49"/>
  <c r="D49"/>
  <c r="E49"/>
  <c r="B50"/>
  <c r="C50"/>
  <c r="D50"/>
  <c r="E50"/>
  <c r="B51"/>
  <c r="C51"/>
  <c r="C61" s="1"/>
  <c r="D51"/>
  <c r="E51"/>
  <c r="E61" s="1"/>
  <c r="B52"/>
  <c r="C52"/>
  <c r="D52"/>
  <c r="E52"/>
  <c r="B53"/>
  <c r="C53"/>
  <c r="D53"/>
  <c r="E53"/>
  <c r="B54"/>
  <c r="C54"/>
  <c r="D54"/>
  <c r="E54"/>
  <c r="B55"/>
  <c r="C55"/>
  <c r="D55"/>
  <c r="E55"/>
  <c r="B56"/>
  <c r="C56"/>
  <c r="D56"/>
  <c r="E56"/>
  <c r="B57"/>
  <c r="B63" s="1"/>
  <c r="C57"/>
  <c r="C63" s="1"/>
  <c r="D57"/>
  <c r="D62" s="1"/>
  <c r="E57"/>
  <c r="E63" s="1"/>
  <c r="C5"/>
  <c r="D5"/>
  <c r="D60" s="1"/>
  <c r="E5"/>
  <c r="E60" s="1"/>
  <c r="B5"/>
  <c r="B6" i="232"/>
  <c r="C6"/>
  <c r="D6"/>
  <c r="E6"/>
  <c r="B7"/>
  <c r="C7"/>
  <c r="D7"/>
  <c r="E7"/>
  <c r="B8"/>
  <c r="C8"/>
  <c r="D8"/>
  <c r="E8"/>
  <c r="B9"/>
  <c r="C9"/>
  <c r="D9"/>
  <c r="E9"/>
  <c r="B10"/>
  <c r="C10"/>
  <c r="D10"/>
  <c r="E10"/>
  <c r="B11"/>
  <c r="C11"/>
  <c r="D11"/>
  <c r="E11"/>
  <c r="B12"/>
  <c r="C12"/>
  <c r="D12"/>
  <c r="E12"/>
  <c r="B13"/>
  <c r="C13"/>
  <c r="D13"/>
  <c r="E13"/>
  <c r="B14"/>
  <c r="C14"/>
  <c r="D14"/>
  <c r="E14"/>
  <c r="B15"/>
  <c r="C15"/>
  <c r="D15"/>
  <c r="E15"/>
  <c r="B16"/>
  <c r="C16"/>
  <c r="D16"/>
  <c r="E16"/>
  <c r="B17"/>
  <c r="C17"/>
  <c r="D17"/>
  <c r="E17"/>
  <c r="B18"/>
  <c r="C18"/>
  <c r="D18"/>
  <c r="E18"/>
  <c r="B19"/>
  <c r="C19"/>
  <c r="D19"/>
  <c r="E19"/>
  <c r="B20"/>
  <c r="C20"/>
  <c r="D20"/>
  <c r="E20"/>
  <c r="B21"/>
  <c r="C21"/>
  <c r="D21"/>
  <c r="E21"/>
  <c r="B22"/>
  <c r="C22"/>
  <c r="D22"/>
  <c r="E22"/>
  <c r="B23"/>
  <c r="C23"/>
  <c r="D23"/>
  <c r="E23"/>
  <c r="B24"/>
  <c r="D24"/>
  <c r="E24"/>
  <c r="B25"/>
  <c r="C25"/>
  <c r="D25"/>
  <c r="E25"/>
  <c r="B26"/>
  <c r="C26"/>
  <c r="D26"/>
  <c r="E26"/>
  <c r="B27"/>
  <c r="C27"/>
  <c r="D27"/>
  <c r="E27"/>
  <c r="B28"/>
  <c r="C28"/>
  <c r="D28"/>
  <c r="E28"/>
  <c r="B29"/>
  <c r="C29"/>
  <c r="D29"/>
  <c r="E29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B48"/>
  <c r="C48"/>
  <c r="D48"/>
  <c r="E48"/>
  <c r="B49"/>
  <c r="C49"/>
  <c r="D49"/>
  <c r="E49"/>
  <c r="B50"/>
  <c r="C50"/>
  <c r="D50"/>
  <c r="E50"/>
  <c r="B51"/>
  <c r="C51"/>
  <c r="D51"/>
  <c r="E51"/>
  <c r="E61" s="1"/>
  <c r="B52"/>
  <c r="C52"/>
  <c r="D52"/>
  <c r="E52"/>
  <c r="B53"/>
  <c r="C53"/>
  <c r="D53"/>
  <c r="E53"/>
  <c r="B54"/>
  <c r="C54"/>
  <c r="D54"/>
  <c r="E54"/>
  <c r="B55"/>
  <c r="C55"/>
  <c r="D55"/>
  <c r="E55"/>
  <c r="B56"/>
  <c r="C56"/>
  <c r="D56"/>
  <c r="E56"/>
  <c r="B57"/>
  <c r="B62" s="1"/>
  <c r="C57"/>
  <c r="C63" s="1"/>
  <c r="D57"/>
  <c r="E57"/>
  <c r="C5"/>
  <c r="D5"/>
  <c r="D60" s="1"/>
  <c r="E5"/>
  <c r="B5"/>
  <c r="D63" i="233"/>
  <c r="E62"/>
  <c r="D61"/>
  <c r="E63" i="232"/>
  <c r="D63"/>
  <c r="E62"/>
  <c r="D62"/>
  <c r="D61"/>
  <c r="C61"/>
  <c r="E60"/>
  <c r="A63" i="165"/>
  <c r="A62"/>
  <c r="A61"/>
  <c r="A60"/>
  <c r="B5" i="230"/>
  <c r="C5"/>
  <c r="R22" s="1"/>
  <c r="D5"/>
  <c r="F5"/>
  <c r="G5"/>
  <c r="H5"/>
  <c r="I5"/>
  <c r="J5"/>
  <c r="K5"/>
  <c r="L5"/>
  <c r="T22" s="1"/>
  <c r="M5"/>
  <c r="B6"/>
  <c r="C6"/>
  <c r="D6"/>
  <c r="F6"/>
  <c r="G6"/>
  <c r="H6"/>
  <c r="S23" s="1"/>
  <c r="I6"/>
  <c r="J6"/>
  <c r="K6"/>
  <c r="L6"/>
  <c r="T23" s="1"/>
  <c r="M6"/>
  <c r="B7"/>
  <c r="C7"/>
  <c r="R24" s="1"/>
  <c r="D7"/>
  <c r="F7"/>
  <c r="G7"/>
  <c r="H7"/>
  <c r="I7"/>
  <c r="J7"/>
  <c r="K7"/>
  <c r="L7"/>
  <c r="M7"/>
  <c r="B8"/>
  <c r="C8"/>
  <c r="D8"/>
  <c r="F8"/>
  <c r="G8"/>
  <c r="H8"/>
  <c r="I8"/>
  <c r="J8"/>
  <c r="K8"/>
  <c r="L8"/>
  <c r="M8"/>
  <c r="B9"/>
  <c r="C9"/>
  <c r="D9"/>
  <c r="F9"/>
  <c r="G9"/>
  <c r="H9"/>
  <c r="I9"/>
  <c r="J9"/>
  <c r="K9"/>
  <c r="L9"/>
  <c r="T26" s="1"/>
  <c r="M9"/>
  <c r="B10"/>
  <c r="C10"/>
  <c r="R27" s="1"/>
  <c r="D10"/>
  <c r="F10"/>
  <c r="G10"/>
  <c r="G20" s="1"/>
  <c r="H10"/>
  <c r="S10" s="1"/>
  <c r="I10"/>
  <c r="J10"/>
  <c r="K10"/>
  <c r="K20" s="1"/>
  <c r="L10"/>
  <c r="T27" s="1"/>
  <c r="M10"/>
  <c r="B11"/>
  <c r="C11"/>
  <c r="D11"/>
  <c r="F11"/>
  <c r="G11"/>
  <c r="H11"/>
  <c r="S28" s="1"/>
  <c r="I11"/>
  <c r="J11"/>
  <c r="K11"/>
  <c r="L11"/>
  <c r="T11" s="1"/>
  <c r="M11"/>
  <c r="B12"/>
  <c r="C12"/>
  <c r="D12"/>
  <c r="F12"/>
  <c r="G12"/>
  <c r="H12"/>
  <c r="I12"/>
  <c r="J12"/>
  <c r="K12"/>
  <c r="L12"/>
  <c r="M12"/>
  <c r="B13"/>
  <c r="C13"/>
  <c r="R30" s="1"/>
  <c r="D13"/>
  <c r="F13"/>
  <c r="G13"/>
  <c r="H13"/>
  <c r="I13"/>
  <c r="J13"/>
  <c r="K13"/>
  <c r="L13"/>
  <c r="M13"/>
  <c r="B14"/>
  <c r="C14"/>
  <c r="R31" s="1"/>
  <c r="D14"/>
  <c r="F14"/>
  <c r="G14"/>
  <c r="H14"/>
  <c r="S31" s="1"/>
  <c r="I14"/>
  <c r="J14"/>
  <c r="K14"/>
  <c r="L14"/>
  <c r="T14" s="1"/>
  <c r="M14"/>
  <c r="B15"/>
  <c r="C15"/>
  <c r="D15"/>
  <c r="F15"/>
  <c r="G15"/>
  <c r="H15"/>
  <c r="S32" s="1"/>
  <c r="I15"/>
  <c r="J15"/>
  <c r="K15"/>
  <c r="L15"/>
  <c r="T15" s="1"/>
  <c r="M15"/>
  <c r="U32" s="1"/>
  <c r="B16"/>
  <c r="C16"/>
  <c r="C21" s="1"/>
  <c r="D16"/>
  <c r="D21" s="1"/>
  <c r="F16"/>
  <c r="G16"/>
  <c r="H16"/>
  <c r="I16"/>
  <c r="J16"/>
  <c r="K16"/>
  <c r="L16"/>
  <c r="M16"/>
  <c r="C4"/>
  <c r="F4"/>
  <c r="G4"/>
  <c r="H4"/>
  <c r="I4"/>
  <c r="J4"/>
  <c r="K4"/>
  <c r="L4"/>
  <c r="M4"/>
  <c r="B4"/>
  <c r="B5" i="229"/>
  <c r="C5"/>
  <c r="D5"/>
  <c r="E5"/>
  <c r="F5"/>
  <c r="G5"/>
  <c r="S24" s="1"/>
  <c r="H5"/>
  <c r="I5"/>
  <c r="J5"/>
  <c r="K5"/>
  <c r="T24" s="1"/>
  <c r="L5"/>
  <c r="M5"/>
  <c r="B6"/>
  <c r="Q25" s="1"/>
  <c r="C6"/>
  <c r="D6"/>
  <c r="E6"/>
  <c r="F6"/>
  <c r="G6"/>
  <c r="H6"/>
  <c r="I6"/>
  <c r="J6"/>
  <c r="K6"/>
  <c r="T7" s="1"/>
  <c r="L6"/>
  <c r="M6"/>
  <c r="B7"/>
  <c r="C7"/>
  <c r="D7"/>
  <c r="E7"/>
  <c r="F7"/>
  <c r="F24" s="1"/>
  <c r="G7"/>
  <c r="H7"/>
  <c r="I7"/>
  <c r="J7"/>
  <c r="J24" s="1"/>
  <c r="K7"/>
  <c r="L7"/>
  <c r="M7"/>
  <c r="B8"/>
  <c r="C8"/>
  <c r="D8"/>
  <c r="E8"/>
  <c r="F8"/>
  <c r="G8"/>
  <c r="H8"/>
  <c r="I8"/>
  <c r="J8"/>
  <c r="K8"/>
  <c r="T27" s="1"/>
  <c r="L8"/>
  <c r="M8"/>
  <c r="B9"/>
  <c r="C9"/>
  <c r="D9"/>
  <c r="E9"/>
  <c r="F9"/>
  <c r="G9"/>
  <c r="H9"/>
  <c r="I9"/>
  <c r="J9"/>
  <c r="K9"/>
  <c r="L9"/>
  <c r="M9"/>
  <c r="B10"/>
  <c r="Q29" s="1"/>
  <c r="C10"/>
  <c r="D10"/>
  <c r="E10"/>
  <c r="F10"/>
  <c r="G10"/>
  <c r="H10"/>
  <c r="I10"/>
  <c r="J10"/>
  <c r="K10"/>
  <c r="L10"/>
  <c r="M10"/>
  <c r="B11"/>
  <c r="Q12" s="1"/>
  <c r="C11"/>
  <c r="D11"/>
  <c r="E11"/>
  <c r="F11"/>
  <c r="G11"/>
  <c r="H11"/>
  <c r="I11"/>
  <c r="J11"/>
  <c r="K11"/>
  <c r="T12" s="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Q32" s="1"/>
  <c r="C14"/>
  <c r="R32" s="1"/>
  <c r="D14"/>
  <c r="E14"/>
  <c r="F14"/>
  <c r="G14"/>
  <c r="G25" s="1"/>
  <c r="H14"/>
  <c r="I14"/>
  <c r="J14"/>
  <c r="J25" s="1"/>
  <c r="K14"/>
  <c r="T15" s="1"/>
  <c r="L14"/>
  <c r="M14"/>
  <c r="B15"/>
  <c r="Q16" s="1"/>
  <c r="C15"/>
  <c r="D15"/>
  <c r="E15"/>
  <c r="F15"/>
  <c r="G15"/>
  <c r="H15"/>
  <c r="I15"/>
  <c r="J15"/>
  <c r="K15"/>
  <c r="T16" s="1"/>
  <c r="L15"/>
  <c r="M15"/>
  <c r="B16"/>
  <c r="C16"/>
  <c r="D16"/>
  <c r="E16"/>
  <c r="F16"/>
  <c r="G16"/>
  <c r="H16"/>
  <c r="I16"/>
  <c r="J16"/>
  <c r="K16"/>
  <c r="L16"/>
  <c r="M16"/>
  <c r="B17"/>
  <c r="C17"/>
  <c r="R35" s="1"/>
  <c r="D17"/>
  <c r="E17"/>
  <c r="F17"/>
  <c r="G17"/>
  <c r="H17"/>
  <c r="I17"/>
  <c r="J17"/>
  <c r="K17"/>
  <c r="L17"/>
  <c r="M17"/>
  <c r="B18"/>
  <c r="Q36" s="1"/>
  <c r="C18"/>
  <c r="D18"/>
  <c r="E18"/>
  <c r="F18"/>
  <c r="G18"/>
  <c r="H18"/>
  <c r="I18"/>
  <c r="J18"/>
  <c r="K18"/>
  <c r="L18"/>
  <c r="M18"/>
  <c r="B19"/>
  <c r="B27" s="1"/>
  <c r="C19"/>
  <c r="C26" s="1"/>
  <c r="D19"/>
  <c r="E19"/>
  <c r="F19"/>
  <c r="G19"/>
  <c r="H19"/>
  <c r="I19"/>
  <c r="J19"/>
  <c r="K19"/>
  <c r="L19"/>
  <c r="M19"/>
  <c r="M4"/>
  <c r="C4"/>
  <c r="D4"/>
  <c r="E4"/>
  <c r="F4"/>
  <c r="G4"/>
  <c r="H4"/>
  <c r="I4"/>
  <c r="J4"/>
  <c r="K4"/>
  <c r="L4"/>
  <c r="U6" s="1"/>
  <c r="B4"/>
  <c r="B5" i="228"/>
  <c r="C5"/>
  <c r="D5"/>
  <c r="E5"/>
  <c r="F5"/>
  <c r="G5"/>
  <c r="H5"/>
  <c r="I5"/>
  <c r="J5"/>
  <c r="K5"/>
  <c r="L5"/>
  <c r="M5"/>
  <c r="B6"/>
  <c r="C6"/>
  <c r="D6"/>
  <c r="E6"/>
  <c r="F6"/>
  <c r="G6"/>
  <c r="S7" s="1"/>
  <c r="H6"/>
  <c r="I6"/>
  <c r="J6"/>
  <c r="K6"/>
  <c r="L6"/>
  <c r="M6"/>
  <c r="B7"/>
  <c r="C7"/>
  <c r="D7"/>
  <c r="E7"/>
  <c r="F7"/>
  <c r="G7"/>
  <c r="S8" s="1"/>
  <c r="H7"/>
  <c r="I7"/>
  <c r="J7"/>
  <c r="K7"/>
  <c r="T26" s="1"/>
  <c r="L7"/>
  <c r="U8" s="1"/>
  <c r="M7"/>
  <c r="B8"/>
  <c r="C8"/>
  <c r="D8"/>
  <c r="E8"/>
  <c r="F8"/>
  <c r="G8"/>
  <c r="S9" s="1"/>
  <c r="H8"/>
  <c r="I8"/>
  <c r="J8"/>
  <c r="K8"/>
  <c r="T27" s="1"/>
  <c r="L8"/>
  <c r="M8"/>
  <c r="B9"/>
  <c r="Q28" s="1"/>
  <c r="C9"/>
  <c r="D9"/>
  <c r="E9"/>
  <c r="F9"/>
  <c r="G9"/>
  <c r="S28" s="1"/>
  <c r="H9"/>
  <c r="I9"/>
  <c r="J9"/>
  <c r="K9"/>
  <c r="T28" s="1"/>
  <c r="L9"/>
  <c r="M9"/>
  <c r="B10"/>
  <c r="C10"/>
  <c r="D10"/>
  <c r="E10"/>
  <c r="F10"/>
  <c r="G10"/>
  <c r="H10"/>
  <c r="I10"/>
  <c r="J10"/>
  <c r="K10"/>
  <c r="L10"/>
  <c r="U11" s="1"/>
  <c r="M10"/>
  <c r="B11"/>
  <c r="C11"/>
  <c r="D11"/>
  <c r="E11"/>
  <c r="F11"/>
  <c r="G11"/>
  <c r="S12" s="1"/>
  <c r="H11"/>
  <c r="I11"/>
  <c r="J11"/>
  <c r="K11"/>
  <c r="L11"/>
  <c r="M11"/>
  <c r="B12"/>
  <c r="C12"/>
  <c r="D12"/>
  <c r="E12"/>
  <c r="F12"/>
  <c r="G12"/>
  <c r="S30" s="1"/>
  <c r="H12"/>
  <c r="I12"/>
  <c r="J12"/>
  <c r="K12"/>
  <c r="T13" s="1"/>
  <c r="L12"/>
  <c r="M12"/>
  <c r="B13"/>
  <c r="C13"/>
  <c r="D13"/>
  <c r="E13"/>
  <c r="F13"/>
  <c r="G13"/>
  <c r="S14" s="1"/>
  <c r="H13"/>
  <c r="I13"/>
  <c r="J13"/>
  <c r="K13"/>
  <c r="T31" s="1"/>
  <c r="L13"/>
  <c r="M13"/>
  <c r="B14"/>
  <c r="C14"/>
  <c r="R32" s="1"/>
  <c r="D14"/>
  <c r="E14"/>
  <c r="F14"/>
  <c r="F25" s="1"/>
  <c r="G14"/>
  <c r="S15" s="1"/>
  <c r="H14"/>
  <c r="I14"/>
  <c r="J14"/>
  <c r="J25" s="1"/>
  <c r="K14"/>
  <c r="K25" s="1"/>
  <c r="L14"/>
  <c r="M14"/>
  <c r="B15"/>
  <c r="C15"/>
  <c r="R16" s="1"/>
  <c r="D15"/>
  <c r="E15"/>
  <c r="F15"/>
  <c r="G15"/>
  <c r="S33" s="1"/>
  <c r="H15"/>
  <c r="I15"/>
  <c r="J15"/>
  <c r="K15"/>
  <c r="T33" s="1"/>
  <c r="L15"/>
  <c r="M15"/>
  <c r="B16"/>
  <c r="C16"/>
  <c r="D16"/>
  <c r="E16"/>
  <c r="F16"/>
  <c r="G16"/>
  <c r="S34" s="1"/>
  <c r="H16"/>
  <c r="I16"/>
  <c r="J16"/>
  <c r="K16"/>
  <c r="T34" s="1"/>
  <c r="L16"/>
  <c r="M16"/>
  <c r="B17"/>
  <c r="C17"/>
  <c r="D17"/>
  <c r="E17"/>
  <c r="F17"/>
  <c r="G17"/>
  <c r="H17"/>
  <c r="I17"/>
  <c r="J17"/>
  <c r="K17"/>
  <c r="T18" s="1"/>
  <c r="L17"/>
  <c r="M17"/>
  <c r="B18"/>
  <c r="C18"/>
  <c r="D18"/>
  <c r="E18"/>
  <c r="F18"/>
  <c r="G18"/>
  <c r="S19" s="1"/>
  <c r="H18"/>
  <c r="I18"/>
  <c r="J18"/>
  <c r="K18"/>
  <c r="L18"/>
  <c r="M18"/>
  <c r="B19"/>
  <c r="C19"/>
  <c r="R37" s="1"/>
  <c r="D19"/>
  <c r="E19"/>
  <c r="F19"/>
  <c r="G19"/>
  <c r="H19"/>
  <c r="H26" s="1"/>
  <c r="I19"/>
  <c r="J19"/>
  <c r="K19"/>
  <c r="T20" s="1"/>
  <c r="L19"/>
  <c r="L26" s="1"/>
  <c r="M19"/>
  <c r="C4"/>
  <c r="D4"/>
  <c r="E4"/>
  <c r="F4"/>
  <c r="G4"/>
  <c r="H4"/>
  <c r="I4"/>
  <c r="J4"/>
  <c r="K4"/>
  <c r="L4"/>
  <c r="M4"/>
  <c r="B4"/>
  <c r="B5" i="231"/>
  <c r="C5"/>
  <c r="E5"/>
  <c r="F5"/>
  <c r="G5"/>
  <c r="H5"/>
  <c r="I5"/>
  <c r="J5"/>
  <c r="K5"/>
  <c r="T23" s="1"/>
  <c r="L5"/>
  <c r="U23" s="1"/>
  <c r="M5"/>
  <c r="B6"/>
  <c r="C6"/>
  <c r="R24" s="1"/>
  <c r="F6"/>
  <c r="G6"/>
  <c r="H6"/>
  <c r="I6"/>
  <c r="J6"/>
  <c r="K6"/>
  <c r="L6"/>
  <c r="M6"/>
  <c r="B7"/>
  <c r="C7"/>
  <c r="E7"/>
  <c r="F7"/>
  <c r="G7"/>
  <c r="S25" s="1"/>
  <c r="H7"/>
  <c r="I7"/>
  <c r="J7"/>
  <c r="K7"/>
  <c r="T25" s="1"/>
  <c r="L7"/>
  <c r="M7"/>
  <c r="B8"/>
  <c r="C8"/>
  <c r="R9" s="1"/>
  <c r="E8"/>
  <c r="F8"/>
  <c r="G8"/>
  <c r="H8"/>
  <c r="I8"/>
  <c r="J8"/>
  <c r="K8"/>
  <c r="T26" s="1"/>
  <c r="L8"/>
  <c r="M8"/>
  <c r="B9"/>
  <c r="C9"/>
  <c r="R27" s="1"/>
  <c r="E9"/>
  <c r="F9"/>
  <c r="G9"/>
  <c r="H9"/>
  <c r="I9"/>
  <c r="J9"/>
  <c r="K9"/>
  <c r="L9"/>
  <c r="U27" s="1"/>
  <c r="M9"/>
  <c r="B10"/>
  <c r="C10"/>
  <c r="E10"/>
  <c r="F10"/>
  <c r="G10"/>
  <c r="S11" s="1"/>
  <c r="H10"/>
  <c r="I10"/>
  <c r="J10"/>
  <c r="K10"/>
  <c r="L10"/>
  <c r="M10"/>
  <c r="B11"/>
  <c r="C11"/>
  <c r="E11"/>
  <c r="F11"/>
  <c r="G11"/>
  <c r="S29" s="1"/>
  <c r="H11"/>
  <c r="I11"/>
  <c r="J11"/>
  <c r="K11"/>
  <c r="T29" s="1"/>
  <c r="L11"/>
  <c r="M11"/>
  <c r="V29" s="1"/>
  <c r="B12"/>
  <c r="C12"/>
  <c r="R30" s="1"/>
  <c r="E12"/>
  <c r="F12"/>
  <c r="G12"/>
  <c r="S30" s="1"/>
  <c r="H12"/>
  <c r="I12"/>
  <c r="J12"/>
  <c r="K12"/>
  <c r="L12"/>
  <c r="U13" s="1"/>
  <c r="M12"/>
  <c r="B13"/>
  <c r="C13"/>
  <c r="R31" s="1"/>
  <c r="E13"/>
  <c r="F13"/>
  <c r="G13"/>
  <c r="H13"/>
  <c r="I13"/>
  <c r="J13"/>
  <c r="K13"/>
  <c r="T14" s="1"/>
  <c r="L13"/>
  <c r="M13"/>
  <c r="B14"/>
  <c r="C14"/>
  <c r="E14"/>
  <c r="F14"/>
  <c r="G14"/>
  <c r="H14"/>
  <c r="I14"/>
  <c r="J14"/>
  <c r="K14"/>
  <c r="L14"/>
  <c r="M14"/>
  <c r="B15"/>
  <c r="C15"/>
  <c r="E15"/>
  <c r="F15"/>
  <c r="G15"/>
  <c r="S33" s="1"/>
  <c r="H15"/>
  <c r="I15"/>
  <c r="J15"/>
  <c r="K15"/>
  <c r="T33" s="1"/>
  <c r="L15"/>
  <c r="M15"/>
  <c r="B16"/>
  <c r="C16"/>
  <c r="C22" s="1"/>
  <c r="E16"/>
  <c r="F16"/>
  <c r="G16"/>
  <c r="H16"/>
  <c r="H21" s="1"/>
  <c r="I16"/>
  <c r="J16"/>
  <c r="K16"/>
  <c r="L16"/>
  <c r="M16"/>
  <c r="C4"/>
  <c r="E4"/>
  <c r="F4"/>
  <c r="G4"/>
  <c r="H4"/>
  <c r="H22" s="1"/>
  <c r="I4"/>
  <c r="I22" s="1"/>
  <c r="J4"/>
  <c r="K4"/>
  <c r="L4"/>
  <c r="M4"/>
  <c r="B4"/>
  <c r="R33"/>
  <c r="P32"/>
  <c r="P31"/>
  <c r="U28"/>
  <c r="Q28"/>
  <c r="P28"/>
  <c r="P27"/>
  <c r="S26"/>
  <c r="V21"/>
  <c r="U21"/>
  <c r="T21"/>
  <c r="S21"/>
  <c r="R21"/>
  <c r="Q21"/>
  <c r="P21"/>
  <c r="V20"/>
  <c r="U20"/>
  <c r="T20"/>
  <c r="S20"/>
  <c r="R20"/>
  <c r="Q20"/>
  <c r="P20"/>
  <c r="P16"/>
  <c r="L21"/>
  <c r="Q33"/>
  <c r="P33"/>
  <c r="V32"/>
  <c r="V31"/>
  <c r="U31"/>
  <c r="P15"/>
  <c r="P12"/>
  <c r="V13"/>
  <c r="T30"/>
  <c r="Q30"/>
  <c r="V11"/>
  <c r="Q29"/>
  <c r="P29"/>
  <c r="V28"/>
  <c r="J20"/>
  <c r="F20"/>
  <c r="U9"/>
  <c r="V27"/>
  <c r="T10"/>
  <c r="P11"/>
  <c r="P8"/>
  <c r="U26"/>
  <c r="Q26"/>
  <c r="S7"/>
  <c r="Q25"/>
  <c r="P25"/>
  <c r="V24"/>
  <c r="P5"/>
  <c r="V6"/>
  <c r="R23"/>
  <c r="Q23"/>
  <c r="P6"/>
  <c r="V4"/>
  <c r="U4"/>
  <c r="T4"/>
  <c r="S4"/>
  <c r="R4"/>
  <c r="Q4"/>
  <c r="P4"/>
  <c r="U5"/>
  <c r="T5"/>
  <c r="S22"/>
  <c r="Q22"/>
  <c r="P22"/>
  <c r="V33" i="230"/>
  <c r="V32"/>
  <c r="V31"/>
  <c r="T31"/>
  <c r="P31"/>
  <c r="V30"/>
  <c r="S30"/>
  <c r="V29"/>
  <c r="V28"/>
  <c r="U28"/>
  <c r="V27"/>
  <c r="P27"/>
  <c r="V26"/>
  <c r="S26"/>
  <c r="V25"/>
  <c r="V24"/>
  <c r="U24"/>
  <c r="V23"/>
  <c r="P23"/>
  <c r="V22"/>
  <c r="V21"/>
  <c r="U21"/>
  <c r="T21"/>
  <c r="S21"/>
  <c r="R21"/>
  <c r="Q21"/>
  <c r="P21"/>
  <c r="V20"/>
  <c r="U20"/>
  <c r="T20"/>
  <c r="S20"/>
  <c r="R20"/>
  <c r="Q20"/>
  <c r="P20"/>
  <c r="V16"/>
  <c r="M21"/>
  <c r="I21"/>
  <c r="V15"/>
  <c r="U15"/>
  <c r="R32"/>
  <c r="P33"/>
  <c r="V14"/>
  <c r="P14"/>
  <c r="U31"/>
  <c r="Q32"/>
  <c r="V13"/>
  <c r="T30"/>
  <c r="Q31"/>
  <c r="V12"/>
  <c r="U29"/>
  <c r="P30"/>
  <c r="V11"/>
  <c r="U11"/>
  <c r="R28"/>
  <c r="P13"/>
  <c r="V10"/>
  <c r="P10"/>
  <c r="U27"/>
  <c r="J21"/>
  <c r="S27"/>
  <c r="F21"/>
  <c r="Q28"/>
  <c r="V9"/>
  <c r="R26"/>
  <c r="Q27"/>
  <c r="V8"/>
  <c r="U25"/>
  <c r="R25"/>
  <c r="P26"/>
  <c r="V7"/>
  <c r="U7"/>
  <c r="T24"/>
  <c r="S24"/>
  <c r="P9"/>
  <c r="V6"/>
  <c r="P6"/>
  <c r="U23"/>
  <c r="R23"/>
  <c r="Q24"/>
  <c r="V5"/>
  <c r="S6"/>
  <c r="Q23"/>
  <c r="V4"/>
  <c r="U4"/>
  <c r="T4"/>
  <c r="S4"/>
  <c r="R4"/>
  <c r="Q4"/>
  <c r="P4"/>
  <c r="J22"/>
  <c r="F22"/>
  <c r="C20"/>
  <c r="P22"/>
  <c r="P37" i="229"/>
  <c r="U34"/>
  <c r="P34"/>
  <c r="P33"/>
  <c r="U30"/>
  <c r="P30"/>
  <c r="P29"/>
  <c r="P26"/>
  <c r="I26"/>
  <c r="P24"/>
  <c r="U19"/>
  <c r="T19"/>
  <c r="P19"/>
  <c r="M26"/>
  <c r="U37"/>
  <c r="K27"/>
  <c r="H26"/>
  <c r="P18"/>
  <c r="P36"/>
  <c r="P17"/>
  <c r="V35"/>
  <c r="U18"/>
  <c r="P35"/>
  <c r="P16"/>
  <c r="U17"/>
  <c r="U15"/>
  <c r="P15"/>
  <c r="U33"/>
  <c r="P14"/>
  <c r="H25"/>
  <c r="F25"/>
  <c r="P32"/>
  <c r="P13"/>
  <c r="V31"/>
  <c r="U31"/>
  <c r="P31"/>
  <c r="P12"/>
  <c r="U13"/>
  <c r="P11"/>
  <c r="U12"/>
  <c r="S12"/>
  <c r="R12"/>
  <c r="P10"/>
  <c r="V11"/>
  <c r="P9"/>
  <c r="U28"/>
  <c r="T11"/>
  <c r="R28"/>
  <c r="P28"/>
  <c r="U8"/>
  <c r="Q8"/>
  <c r="P8"/>
  <c r="U27"/>
  <c r="R9"/>
  <c r="P27"/>
  <c r="U7"/>
  <c r="P7"/>
  <c r="V32"/>
  <c r="U26"/>
  <c r="I24"/>
  <c r="T6"/>
  <c r="P6"/>
  <c r="V7"/>
  <c r="U25"/>
  <c r="P25"/>
  <c r="Q24"/>
  <c r="T35" i="228"/>
  <c r="P34"/>
  <c r="U20"/>
  <c r="P19"/>
  <c r="P18"/>
  <c r="V36"/>
  <c r="P17"/>
  <c r="P35"/>
  <c r="P16"/>
  <c r="P15"/>
  <c r="P14"/>
  <c r="V32"/>
  <c r="U32"/>
  <c r="P13"/>
  <c r="P31"/>
  <c r="P12"/>
  <c r="P30"/>
  <c r="P11"/>
  <c r="P10"/>
  <c r="S11"/>
  <c r="P9"/>
  <c r="R10"/>
  <c r="P8"/>
  <c r="P27"/>
  <c r="P7"/>
  <c r="M24"/>
  <c r="P6"/>
  <c r="U7"/>
  <c r="P25"/>
  <c r="K27"/>
  <c r="A31" i="165"/>
  <c r="A30"/>
  <c r="B18" i="223"/>
  <c r="C18"/>
  <c r="D18"/>
  <c r="H18"/>
  <c r="I18"/>
  <c r="R17" s="1"/>
  <c r="J18"/>
  <c r="B19"/>
  <c r="C19"/>
  <c r="D19"/>
  <c r="H19"/>
  <c r="Q36" s="1"/>
  <c r="I19"/>
  <c r="J19"/>
  <c r="B20"/>
  <c r="N37" s="1"/>
  <c r="C20"/>
  <c r="O41" s="1"/>
  <c r="D20"/>
  <c r="H20"/>
  <c r="I20"/>
  <c r="R41" s="1"/>
  <c r="J20"/>
  <c r="S37" s="1"/>
  <c r="B21"/>
  <c r="C21"/>
  <c r="D21"/>
  <c r="H21"/>
  <c r="I21"/>
  <c r="J21"/>
  <c r="B22"/>
  <c r="C22"/>
  <c r="D22"/>
  <c r="H22"/>
  <c r="I22"/>
  <c r="J22"/>
  <c r="B23"/>
  <c r="C23"/>
  <c r="D23"/>
  <c r="P22" s="1"/>
  <c r="H23"/>
  <c r="I23"/>
  <c r="J23"/>
  <c r="B24"/>
  <c r="N41" s="1"/>
  <c r="D24"/>
  <c r="P41" s="1"/>
  <c r="H24"/>
  <c r="Q41" s="1"/>
  <c r="I24"/>
  <c r="J24"/>
  <c r="S41" s="1"/>
  <c r="B25"/>
  <c r="C25"/>
  <c r="D25"/>
  <c r="H25"/>
  <c r="I25"/>
  <c r="J25"/>
  <c r="B26"/>
  <c r="C26"/>
  <c r="O43" s="1"/>
  <c r="D26"/>
  <c r="P43" s="1"/>
  <c r="H26"/>
  <c r="I26"/>
  <c r="J26"/>
  <c r="B27"/>
  <c r="C27"/>
  <c r="D27"/>
  <c r="D37" s="1"/>
  <c r="E27"/>
  <c r="F27"/>
  <c r="G27"/>
  <c r="H27"/>
  <c r="I27"/>
  <c r="J27"/>
  <c r="B28"/>
  <c r="C28"/>
  <c r="D28"/>
  <c r="E28"/>
  <c r="F28"/>
  <c r="G28"/>
  <c r="H28"/>
  <c r="I28"/>
  <c r="J28"/>
  <c r="B29"/>
  <c r="C29"/>
  <c r="O47" s="1"/>
  <c r="D29"/>
  <c r="P47" s="1"/>
  <c r="E29"/>
  <c r="F29"/>
  <c r="G29"/>
  <c r="H29"/>
  <c r="I29"/>
  <c r="J29"/>
  <c r="B30"/>
  <c r="C30"/>
  <c r="D30"/>
  <c r="E30"/>
  <c r="F30"/>
  <c r="G30"/>
  <c r="H30"/>
  <c r="I30"/>
  <c r="R29" s="1"/>
  <c r="J30"/>
  <c r="S48" s="1"/>
  <c r="B31"/>
  <c r="C31"/>
  <c r="D31"/>
  <c r="E31"/>
  <c r="F31"/>
  <c r="G31"/>
  <c r="H31"/>
  <c r="I31"/>
  <c r="J31"/>
  <c r="B32"/>
  <c r="C32"/>
  <c r="D32"/>
  <c r="E32"/>
  <c r="F32"/>
  <c r="G32"/>
  <c r="H32"/>
  <c r="I32"/>
  <c r="J32"/>
  <c r="B33"/>
  <c r="C33"/>
  <c r="C39" s="1"/>
  <c r="D33"/>
  <c r="E33"/>
  <c r="F33"/>
  <c r="G33"/>
  <c r="H33"/>
  <c r="H39" s="1"/>
  <c r="I33"/>
  <c r="J33"/>
  <c r="C17"/>
  <c r="O17" s="1"/>
  <c r="D17"/>
  <c r="P17" s="1"/>
  <c r="H17"/>
  <c r="I17"/>
  <c r="J17"/>
  <c r="AB19" s="1"/>
  <c r="B17"/>
  <c r="B18" i="222"/>
  <c r="N18" s="1"/>
  <c r="C18"/>
  <c r="D18"/>
  <c r="H18"/>
  <c r="I18"/>
  <c r="J18"/>
  <c r="B19"/>
  <c r="C19"/>
  <c r="D19"/>
  <c r="P36" s="1"/>
  <c r="H19"/>
  <c r="I19"/>
  <c r="J19"/>
  <c r="S19" s="1"/>
  <c r="B20"/>
  <c r="N38" s="1"/>
  <c r="C20"/>
  <c r="D20"/>
  <c r="H20"/>
  <c r="I20"/>
  <c r="R36" s="1"/>
  <c r="J20"/>
  <c r="B21"/>
  <c r="C21"/>
  <c r="D21"/>
  <c r="P21" s="1"/>
  <c r="H21"/>
  <c r="I21"/>
  <c r="J21"/>
  <c r="B22"/>
  <c r="N22" s="1"/>
  <c r="C22"/>
  <c r="D22"/>
  <c r="H22"/>
  <c r="I22"/>
  <c r="J22"/>
  <c r="B23"/>
  <c r="C23"/>
  <c r="D23"/>
  <c r="P40" s="1"/>
  <c r="H23"/>
  <c r="I23"/>
  <c r="J23"/>
  <c r="B24"/>
  <c r="N24" s="1"/>
  <c r="O41"/>
  <c r="D24"/>
  <c r="P41" s="1"/>
  <c r="H24"/>
  <c r="I24"/>
  <c r="R41" s="1"/>
  <c r="J24"/>
  <c r="B25"/>
  <c r="C25"/>
  <c r="D25"/>
  <c r="P42" s="1"/>
  <c r="H25"/>
  <c r="I25"/>
  <c r="J25"/>
  <c r="B26"/>
  <c r="N26" s="1"/>
  <c r="C26"/>
  <c r="D26"/>
  <c r="H26"/>
  <c r="Q26" s="1"/>
  <c r="I26"/>
  <c r="J26"/>
  <c r="B27"/>
  <c r="C27"/>
  <c r="D27"/>
  <c r="D37" s="1"/>
  <c r="E27"/>
  <c r="F27"/>
  <c r="G27"/>
  <c r="H27"/>
  <c r="I27"/>
  <c r="J27"/>
  <c r="B28"/>
  <c r="C28"/>
  <c r="O44" s="1"/>
  <c r="D28"/>
  <c r="P44" s="1"/>
  <c r="E28"/>
  <c r="F28"/>
  <c r="G28"/>
  <c r="H28"/>
  <c r="I28"/>
  <c r="J28"/>
  <c r="B29"/>
  <c r="C29"/>
  <c r="O45" s="1"/>
  <c r="D29"/>
  <c r="E29"/>
  <c r="F29"/>
  <c r="G29"/>
  <c r="H29"/>
  <c r="I29"/>
  <c r="R28" s="1"/>
  <c r="J29"/>
  <c r="B30"/>
  <c r="C30"/>
  <c r="D30"/>
  <c r="P46" s="1"/>
  <c r="E30"/>
  <c r="F30"/>
  <c r="G30"/>
  <c r="H30"/>
  <c r="Q29" s="1"/>
  <c r="I30"/>
  <c r="R46" s="1"/>
  <c r="J30"/>
  <c r="B31"/>
  <c r="C31"/>
  <c r="D31"/>
  <c r="P31" s="1"/>
  <c r="E31"/>
  <c r="F31"/>
  <c r="G31"/>
  <c r="H31"/>
  <c r="I31"/>
  <c r="J31"/>
  <c r="B32"/>
  <c r="C32"/>
  <c r="O32" s="1"/>
  <c r="D32"/>
  <c r="P48" s="1"/>
  <c r="E32"/>
  <c r="F32"/>
  <c r="G32"/>
  <c r="H32"/>
  <c r="I32"/>
  <c r="J32"/>
  <c r="S31" s="1"/>
  <c r="B33"/>
  <c r="C33"/>
  <c r="D33"/>
  <c r="D39" s="1"/>
  <c r="E33"/>
  <c r="F33"/>
  <c r="G33"/>
  <c r="H33"/>
  <c r="I33"/>
  <c r="AA18" s="1"/>
  <c r="J33"/>
  <c r="X16"/>
  <c r="Z19"/>
  <c r="M51" i="223"/>
  <c r="M50"/>
  <c r="M49"/>
  <c r="M48"/>
  <c r="M47"/>
  <c r="O46"/>
  <c r="M46"/>
  <c r="M45"/>
  <c r="M43"/>
  <c r="M42"/>
  <c r="M41"/>
  <c r="M40"/>
  <c r="M38"/>
  <c r="O37"/>
  <c r="M37"/>
  <c r="M36"/>
  <c r="J36"/>
  <c r="S32"/>
  <c r="M32"/>
  <c r="M31"/>
  <c r="Q30"/>
  <c r="M30"/>
  <c r="M29"/>
  <c r="M28"/>
  <c r="O27"/>
  <c r="M27"/>
  <c r="M26"/>
  <c r="M25"/>
  <c r="M24"/>
  <c r="O23"/>
  <c r="M23"/>
  <c r="M22"/>
  <c r="M21"/>
  <c r="M20"/>
  <c r="V19"/>
  <c r="M19"/>
  <c r="V18"/>
  <c r="M18"/>
  <c r="V17"/>
  <c r="M17"/>
  <c r="V16"/>
  <c r="P49" i="222"/>
  <c r="M49"/>
  <c r="R48"/>
  <c r="M48"/>
  <c r="M47"/>
  <c r="Q46"/>
  <c r="M46"/>
  <c r="P45"/>
  <c r="M45"/>
  <c r="M44"/>
  <c r="M42"/>
  <c r="M41"/>
  <c r="M40"/>
  <c r="M38"/>
  <c r="R37"/>
  <c r="O37"/>
  <c r="M37"/>
  <c r="M36"/>
  <c r="Q32"/>
  <c r="M32"/>
  <c r="M31"/>
  <c r="S30"/>
  <c r="M30"/>
  <c r="M29"/>
  <c r="Q28"/>
  <c r="M28"/>
  <c r="R27"/>
  <c r="M27"/>
  <c r="M26"/>
  <c r="M25"/>
  <c r="M24"/>
  <c r="M23"/>
  <c r="M22"/>
  <c r="M21"/>
  <c r="M20"/>
  <c r="V19"/>
  <c r="M19"/>
  <c r="V18"/>
  <c r="M18"/>
  <c r="V17"/>
  <c r="M17"/>
  <c r="V16"/>
  <c r="A15" i="165"/>
  <c r="G37" i="220"/>
  <c r="B6" i="221"/>
  <c r="C6"/>
  <c r="D6"/>
  <c r="H6"/>
  <c r="I6"/>
  <c r="J6"/>
  <c r="B8"/>
  <c r="C8"/>
  <c r="D8"/>
  <c r="H8"/>
  <c r="I8"/>
  <c r="J8"/>
  <c r="B18"/>
  <c r="C18"/>
  <c r="D18"/>
  <c r="H18"/>
  <c r="I18"/>
  <c r="J18"/>
  <c r="B19"/>
  <c r="C19"/>
  <c r="D19"/>
  <c r="H19"/>
  <c r="I19"/>
  <c r="J19"/>
  <c r="B20"/>
  <c r="C20"/>
  <c r="D20"/>
  <c r="H20"/>
  <c r="I20"/>
  <c r="J20"/>
  <c r="B21"/>
  <c r="C21"/>
  <c r="D21"/>
  <c r="H21"/>
  <c r="I21"/>
  <c r="J21"/>
  <c r="B22"/>
  <c r="C22"/>
  <c r="D22"/>
  <c r="H22"/>
  <c r="I22"/>
  <c r="J22"/>
  <c r="B23"/>
  <c r="C23"/>
  <c r="D23"/>
  <c r="H23"/>
  <c r="I23"/>
  <c r="J23"/>
  <c r="B24"/>
  <c r="D24"/>
  <c r="H24"/>
  <c r="I24"/>
  <c r="J24"/>
  <c r="B25"/>
  <c r="C25"/>
  <c r="D25"/>
  <c r="H25"/>
  <c r="I25"/>
  <c r="J25"/>
  <c r="B28"/>
  <c r="C28"/>
  <c r="D28"/>
  <c r="E28"/>
  <c r="F28"/>
  <c r="G28"/>
  <c r="H28"/>
  <c r="H36" s="1"/>
  <c r="I28"/>
  <c r="Y22" s="1"/>
  <c r="J28"/>
  <c r="B29"/>
  <c r="C29"/>
  <c r="V23" s="1"/>
  <c r="D29"/>
  <c r="W23" s="1"/>
  <c r="E29"/>
  <c r="F29"/>
  <c r="G29"/>
  <c r="H29"/>
  <c r="X23" s="1"/>
  <c r="I29"/>
  <c r="Y23" s="1"/>
  <c r="J29"/>
  <c r="Z23" s="1"/>
  <c r="B30"/>
  <c r="C30"/>
  <c r="V24" s="1"/>
  <c r="D30"/>
  <c r="E30"/>
  <c r="F30"/>
  <c r="G30"/>
  <c r="H30"/>
  <c r="X24" s="1"/>
  <c r="I30"/>
  <c r="Y24" s="1"/>
  <c r="J30"/>
  <c r="Z24" s="1"/>
  <c r="B31"/>
  <c r="C31"/>
  <c r="V25" s="1"/>
  <c r="D31"/>
  <c r="E31"/>
  <c r="F31"/>
  <c r="G31"/>
  <c r="H31"/>
  <c r="X25" s="1"/>
  <c r="I31"/>
  <c r="Y25" s="1"/>
  <c r="J31"/>
  <c r="Z25" s="1"/>
  <c r="B32"/>
  <c r="B37" s="1"/>
  <c r="C32"/>
  <c r="V26" s="1"/>
  <c r="D32"/>
  <c r="W26" s="1"/>
  <c r="E32"/>
  <c r="F32"/>
  <c r="G32"/>
  <c r="H32"/>
  <c r="X26" s="1"/>
  <c r="I32"/>
  <c r="Y26" s="1"/>
  <c r="J32"/>
  <c r="Z26" s="1"/>
  <c r="C5"/>
  <c r="D5"/>
  <c r="H5"/>
  <c r="I5"/>
  <c r="J5"/>
  <c r="B5"/>
  <c r="E28" i="220"/>
  <c r="F28"/>
  <c r="G28"/>
  <c r="E29"/>
  <c r="F29"/>
  <c r="G29"/>
  <c r="E30"/>
  <c r="F30"/>
  <c r="G30"/>
  <c r="E31"/>
  <c r="F31"/>
  <c r="G31"/>
  <c r="E32"/>
  <c r="E37" s="1"/>
  <c r="F32"/>
  <c r="F37" s="1"/>
  <c r="G32"/>
  <c r="B6"/>
  <c r="C6"/>
  <c r="D6"/>
  <c r="H6"/>
  <c r="I6"/>
  <c r="J6"/>
  <c r="B7"/>
  <c r="C7"/>
  <c r="D7"/>
  <c r="H7"/>
  <c r="I7"/>
  <c r="J7"/>
  <c r="B8"/>
  <c r="C8"/>
  <c r="D8"/>
  <c r="H8"/>
  <c r="I8"/>
  <c r="J8"/>
  <c r="B9"/>
  <c r="C9"/>
  <c r="D9"/>
  <c r="H9"/>
  <c r="I9"/>
  <c r="J9"/>
  <c r="B10"/>
  <c r="C10"/>
  <c r="D10"/>
  <c r="H10"/>
  <c r="I10"/>
  <c r="J10"/>
  <c r="B11"/>
  <c r="C11"/>
  <c r="D11"/>
  <c r="H11"/>
  <c r="I11"/>
  <c r="J11"/>
  <c r="B12"/>
  <c r="C12"/>
  <c r="D12"/>
  <c r="H12"/>
  <c r="I12"/>
  <c r="J12"/>
  <c r="B18"/>
  <c r="C18"/>
  <c r="D18"/>
  <c r="H18"/>
  <c r="I18"/>
  <c r="J18"/>
  <c r="B19"/>
  <c r="C19"/>
  <c r="D19"/>
  <c r="H19"/>
  <c r="I19"/>
  <c r="J19"/>
  <c r="B20"/>
  <c r="C20"/>
  <c r="D20"/>
  <c r="H20"/>
  <c r="I20"/>
  <c r="J20"/>
  <c r="B21"/>
  <c r="C21"/>
  <c r="D21"/>
  <c r="H21"/>
  <c r="I21"/>
  <c r="J21"/>
  <c r="B22"/>
  <c r="C22"/>
  <c r="D22"/>
  <c r="H22"/>
  <c r="I22"/>
  <c r="J22"/>
  <c r="B23"/>
  <c r="C23"/>
  <c r="D23"/>
  <c r="H23"/>
  <c r="I23"/>
  <c r="J23"/>
  <c r="B24"/>
  <c r="D24"/>
  <c r="H24"/>
  <c r="I24"/>
  <c r="J24"/>
  <c r="B25"/>
  <c r="C25"/>
  <c r="D25"/>
  <c r="H25"/>
  <c r="I25"/>
  <c r="J25"/>
  <c r="B26"/>
  <c r="C26"/>
  <c r="D26"/>
  <c r="H26"/>
  <c r="I26"/>
  <c r="J26"/>
  <c r="B27"/>
  <c r="C27"/>
  <c r="D27"/>
  <c r="H27"/>
  <c r="I27"/>
  <c r="J27"/>
  <c r="B28"/>
  <c r="B36" s="1"/>
  <c r="C28"/>
  <c r="D28"/>
  <c r="H28"/>
  <c r="I28"/>
  <c r="J28"/>
  <c r="B29"/>
  <c r="C29"/>
  <c r="V23" s="1"/>
  <c r="D29"/>
  <c r="W23" s="1"/>
  <c r="H29"/>
  <c r="X23" s="1"/>
  <c r="I29"/>
  <c r="J29"/>
  <c r="Z23" s="1"/>
  <c r="B30"/>
  <c r="C30"/>
  <c r="V24" s="1"/>
  <c r="D30"/>
  <c r="H30"/>
  <c r="X24" s="1"/>
  <c r="I30"/>
  <c r="J30"/>
  <c r="Z24" s="1"/>
  <c r="B31"/>
  <c r="C31"/>
  <c r="V25" s="1"/>
  <c r="D31"/>
  <c r="W25" s="1"/>
  <c r="H31"/>
  <c r="X25" s="1"/>
  <c r="I31"/>
  <c r="Y25" s="1"/>
  <c r="J31"/>
  <c r="Z25" s="1"/>
  <c r="B32"/>
  <c r="B37" s="1"/>
  <c r="C32"/>
  <c r="V26" s="1"/>
  <c r="D32"/>
  <c r="W26" s="1"/>
  <c r="H32"/>
  <c r="X26" s="1"/>
  <c r="I32"/>
  <c r="Y26" s="1"/>
  <c r="J32"/>
  <c r="J37" s="1"/>
  <c r="C5"/>
  <c r="D5"/>
  <c r="H5"/>
  <c r="I5"/>
  <c r="I35" s="1"/>
  <c r="J5"/>
  <c r="B5"/>
  <c r="W11"/>
  <c r="X9"/>
  <c r="AB9"/>
  <c r="A14" i="165"/>
  <c r="AA44" i="221"/>
  <c r="Z44"/>
  <c r="Y44"/>
  <c r="X44"/>
  <c r="W44"/>
  <c r="V44"/>
  <c r="U44"/>
  <c r="AA43"/>
  <c r="Z43"/>
  <c r="Y43"/>
  <c r="X43"/>
  <c r="W43"/>
  <c r="V43"/>
  <c r="U43"/>
  <c r="AA42"/>
  <c r="Z42"/>
  <c r="Y42"/>
  <c r="X42"/>
  <c r="W42"/>
  <c r="V42"/>
  <c r="U42"/>
  <c r="AA41"/>
  <c r="Z41"/>
  <c r="Y41"/>
  <c r="X41"/>
  <c r="W41"/>
  <c r="V41"/>
  <c r="U41"/>
  <c r="AA40"/>
  <c r="Z40"/>
  <c r="Y40"/>
  <c r="X40"/>
  <c r="W40"/>
  <c r="V40"/>
  <c r="U40"/>
  <c r="Z39"/>
  <c r="Y39"/>
  <c r="W39"/>
  <c r="U39"/>
  <c r="AA37"/>
  <c r="Z37"/>
  <c r="Y37"/>
  <c r="W37"/>
  <c r="U37"/>
  <c r="AA36"/>
  <c r="Z36"/>
  <c r="Y36"/>
  <c r="W36"/>
  <c r="U36"/>
  <c r="Z35"/>
  <c r="Y35"/>
  <c r="X35"/>
  <c r="W35"/>
  <c r="V35"/>
  <c r="U35"/>
  <c r="AA34"/>
  <c r="Z34"/>
  <c r="Y34"/>
  <c r="W34"/>
  <c r="U34"/>
  <c r="AA32"/>
  <c r="Z32"/>
  <c r="Y32"/>
  <c r="W32"/>
  <c r="U32"/>
  <c r="S32"/>
  <c r="R32"/>
  <c r="Q32"/>
  <c r="P32"/>
  <c r="O32"/>
  <c r="N32"/>
  <c r="M32"/>
  <c r="AA31"/>
  <c r="Z31"/>
  <c r="Y31"/>
  <c r="X31"/>
  <c r="W31"/>
  <c r="V31"/>
  <c r="U31"/>
  <c r="S31"/>
  <c r="R31"/>
  <c r="Q31"/>
  <c r="P31"/>
  <c r="O31"/>
  <c r="N31"/>
  <c r="M31"/>
  <c r="AA30"/>
  <c r="Z30"/>
  <c r="Y30"/>
  <c r="X30"/>
  <c r="W30"/>
  <c r="V30"/>
  <c r="U30"/>
  <c r="S30"/>
  <c r="R30"/>
  <c r="Q30"/>
  <c r="P30"/>
  <c r="O30"/>
  <c r="N30"/>
  <c r="M30"/>
  <c r="S29"/>
  <c r="R29"/>
  <c r="Q29"/>
  <c r="P29"/>
  <c r="O29"/>
  <c r="N29"/>
  <c r="M29"/>
  <c r="S28"/>
  <c r="R28"/>
  <c r="Q28"/>
  <c r="P28"/>
  <c r="O28"/>
  <c r="N28"/>
  <c r="M28"/>
  <c r="S27"/>
  <c r="R27"/>
  <c r="Q27"/>
  <c r="P27"/>
  <c r="O27"/>
  <c r="N27"/>
  <c r="M27"/>
  <c r="U26"/>
  <c r="S26"/>
  <c r="R26"/>
  <c r="Q26"/>
  <c r="P26"/>
  <c r="O26"/>
  <c r="N26"/>
  <c r="M26"/>
  <c r="W25"/>
  <c r="U25"/>
  <c r="S25"/>
  <c r="R25"/>
  <c r="Q25"/>
  <c r="P25"/>
  <c r="O25"/>
  <c r="N25"/>
  <c r="M25"/>
  <c r="W24"/>
  <c r="U24"/>
  <c r="S24"/>
  <c r="R24"/>
  <c r="Q24"/>
  <c r="P24"/>
  <c r="O24"/>
  <c r="N24"/>
  <c r="M24"/>
  <c r="U23"/>
  <c r="S23"/>
  <c r="R23"/>
  <c r="Q23"/>
  <c r="P23"/>
  <c r="O23"/>
  <c r="N23"/>
  <c r="M23"/>
  <c r="U22"/>
  <c r="S22"/>
  <c r="R22"/>
  <c r="Q22"/>
  <c r="P22"/>
  <c r="O22"/>
  <c r="N22"/>
  <c r="M22"/>
  <c r="S21"/>
  <c r="R21"/>
  <c r="Q21"/>
  <c r="P21"/>
  <c r="O21"/>
  <c r="N21"/>
  <c r="M21"/>
  <c r="S20"/>
  <c r="R20"/>
  <c r="Q20"/>
  <c r="P20"/>
  <c r="O20"/>
  <c r="N20"/>
  <c r="M20"/>
  <c r="S19"/>
  <c r="R19"/>
  <c r="Q19"/>
  <c r="P19"/>
  <c r="O19"/>
  <c r="N19"/>
  <c r="M19"/>
  <c r="R18"/>
  <c r="Q18"/>
  <c r="O18"/>
  <c r="M18"/>
  <c r="R17"/>
  <c r="Q17"/>
  <c r="O17"/>
  <c r="M17"/>
  <c r="R16"/>
  <c r="Q16"/>
  <c r="O16"/>
  <c r="M16"/>
  <c r="R15"/>
  <c r="Q15"/>
  <c r="O15"/>
  <c r="M15"/>
  <c r="S14"/>
  <c r="R14"/>
  <c r="Q14"/>
  <c r="O14"/>
  <c r="M14"/>
  <c r="R13"/>
  <c r="Q13"/>
  <c r="O13"/>
  <c r="M13"/>
  <c r="R12"/>
  <c r="Q12"/>
  <c r="O12"/>
  <c r="M12"/>
  <c r="AB11"/>
  <c r="AA11"/>
  <c r="Z11"/>
  <c r="Y11"/>
  <c r="X11"/>
  <c r="W11"/>
  <c r="V11"/>
  <c r="S11"/>
  <c r="R11"/>
  <c r="Q11"/>
  <c r="O11"/>
  <c r="M11"/>
  <c r="S10"/>
  <c r="R10"/>
  <c r="Q10"/>
  <c r="O10"/>
  <c r="M10"/>
  <c r="AB9"/>
  <c r="AA9"/>
  <c r="Z9"/>
  <c r="Y9"/>
  <c r="X9"/>
  <c r="W9"/>
  <c r="V9"/>
  <c r="S9"/>
  <c r="R9"/>
  <c r="Q9"/>
  <c r="O9"/>
  <c r="M9"/>
  <c r="AB8"/>
  <c r="AB10" s="1"/>
  <c r="AA8"/>
  <c r="AA10" s="1"/>
  <c r="Z8"/>
  <c r="Z10" s="1"/>
  <c r="Y8"/>
  <c r="Y10" s="1"/>
  <c r="X8"/>
  <c r="X10" s="1"/>
  <c r="W8"/>
  <c r="W10" s="1"/>
  <c r="V8"/>
  <c r="V10" s="1"/>
  <c r="S8"/>
  <c r="R8"/>
  <c r="Q8"/>
  <c r="O8"/>
  <c r="M8"/>
  <c r="AB7"/>
  <c r="AA7"/>
  <c r="Z7"/>
  <c r="Y7"/>
  <c r="X7"/>
  <c r="W7"/>
  <c r="V7"/>
  <c r="S7"/>
  <c r="R7"/>
  <c r="Q7"/>
  <c r="O7"/>
  <c r="M7"/>
  <c r="AB6"/>
  <c r="AA6"/>
  <c r="Z6"/>
  <c r="Y6"/>
  <c r="X6"/>
  <c r="W6"/>
  <c r="V6"/>
  <c r="S6"/>
  <c r="R6"/>
  <c r="Q6"/>
  <c r="P6"/>
  <c r="O6"/>
  <c r="N6"/>
  <c r="M6"/>
  <c r="AA43" i="220"/>
  <c r="Z43"/>
  <c r="Y43"/>
  <c r="X43"/>
  <c r="W43"/>
  <c r="V43"/>
  <c r="U43"/>
  <c r="AA42"/>
  <c r="Z42"/>
  <c r="Y42"/>
  <c r="X42"/>
  <c r="W42"/>
  <c r="V42"/>
  <c r="U42"/>
  <c r="AA41"/>
  <c r="Z41"/>
  <c r="Y41"/>
  <c r="X41"/>
  <c r="W41"/>
  <c r="V41"/>
  <c r="U41"/>
  <c r="AA40"/>
  <c r="Z40"/>
  <c r="Y40"/>
  <c r="X40"/>
  <c r="W40"/>
  <c r="V40"/>
  <c r="U40"/>
  <c r="Z39"/>
  <c r="X39"/>
  <c r="W39"/>
  <c r="U39"/>
  <c r="Z37"/>
  <c r="X37"/>
  <c r="W37"/>
  <c r="U37"/>
  <c r="Z36"/>
  <c r="X36"/>
  <c r="W36"/>
  <c r="U36"/>
  <c r="AA35"/>
  <c r="Z35"/>
  <c r="Y35"/>
  <c r="X35"/>
  <c r="W35"/>
  <c r="V35"/>
  <c r="U35"/>
  <c r="AA34"/>
  <c r="Z34"/>
  <c r="Y34"/>
  <c r="X34"/>
  <c r="W34"/>
  <c r="V34"/>
  <c r="U34"/>
  <c r="AA32"/>
  <c r="Z32"/>
  <c r="Y32"/>
  <c r="X32"/>
  <c r="W32"/>
  <c r="V32"/>
  <c r="U32"/>
  <c r="S32"/>
  <c r="R32"/>
  <c r="Q32"/>
  <c r="P32"/>
  <c r="O32"/>
  <c r="N32"/>
  <c r="M32"/>
  <c r="AA31"/>
  <c r="Z31"/>
  <c r="Y31"/>
  <c r="X31"/>
  <c r="W31"/>
  <c r="V31"/>
  <c r="U31"/>
  <c r="S31"/>
  <c r="R31"/>
  <c r="Q31"/>
  <c r="P31"/>
  <c r="O31"/>
  <c r="N31"/>
  <c r="M31"/>
  <c r="AA30"/>
  <c r="Z30"/>
  <c r="Y30"/>
  <c r="X30"/>
  <c r="W30"/>
  <c r="U30"/>
  <c r="S30"/>
  <c r="R30"/>
  <c r="Q30"/>
  <c r="P30"/>
  <c r="O30"/>
  <c r="N30"/>
  <c r="M30"/>
  <c r="S29"/>
  <c r="R29"/>
  <c r="Q29"/>
  <c r="P29"/>
  <c r="O29"/>
  <c r="N29"/>
  <c r="M29"/>
  <c r="S28"/>
  <c r="R28"/>
  <c r="Q28"/>
  <c r="P28"/>
  <c r="O28"/>
  <c r="N28"/>
  <c r="M28"/>
  <c r="S27"/>
  <c r="R27"/>
  <c r="Q27"/>
  <c r="P27"/>
  <c r="O27"/>
  <c r="N27"/>
  <c r="M27"/>
  <c r="U26"/>
  <c r="S26"/>
  <c r="R26"/>
  <c r="Q26"/>
  <c r="P26"/>
  <c r="O26"/>
  <c r="N26"/>
  <c r="M26"/>
  <c r="U25"/>
  <c r="S25"/>
  <c r="R25"/>
  <c r="Q25"/>
  <c r="P25"/>
  <c r="O25"/>
  <c r="N25"/>
  <c r="M25"/>
  <c r="Y24"/>
  <c r="W24"/>
  <c r="U24"/>
  <c r="S24"/>
  <c r="R24"/>
  <c r="Q24"/>
  <c r="P24"/>
  <c r="O24"/>
  <c r="N24"/>
  <c r="M24"/>
  <c r="Y23"/>
  <c r="U23"/>
  <c r="S23"/>
  <c r="R23"/>
  <c r="Q23"/>
  <c r="P23"/>
  <c r="O23"/>
  <c r="N23"/>
  <c r="M23"/>
  <c r="W22"/>
  <c r="V22"/>
  <c r="U22"/>
  <c r="S22"/>
  <c r="R22"/>
  <c r="Q22"/>
  <c r="P22"/>
  <c r="O22"/>
  <c r="N22"/>
  <c r="M22"/>
  <c r="S21"/>
  <c r="R21"/>
  <c r="Q21"/>
  <c r="P21"/>
  <c r="O21"/>
  <c r="N21"/>
  <c r="M21"/>
  <c r="S20"/>
  <c r="R20"/>
  <c r="Q20"/>
  <c r="P20"/>
  <c r="O20"/>
  <c r="N20"/>
  <c r="M20"/>
  <c r="S19"/>
  <c r="R19"/>
  <c r="Q19"/>
  <c r="P19"/>
  <c r="O19"/>
  <c r="N19"/>
  <c r="M19"/>
  <c r="R18"/>
  <c r="P18"/>
  <c r="O18"/>
  <c r="M18"/>
  <c r="R17"/>
  <c r="P17"/>
  <c r="O17"/>
  <c r="M17"/>
  <c r="R16"/>
  <c r="O16"/>
  <c r="M16"/>
  <c r="R15"/>
  <c r="O15"/>
  <c r="M15"/>
  <c r="R14"/>
  <c r="P14"/>
  <c r="O14"/>
  <c r="M14"/>
  <c r="R13"/>
  <c r="P13"/>
  <c r="O13"/>
  <c r="M13"/>
  <c r="S12"/>
  <c r="R12"/>
  <c r="Q12"/>
  <c r="P12"/>
  <c r="O12"/>
  <c r="N12"/>
  <c r="M12"/>
  <c r="AB11"/>
  <c r="AA11"/>
  <c r="Z11"/>
  <c r="Y11"/>
  <c r="X11"/>
  <c r="V11"/>
  <c r="S11"/>
  <c r="R11"/>
  <c r="Q11"/>
  <c r="P11"/>
  <c r="O11"/>
  <c r="N11"/>
  <c r="M11"/>
  <c r="S10"/>
  <c r="R10"/>
  <c r="Q10"/>
  <c r="P10"/>
  <c r="O10"/>
  <c r="N10"/>
  <c r="M10"/>
  <c r="AA9"/>
  <c r="Z9"/>
  <c r="Y9"/>
  <c r="W9"/>
  <c r="V9"/>
  <c r="S9"/>
  <c r="R9"/>
  <c r="Q9"/>
  <c r="P9"/>
  <c r="O9"/>
  <c r="N9"/>
  <c r="M9"/>
  <c r="AB8"/>
  <c r="AB10" s="1"/>
  <c r="AA8"/>
  <c r="AA10" s="1"/>
  <c r="Z8"/>
  <c r="Z10" s="1"/>
  <c r="Y8"/>
  <c r="Y10" s="1"/>
  <c r="X8"/>
  <c r="X10" s="1"/>
  <c r="W8"/>
  <c r="W10" s="1"/>
  <c r="V8"/>
  <c r="V10" s="1"/>
  <c r="S8"/>
  <c r="R8"/>
  <c r="Q8"/>
  <c r="P8"/>
  <c r="O8"/>
  <c r="N8"/>
  <c r="M8"/>
  <c r="AB7"/>
  <c r="AA7"/>
  <c r="Z7"/>
  <c r="Y7"/>
  <c r="X7"/>
  <c r="W7"/>
  <c r="V7"/>
  <c r="S7"/>
  <c r="R7"/>
  <c r="Q7"/>
  <c r="P7"/>
  <c r="O7"/>
  <c r="N7"/>
  <c r="M7"/>
  <c r="AB6"/>
  <c r="AA6"/>
  <c r="Z6"/>
  <c r="Y6"/>
  <c r="X6"/>
  <c r="W6"/>
  <c r="V6"/>
  <c r="R6"/>
  <c r="Q6"/>
  <c r="P6"/>
  <c r="N6"/>
  <c r="M6"/>
  <c r="A107" i="165"/>
  <c r="A106"/>
  <c r="A105"/>
  <c r="A104"/>
  <c r="A103"/>
  <c r="A102"/>
  <c r="A101"/>
  <c r="A100"/>
  <c r="A99"/>
  <c r="A98"/>
  <c r="B6" i="219"/>
  <c r="E6"/>
  <c r="F6"/>
  <c r="G6"/>
  <c r="J6"/>
  <c r="K6"/>
  <c r="B7"/>
  <c r="E7"/>
  <c r="F7"/>
  <c r="G7"/>
  <c r="J7"/>
  <c r="K7"/>
  <c r="B8"/>
  <c r="E8"/>
  <c r="F8"/>
  <c r="G8"/>
  <c r="J8"/>
  <c r="K8"/>
  <c r="B9"/>
  <c r="E9"/>
  <c r="F9"/>
  <c r="G9"/>
  <c r="J9"/>
  <c r="K9"/>
  <c r="B10"/>
  <c r="E10"/>
  <c r="F10"/>
  <c r="G10"/>
  <c r="J10"/>
  <c r="K10"/>
  <c r="B11"/>
  <c r="E11"/>
  <c r="F11"/>
  <c r="G11"/>
  <c r="J11"/>
  <c r="K11"/>
  <c r="B12"/>
  <c r="E12"/>
  <c r="F12"/>
  <c r="G12"/>
  <c r="J12"/>
  <c r="K12"/>
  <c r="B13"/>
  <c r="E13"/>
  <c r="F13"/>
  <c r="G13"/>
  <c r="J13"/>
  <c r="K13"/>
  <c r="B14"/>
  <c r="E14"/>
  <c r="F14"/>
  <c r="G14"/>
  <c r="J14"/>
  <c r="K14"/>
  <c r="B15"/>
  <c r="E15"/>
  <c r="F15"/>
  <c r="G15"/>
  <c r="J15"/>
  <c r="K15"/>
  <c r="B16"/>
  <c r="E16"/>
  <c r="F16"/>
  <c r="G16"/>
  <c r="J16"/>
  <c r="K16"/>
  <c r="B17"/>
  <c r="E17"/>
  <c r="F17"/>
  <c r="G17"/>
  <c r="J17"/>
  <c r="K17"/>
  <c r="B18"/>
  <c r="E18"/>
  <c r="F18"/>
  <c r="G18"/>
  <c r="J18"/>
  <c r="K18"/>
  <c r="B19"/>
  <c r="E19"/>
  <c r="F19"/>
  <c r="G19"/>
  <c r="J19"/>
  <c r="K19"/>
  <c r="B20"/>
  <c r="E20"/>
  <c r="F20"/>
  <c r="G20"/>
  <c r="J20"/>
  <c r="K20"/>
  <c r="B21"/>
  <c r="E21"/>
  <c r="F21"/>
  <c r="G21"/>
  <c r="J21"/>
  <c r="K21"/>
  <c r="B22"/>
  <c r="E22"/>
  <c r="F22"/>
  <c r="G22"/>
  <c r="J22"/>
  <c r="K22"/>
  <c r="B23"/>
  <c r="E23"/>
  <c r="F23"/>
  <c r="G23"/>
  <c r="J23"/>
  <c r="K23"/>
  <c r="B24"/>
  <c r="E24"/>
  <c r="F24"/>
  <c r="G24"/>
  <c r="J24"/>
  <c r="K24"/>
  <c r="B25"/>
  <c r="E25"/>
  <c r="F25"/>
  <c r="G25"/>
  <c r="J25"/>
  <c r="K25"/>
  <c r="B26"/>
  <c r="E26"/>
  <c r="F26"/>
  <c r="G26"/>
  <c r="J26"/>
  <c r="K26"/>
  <c r="B27"/>
  <c r="E27"/>
  <c r="F27"/>
  <c r="G27"/>
  <c r="J27"/>
  <c r="K27"/>
  <c r="B28"/>
  <c r="E28"/>
  <c r="F28"/>
  <c r="G28"/>
  <c r="J28"/>
  <c r="K28"/>
  <c r="B29"/>
  <c r="E29"/>
  <c r="F29"/>
  <c r="G29"/>
  <c r="J29"/>
  <c r="K29"/>
  <c r="B30"/>
  <c r="E30"/>
  <c r="F30"/>
  <c r="G30"/>
  <c r="J30"/>
  <c r="K30"/>
  <c r="B31"/>
  <c r="E31"/>
  <c r="F31"/>
  <c r="G31"/>
  <c r="J31"/>
  <c r="K31"/>
  <c r="B32"/>
  <c r="E32"/>
  <c r="F32"/>
  <c r="G32"/>
  <c r="J32"/>
  <c r="K32"/>
  <c r="B33"/>
  <c r="E33"/>
  <c r="F33"/>
  <c r="F61" s="1"/>
  <c r="G33"/>
  <c r="J33"/>
  <c r="K33"/>
  <c r="B34"/>
  <c r="E34"/>
  <c r="F34"/>
  <c r="G34"/>
  <c r="J34"/>
  <c r="K34"/>
  <c r="B35"/>
  <c r="E35"/>
  <c r="F35"/>
  <c r="G35"/>
  <c r="J35"/>
  <c r="K35"/>
  <c r="B36"/>
  <c r="E36"/>
  <c r="F36"/>
  <c r="G36"/>
  <c r="J36"/>
  <c r="K36"/>
  <c r="B37"/>
  <c r="E37"/>
  <c r="F37"/>
  <c r="G37"/>
  <c r="J37"/>
  <c r="K37"/>
  <c r="B38"/>
  <c r="E38"/>
  <c r="F38"/>
  <c r="G38"/>
  <c r="J38"/>
  <c r="K38"/>
  <c r="B39"/>
  <c r="E39"/>
  <c r="F39"/>
  <c r="G39"/>
  <c r="J39"/>
  <c r="K39"/>
  <c r="B40"/>
  <c r="E40"/>
  <c r="F40"/>
  <c r="G40"/>
  <c r="J40"/>
  <c r="K40"/>
  <c r="B41"/>
  <c r="E41"/>
  <c r="F41"/>
  <c r="G41"/>
  <c r="J41"/>
  <c r="K41"/>
  <c r="B42"/>
  <c r="E42"/>
  <c r="F42"/>
  <c r="G42"/>
  <c r="J42"/>
  <c r="K42"/>
  <c r="B43"/>
  <c r="E43"/>
  <c r="F43"/>
  <c r="G43"/>
  <c r="J43"/>
  <c r="K43"/>
  <c r="B44"/>
  <c r="B62" s="1"/>
  <c r="E44"/>
  <c r="F44"/>
  <c r="G44"/>
  <c r="J44"/>
  <c r="K44"/>
  <c r="B45"/>
  <c r="E45"/>
  <c r="F45"/>
  <c r="G45"/>
  <c r="J45"/>
  <c r="K45"/>
  <c r="B46"/>
  <c r="E46"/>
  <c r="F46"/>
  <c r="G46"/>
  <c r="J46"/>
  <c r="K46"/>
  <c r="B47"/>
  <c r="E47"/>
  <c r="F47"/>
  <c r="G47"/>
  <c r="J47"/>
  <c r="K47"/>
  <c r="B48"/>
  <c r="E48"/>
  <c r="F48"/>
  <c r="G48"/>
  <c r="J48"/>
  <c r="K48"/>
  <c r="B49"/>
  <c r="E49"/>
  <c r="F49"/>
  <c r="G49"/>
  <c r="J49"/>
  <c r="K49"/>
  <c r="B50"/>
  <c r="E50"/>
  <c r="F50"/>
  <c r="G50"/>
  <c r="J50"/>
  <c r="K50"/>
  <c r="B51"/>
  <c r="E51"/>
  <c r="F51"/>
  <c r="F63" s="1"/>
  <c r="G51"/>
  <c r="G63" s="1"/>
  <c r="J51"/>
  <c r="K51"/>
  <c r="B52"/>
  <c r="E52"/>
  <c r="F52"/>
  <c r="G52"/>
  <c r="J52"/>
  <c r="K52"/>
  <c r="B53"/>
  <c r="E53"/>
  <c r="F53"/>
  <c r="G53"/>
  <c r="J53"/>
  <c r="K53"/>
  <c r="B54"/>
  <c r="F54"/>
  <c r="G54"/>
  <c r="K54"/>
  <c r="B55"/>
  <c r="F55"/>
  <c r="G55"/>
  <c r="K55"/>
  <c r="B56"/>
  <c r="F56"/>
  <c r="G56"/>
  <c r="K56"/>
  <c r="B57"/>
  <c r="F57"/>
  <c r="G57"/>
  <c r="K57"/>
  <c r="B5"/>
  <c r="E5"/>
  <c r="F5"/>
  <c r="G5"/>
  <c r="J5"/>
  <c r="K5"/>
  <c r="B6" i="218"/>
  <c r="D6"/>
  <c r="E6"/>
  <c r="G6"/>
  <c r="I6"/>
  <c r="J6"/>
  <c r="B7"/>
  <c r="D7"/>
  <c r="E7"/>
  <c r="G7"/>
  <c r="I7"/>
  <c r="J7"/>
  <c r="B8"/>
  <c r="D8"/>
  <c r="E8"/>
  <c r="G8"/>
  <c r="I8"/>
  <c r="J8"/>
  <c r="B9"/>
  <c r="D9"/>
  <c r="E9"/>
  <c r="G9"/>
  <c r="I9"/>
  <c r="J9"/>
  <c r="B10"/>
  <c r="D10"/>
  <c r="E10"/>
  <c r="G10"/>
  <c r="I10"/>
  <c r="J10"/>
  <c r="B11"/>
  <c r="D11"/>
  <c r="E11"/>
  <c r="G11"/>
  <c r="I11"/>
  <c r="J11"/>
  <c r="B12"/>
  <c r="D12"/>
  <c r="E12"/>
  <c r="G12"/>
  <c r="I12"/>
  <c r="J12"/>
  <c r="B13"/>
  <c r="D13"/>
  <c r="E13"/>
  <c r="G13"/>
  <c r="I13"/>
  <c r="J13"/>
  <c r="B14"/>
  <c r="D14"/>
  <c r="E14"/>
  <c r="G14"/>
  <c r="I14"/>
  <c r="J14"/>
  <c r="B15"/>
  <c r="D15"/>
  <c r="E15"/>
  <c r="G15"/>
  <c r="I15"/>
  <c r="J15"/>
  <c r="B16"/>
  <c r="D16"/>
  <c r="E16"/>
  <c r="G16"/>
  <c r="I16"/>
  <c r="J16"/>
  <c r="B17"/>
  <c r="D17"/>
  <c r="E17"/>
  <c r="G17"/>
  <c r="I17"/>
  <c r="J17"/>
  <c r="B18"/>
  <c r="D18"/>
  <c r="E18"/>
  <c r="G18"/>
  <c r="I18"/>
  <c r="J18"/>
  <c r="B19"/>
  <c r="D19"/>
  <c r="E19"/>
  <c r="G19"/>
  <c r="I19"/>
  <c r="J19"/>
  <c r="B20"/>
  <c r="D20"/>
  <c r="E20"/>
  <c r="G20"/>
  <c r="I20"/>
  <c r="J20"/>
  <c r="B21"/>
  <c r="D21"/>
  <c r="E21"/>
  <c r="G21"/>
  <c r="I21"/>
  <c r="J21"/>
  <c r="B22"/>
  <c r="D22"/>
  <c r="E22"/>
  <c r="G22"/>
  <c r="I22"/>
  <c r="J22"/>
  <c r="B23"/>
  <c r="D23"/>
  <c r="E23"/>
  <c r="G23"/>
  <c r="I23"/>
  <c r="J23"/>
  <c r="B24"/>
  <c r="D24"/>
  <c r="E24"/>
  <c r="G24"/>
  <c r="I24"/>
  <c r="J24"/>
  <c r="B25"/>
  <c r="D25"/>
  <c r="E25"/>
  <c r="G25"/>
  <c r="I25"/>
  <c r="J25"/>
  <c r="B26"/>
  <c r="D26"/>
  <c r="E26"/>
  <c r="G26"/>
  <c r="I26"/>
  <c r="J26"/>
  <c r="B27"/>
  <c r="D27"/>
  <c r="E27"/>
  <c r="G27"/>
  <c r="I27"/>
  <c r="J27"/>
  <c r="B28"/>
  <c r="D28"/>
  <c r="D61" s="1"/>
  <c r="E28"/>
  <c r="G28"/>
  <c r="I28"/>
  <c r="J28"/>
  <c r="B29"/>
  <c r="D29"/>
  <c r="E29"/>
  <c r="G29"/>
  <c r="I29"/>
  <c r="J29"/>
  <c r="B30"/>
  <c r="D30"/>
  <c r="E30"/>
  <c r="G30"/>
  <c r="I30"/>
  <c r="J30"/>
  <c r="B31"/>
  <c r="D31"/>
  <c r="E31"/>
  <c r="G31"/>
  <c r="I31"/>
  <c r="J31"/>
  <c r="B32"/>
  <c r="D32"/>
  <c r="E32"/>
  <c r="G32"/>
  <c r="I32"/>
  <c r="J32"/>
  <c r="B33"/>
  <c r="B62" s="1"/>
  <c r="D33"/>
  <c r="E33"/>
  <c r="G33"/>
  <c r="I33"/>
  <c r="I61" s="1"/>
  <c r="J33"/>
  <c r="B34"/>
  <c r="D34"/>
  <c r="E34"/>
  <c r="G34"/>
  <c r="I34"/>
  <c r="J34"/>
  <c r="B35"/>
  <c r="D35"/>
  <c r="E35"/>
  <c r="G35"/>
  <c r="I35"/>
  <c r="J35"/>
  <c r="B36"/>
  <c r="D36"/>
  <c r="E36"/>
  <c r="G36"/>
  <c r="I36"/>
  <c r="J36"/>
  <c r="B37"/>
  <c r="D37"/>
  <c r="E37"/>
  <c r="G37"/>
  <c r="I37"/>
  <c r="J37"/>
  <c r="B38"/>
  <c r="D38"/>
  <c r="E38"/>
  <c r="G38"/>
  <c r="I38"/>
  <c r="J38"/>
  <c r="B39"/>
  <c r="D39"/>
  <c r="E39"/>
  <c r="G39"/>
  <c r="I39"/>
  <c r="J39"/>
  <c r="B40"/>
  <c r="D40"/>
  <c r="E40"/>
  <c r="G40"/>
  <c r="I40"/>
  <c r="J40"/>
  <c r="B41"/>
  <c r="D41"/>
  <c r="E41"/>
  <c r="G41"/>
  <c r="I41"/>
  <c r="J41"/>
  <c r="B42"/>
  <c r="D42"/>
  <c r="E42"/>
  <c r="G42"/>
  <c r="I42"/>
  <c r="J42"/>
  <c r="B43"/>
  <c r="D43"/>
  <c r="E43"/>
  <c r="G43"/>
  <c r="I43"/>
  <c r="J43"/>
  <c r="B44"/>
  <c r="E44"/>
  <c r="E62" s="1"/>
  <c r="G44"/>
  <c r="J44"/>
  <c r="B45"/>
  <c r="E45"/>
  <c r="G45"/>
  <c r="J45"/>
  <c r="B46"/>
  <c r="E46"/>
  <c r="G46"/>
  <c r="J46"/>
  <c r="B47"/>
  <c r="E47"/>
  <c r="G47"/>
  <c r="J47"/>
  <c r="B48"/>
  <c r="E48"/>
  <c r="G48"/>
  <c r="J48"/>
  <c r="B49"/>
  <c r="E49"/>
  <c r="G49"/>
  <c r="J49"/>
  <c r="B50"/>
  <c r="E50"/>
  <c r="G50"/>
  <c r="J50"/>
  <c r="B51"/>
  <c r="B63" s="1"/>
  <c r="E51"/>
  <c r="E63" s="1"/>
  <c r="G51"/>
  <c r="G63" s="1"/>
  <c r="J51"/>
  <c r="J63" s="1"/>
  <c r="B52"/>
  <c r="E52"/>
  <c r="G52"/>
  <c r="J52"/>
  <c r="B53"/>
  <c r="E53"/>
  <c r="G53"/>
  <c r="J53"/>
  <c r="B54"/>
  <c r="E54"/>
  <c r="G54"/>
  <c r="J54"/>
  <c r="B55"/>
  <c r="E55"/>
  <c r="G55"/>
  <c r="J55"/>
  <c r="B56"/>
  <c r="E56"/>
  <c r="G56"/>
  <c r="J56"/>
  <c r="B57"/>
  <c r="E57"/>
  <c r="G57"/>
  <c r="G64" s="1"/>
  <c r="J57"/>
  <c r="J65" s="1"/>
  <c r="B5"/>
  <c r="D5"/>
  <c r="E5"/>
  <c r="G5"/>
  <c r="I5"/>
  <c r="J5"/>
  <c r="B6" i="217"/>
  <c r="E6"/>
  <c r="F6"/>
  <c r="G6"/>
  <c r="J6"/>
  <c r="K6"/>
  <c r="B7"/>
  <c r="E7"/>
  <c r="F7"/>
  <c r="G7"/>
  <c r="J7"/>
  <c r="K7"/>
  <c r="B8"/>
  <c r="E8"/>
  <c r="F8"/>
  <c r="G8"/>
  <c r="J8"/>
  <c r="K8"/>
  <c r="B9"/>
  <c r="E9"/>
  <c r="F9"/>
  <c r="G9"/>
  <c r="J9"/>
  <c r="K9"/>
  <c r="B10"/>
  <c r="E10"/>
  <c r="F10"/>
  <c r="G10"/>
  <c r="J10"/>
  <c r="K10"/>
  <c r="B11"/>
  <c r="E11"/>
  <c r="F11"/>
  <c r="G11"/>
  <c r="J11"/>
  <c r="K11"/>
  <c r="B12"/>
  <c r="E12"/>
  <c r="F12"/>
  <c r="G12"/>
  <c r="J12"/>
  <c r="K12"/>
  <c r="B13"/>
  <c r="E13"/>
  <c r="F13"/>
  <c r="G13"/>
  <c r="J13"/>
  <c r="K13"/>
  <c r="B14"/>
  <c r="E14"/>
  <c r="F14"/>
  <c r="G14"/>
  <c r="J14"/>
  <c r="K14"/>
  <c r="B15"/>
  <c r="E15"/>
  <c r="F15"/>
  <c r="G15"/>
  <c r="J15"/>
  <c r="K15"/>
  <c r="B16"/>
  <c r="E16"/>
  <c r="F16"/>
  <c r="G16"/>
  <c r="J16"/>
  <c r="K16"/>
  <c r="B17"/>
  <c r="E17"/>
  <c r="F17"/>
  <c r="G17"/>
  <c r="J17"/>
  <c r="K17"/>
  <c r="B18"/>
  <c r="E18"/>
  <c r="F18"/>
  <c r="G18"/>
  <c r="J18"/>
  <c r="K18"/>
  <c r="B19"/>
  <c r="E19"/>
  <c r="F19"/>
  <c r="G19"/>
  <c r="J19"/>
  <c r="K19"/>
  <c r="B20"/>
  <c r="E20"/>
  <c r="F20"/>
  <c r="G20"/>
  <c r="J20"/>
  <c r="K20"/>
  <c r="B21"/>
  <c r="E21"/>
  <c r="F21"/>
  <c r="G21"/>
  <c r="J21"/>
  <c r="K21"/>
  <c r="B22"/>
  <c r="E22"/>
  <c r="F22"/>
  <c r="G22"/>
  <c r="J22"/>
  <c r="K22"/>
  <c r="B23"/>
  <c r="E23"/>
  <c r="F23"/>
  <c r="G23"/>
  <c r="J23"/>
  <c r="K23"/>
  <c r="B24"/>
  <c r="E24"/>
  <c r="F24"/>
  <c r="G24"/>
  <c r="J24"/>
  <c r="K24"/>
  <c r="B25"/>
  <c r="E25"/>
  <c r="F25"/>
  <c r="G25"/>
  <c r="J25"/>
  <c r="K25"/>
  <c r="B26"/>
  <c r="E26"/>
  <c r="F26"/>
  <c r="G26"/>
  <c r="J26"/>
  <c r="K26"/>
  <c r="B27"/>
  <c r="E27"/>
  <c r="F27"/>
  <c r="G27"/>
  <c r="J27"/>
  <c r="K27"/>
  <c r="B28"/>
  <c r="E28"/>
  <c r="F28"/>
  <c r="G28"/>
  <c r="J28"/>
  <c r="K28"/>
  <c r="B29"/>
  <c r="E29"/>
  <c r="F29"/>
  <c r="G29"/>
  <c r="J29"/>
  <c r="K29"/>
  <c r="B30"/>
  <c r="E30"/>
  <c r="F30"/>
  <c r="G30"/>
  <c r="J30"/>
  <c r="K30"/>
  <c r="B31"/>
  <c r="E31"/>
  <c r="F31"/>
  <c r="G31"/>
  <c r="J31"/>
  <c r="K31"/>
  <c r="B32"/>
  <c r="E32"/>
  <c r="F32"/>
  <c r="G32"/>
  <c r="J32"/>
  <c r="K32"/>
  <c r="B33"/>
  <c r="E33"/>
  <c r="F33"/>
  <c r="F62" s="1"/>
  <c r="G33"/>
  <c r="J33"/>
  <c r="K33"/>
  <c r="B34"/>
  <c r="E34"/>
  <c r="F34"/>
  <c r="G34"/>
  <c r="J34"/>
  <c r="K34"/>
  <c r="B35"/>
  <c r="E35"/>
  <c r="F35"/>
  <c r="G35"/>
  <c r="J35"/>
  <c r="K35"/>
  <c r="B36"/>
  <c r="E36"/>
  <c r="F36"/>
  <c r="G36"/>
  <c r="J36"/>
  <c r="K36"/>
  <c r="B37"/>
  <c r="E37"/>
  <c r="F37"/>
  <c r="G37"/>
  <c r="J37"/>
  <c r="K37"/>
  <c r="B38"/>
  <c r="E38"/>
  <c r="F38"/>
  <c r="G38"/>
  <c r="J38"/>
  <c r="K38"/>
  <c r="B39"/>
  <c r="E39"/>
  <c r="F39"/>
  <c r="G39"/>
  <c r="J39"/>
  <c r="K39"/>
  <c r="B40"/>
  <c r="E40"/>
  <c r="F40"/>
  <c r="G40"/>
  <c r="J40"/>
  <c r="K40"/>
  <c r="B41"/>
  <c r="E41"/>
  <c r="F41"/>
  <c r="G41"/>
  <c r="J41"/>
  <c r="K41"/>
  <c r="B42"/>
  <c r="E42"/>
  <c r="F42"/>
  <c r="G42"/>
  <c r="J42"/>
  <c r="K42"/>
  <c r="B43"/>
  <c r="E43"/>
  <c r="F43"/>
  <c r="G43"/>
  <c r="J43"/>
  <c r="K43"/>
  <c r="B44"/>
  <c r="E44"/>
  <c r="F44"/>
  <c r="G44"/>
  <c r="J44"/>
  <c r="K44"/>
  <c r="B45"/>
  <c r="E45"/>
  <c r="F45"/>
  <c r="G45"/>
  <c r="J45"/>
  <c r="K45"/>
  <c r="B46"/>
  <c r="E46"/>
  <c r="F46"/>
  <c r="G46"/>
  <c r="J46"/>
  <c r="K46"/>
  <c r="B47"/>
  <c r="E47"/>
  <c r="F47"/>
  <c r="G47"/>
  <c r="J47"/>
  <c r="K47"/>
  <c r="B48"/>
  <c r="E48"/>
  <c r="F48"/>
  <c r="G48"/>
  <c r="J48"/>
  <c r="K48"/>
  <c r="B49"/>
  <c r="E49"/>
  <c r="F49"/>
  <c r="G49"/>
  <c r="J49"/>
  <c r="K49"/>
  <c r="B50"/>
  <c r="E50"/>
  <c r="F50"/>
  <c r="G50"/>
  <c r="J50"/>
  <c r="K50"/>
  <c r="B51"/>
  <c r="E51"/>
  <c r="F51"/>
  <c r="G51"/>
  <c r="J51"/>
  <c r="K51"/>
  <c r="B52"/>
  <c r="E52"/>
  <c r="F52"/>
  <c r="G52"/>
  <c r="J52"/>
  <c r="K52"/>
  <c r="B53"/>
  <c r="E53"/>
  <c r="F53"/>
  <c r="G53"/>
  <c r="J53"/>
  <c r="K53"/>
  <c r="B54"/>
  <c r="F54"/>
  <c r="G54"/>
  <c r="K54"/>
  <c r="B55"/>
  <c r="F55"/>
  <c r="G55"/>
  <c r="K55"/>
  <c r="B56"/>
  <c r="F56"/>
  <c r="G56"/>
  <c r="K56"/>
  <c r="B57"/>
  <c r="B60" s="1"/>
  <c r="F57"/>
  <c r="G57"/>
  <c r="K57"/>
  <c r="K65" s="1"/>
  <c r="B5"/>
  <c r="E5"/>
  <c r="F5"/>
  <c r="G5"/>
  <c r="J5"/>
  <c r="K5"/>
  <c r="B6" i="216"/>
  <c r="D6"/>
  <c r="E6"/>
  <c r="G6"/>
  <c r="I6"/>
  <c r="J6"/>
  <c r="B7"/>
  <c r="D7"/>
  <c r="E7"/>
  <c r="G7"/>
  <c r="I7"/>
  <c r="J7"/>
  <c r="B8"/>
  <c r="D8"/>
  <c r="E8"/>
  <c r="G8"/>
  <c r="I8"/>
  <c r="J8"/>
  <c r="B9"/>
  <c r="D9"/>
  <c r="E9"/>
  <c r="G9"/>
  <c r="I9"/>
  <c r="J9"/>
  <c r="B10"/>
  <c r="D10"/>
  <c r="E10"/>
  <c r="G10"/>
  <c r="I10"/>
  <c r="J10"/>
  <c r="B11"/>
  <c r="D11"/>
  <c r="E11"/>
  <c r="G11"/>
  <c r="I11"/>
  <c r="J11"/>
  <c r="B12"/>
  <c r="D12"/>
  <c r="E12"/>
  <c r="G12"/>
  <c r="I12"/>
  <c r="J12"/>
  <c r="B13"/>
  <c r="D13"/>
  <c r="E13"/>
  <c r="G13"/>
  <c r="I13"/>
  <c r="J13"/>
  <c r="B14"/>
  <c r="D14"/>
  <c r="E14"/>
  <c r="G14"/>
  <c r="I14"/>
  <c r="J14"/>
  <c r="B15"/>
  <c r="D15"/>
  <c r="E15"/>
  <c r="G15"/>
  <c r="I15"/>
  <c r="J15"/>
  <c r="B16"/>
  <c r="D16"/>
  <c r="E16"/>
  <c r="G16"/>
  <c r="I16"/>
  <c r="J16"/>
  <c r="B17"/>
  <c r="D17"/>
  <c r="E17"/>
  <c r="G17"/>
  <c r="I17"/>
  <c r="J17"/>
  <c r="B18"/>
  <c r="D18"/>
  <c r="E18"/>
  <c r="G18"/>
  <c r="I18"/>
  <c r="J18"/>
  <c r="B19"/>
  <c r="D19"/>
  <c r="E19"/>
  <c r="G19"/>
  <c r="I19"/>
  <c r="J19"/>
  <c r="B20"/>
  <c r="D20"/>
  <c r="E20"/>
  <c r="G20"/>
  <c r="I20"/>
  <c r="J20"/>
  <c r="B21"/>
  <c r="D21"/>
  <c r="E21"/>
  <c r="G21"/>
  <c r="I21"/>
  <c r="J21"/>
  <c r="B22"/>
  <c r="D22"/>
  <c r="E22"/>
  <c r="G22"/>
  <c r="I22"/>
  <c r="J22"/>
  <c r="B23"/>
  <c r="D23"/>
  <c r="E23"/>
  <c r="G23"/>
  <c r="I23"/>
  <c r="J23"/>
  <c r="B24"/>
  <c r="D24"/>
  <c r="E24"/>
  <c r="G24"/>
  <c r="I24"/>
  <c r="J24"/>
  <c r="B25"/>
  <c r="D25"/>
  <c r="E25"/>
  <c r="G25"/>
  <c r="I25"/>
  <c r="J25"/>
  <c r="B26"/>
  <c r="D26"/>
  <c r="E26"/>
  <c r="G26"/>
  <c r="I26"/>
  <c r="J26"/>
  <c r="B27"/>
  <c r="D27"/>
  <c r="E27"/>
  <c r="G27"/>
  <c r="I27"/>
  <c r="J27"/>
  <c r="B28"/>
  <c r="D28"/>
  <c r="E28"/>
  <c r="G28"/>
  <c r="I28"/>
  <c r="J28"/>
  <c r="B29"/>
  <c r="D29"/>
  <c r="E29"/>
  <c r="G29"/>
  <c r="I29"/>
  <c r="J29"/>
  <c r="B30"/>
  <c r="D30"/>
  <c r="E30"/>
  <c r="G30"/>
  <c r="I30"/>
  <c r="J30"/>
  <c r="B31"/>
  <c r="D31"/>
  <c r="E31"/>
  <c r="G31"/>
  <c r="I31"/>
  <c r="J31"/>
  <c r="B32"/>
  <c r="D32"/>
  <c r="E32"/>
  <c r="G32"/>
  <c r="I32"/>
  <c r="J32"/>
  <c r="B33"/>
  <c r="D33"/>
  <c r="E33"/>
  <c r="G33"/>
  <c r="G61" s="1"/>
  <c r="I33"/>
  <c r="J33"/>
  <c r="B34"/>
  <c r="D34"/>
  <c r="E34"/>
  <c r="G34"/>
  <c r="I34"/>
  <c r="J34"/>
  <c r="B35"/>
  <c r="D35"/>
  <c r="E35"/>
  <c r="G35"/>
  <c r="I35"/>
  <c r="J35"/>
  <c r="B36"/>
  <c r="D36"/>
  <c r="E36"/>
  <c r="G36"/>
  <c r="I36"/>
  <c r="J36"/>
  <c r="B37"/>
  <c r="D37"/>
  <c r="E37"/>
  <c r="G37"/>
  <c r="I37"/>
  <c r="J37"/>
  <c r="B38"/>
  <c r="D38"/>
  <c r="E38"/>
  <c r="G38"/>
  <c r="I38"/>
  <c r="J38"/>
  <c r="B39"/>
  <c r="D39"/>
  <c r="E39"/>
  <c r="G39"/>
  <c r="I39"/>
  <c r="J39"/>
  <c r="B40"/>
  <c r="D40"/>
  <c r="E40"/>
  <c r="G40"/>
  <c r="I40"/>
  <c r="J40"/>
  <c r="B41"/>
  <c r="D41"/>
  <c r="E41"/>
  <c r="G41"/>
  <c r="I41"/>
  <c r="J41"/>
  <c r="B42"/>
  <c r="D42"/>
  <c r="E42"/>
  <c r="G42"/>
  <c r="I42"/>
  <c r="J42"/>
  <c r="B43"/>
  <c r="D43"/>
  <c r="E43"/>
  <c r="G43"/>
  <c r="I43"/>
  <c r="J43"/>
  <c r="B44"/>
  <c r="E44"/>
  <c r="E62" s="1"/>
  <c r="G44"/>
  <c r="J44"/>
  <c r="B45"/>
  <c r="E45"/>
  <c r="G45"/>
  <c r="J45"/>
  <c r="B46"/>
  <c r="E46"/>
  <c r="G46"/>
  <c r="J46"/>
  <c r="B47"/>
  <c r="E47"/>
  <c r="G47"/>
  <c r="J47"/>
  <c r="B48"/>
  <c r="E48"/>
  <c r="G48"/>
  <c r="J48"/>
  <c r="B49"/>
  <c r="E49"/>
  <c r="G49"/>
  <c r="J49"/>
  <c r="B50"/>
  <c r="E50"/>
  <c r="G50"/>
  <c r="J50"/>
  <c r="B51"/>
  <c r="E51"/>
  <c r="G51"/>
  <c r="J51"/>
  <c r="B52"/>
  <c r="E52"/>
  <c r="G52"/>
  <c r="J52"/>
  <c r="B53"/>
  <c r="E53"/>
  <c r="G53"/>
  <c r="J53"/>
  <c r="B54"/>
  <c r="E54"/>
  <c r="G54"/>
  <c r="J54"/>
  <c r="B55"/>
  <c r="E55"/>
  <c r="G55"/>
  <c r="J55"/>
  <c r="B56"/>
  <c r="E56"/>
  <c r="G56"/>
  <c r="J56"/>
  <c r="B57"/>
  <c r="E57"/>
  <c r="G57"/>
  <c r="G65" s="1"/>
  <c r="J57"/>
  <c r="B5"/>
  <c r="D5"/>
  <c r="E5"/>
  <c r="G5"/>
  <c r="I5"/>
  <c r="J5"/>
  <c r="B6" i="215"/>
  <c r="E6"/>
  <c r="F6"/>
  <c r="G6"/>
  <c r="J6"/>
  <c r="K6"/>
  <c r="B7"/>
  <c r="E7"/>
  <c r="F7"/>
  <c r="G7"/>
  <c r="J7"/>
  <c r="K7"/>
  <c r="B8"/>
  <c r="E8"/>
  <c r="F8"/>
  <c r="G8"/>
  <c r="J8"/>
  <c r="K8"/>
  <c r="B9"/>
  <c r="E9"/>
  <c r="F9"/>
  <c r="G9"/>
  <c r="J9"/>
  <c r="K9"/>
  <c r="B10"/>
  <c r="E10"/>
  <c r="F10"/>
  <c r="G10"/>
  <c r="J10"/>
  <c r="K10"/>
  <c r="B11"/>
  <c r="E11"/>
  <c r="F11"/>
  <c r="G11"/>
  <c r="J11"/>
  <c r="K11"/>
  <c r="B12"/>
  <c r="E12"/>
  <c r="F12"/>
  <c r="G12"/>
  <c r="J12"/>
  <c r="K12"/>
  <c r="B13"/>
  <c r="E13"/>
  <c r="F13"/>
  <c r="G13"/>
  <c r="J13"/>
  <c r="K13"/>
  <c r="B14"/>
  <c r="E14"/>
  <c r="F14"/>
  <c r="G14"/>
  <c r="J14"/>
  <c r="K14"/>
  <c r="B15"/>
  <c r="E15"/>
  <c r="F15"/>
  <c r="G15"/>
  <c r="J15"/>
  <c r="K15"/>
  <c r="B16"/>
  <c r="E16"/>
  <c r="F16"/>
  <c r="G16"/>
  <c r="J16"/>
  <c r="K16"/>
  <c r="B17"/>
  <c r="E17"/>
  <c r="F17"/>
  <c r="G17"/>
  <c r="J17"/>
  <c r="K17"/>
  <c r="B18"/>
  <c r="E18"/>
  <c r="F18"/>
  <c r="G18"/>
  <c r="J18"/>
  <c r="K18"/>
  <c r="B19"/>
  <c r="E19"/>
  <c r="F19"/>
  <c r="G19"/>
  <c r="J19"/>
  <c r="K19"/>
  <c r="B20"/>
  <c r="E20"/>
  <c r="F20"/>
  <c r="G20"/>
  <c r="J20"/>
  <c r="K20"/>
  <c r="B21"/>
  <c r="E21"/>
  <c r="F21"/>
  <c r="G21"/>
  <c r="J21"/>
  <c r="K21"/>
  <c r="B22"/>
  <c r="E22"/>
  <c r="F22"/>
  <c r="G22"/>
  <c r="J22"/>
  <c r="K22"/>
  <c r="B23"/>
  <c r="E23"/>
  <c r="F23"/>
  <c r="G23"/>
  <c r="J23"/>
  <c r="K23"/>
  <c r="B24"/>
  <c r="E24"/>
  <c r="F24"/>
  <c r="G24"/>
  <c r="J24"/>
  <c r="K24"/>
  <c r="B25"/>
  <c r="E25"/>
  <c r="F25"/>
  <c r="G25"/>
  <c r="J25"/>
  <c r="K25"/>
  <c r="B26"/>
  <c r="E26"/>
  <c r="F26"/>
  <c r="G26"/>
  <c r="J26"/>
  <c r="K26"/>
  <c r="B27"/>
  <c r="E27"/>
  <c r="F27"/>
  <c r="G27"/>
  <c r="J27"/>
  <c r="K27"/>
  <c r="B28"/>
  <c r="B61" s="1"/>
  <c r="E28"/>
  <c r="F28"/>
  <c r="G28"/>
  <c r="G61" s="1"/>
  <c r="J28"/>
  <c r="K28"/>
  <c r="B29"/>
  <c r="E29"/>
  <c r="F29"/>
  <c r="G29"/>
  <c r="J29"/>
  <c r="K29"/>
  <c r="B30"/>
  <c r="E30"/>
  <c r="F30"/>
  <c r="G30"/>
  <c r="J30"/>
  <c r="K30"/>
  <c r="B31"/>
  <c r="E31"/>
  <c r="F31"/>
  <c r="G31"/>
  <c r="J31"/>
  <c r="K31"/>
  <c r="B32"/>
  <c r="E32"/>
  <c r="F32"/>
  <c r="G32"/>
  <c r="J32"/>
  <c r="K32"/>
  <c r="B33"/>
  <c r="E33"/>
  <c r="E62" s="1"/>
  <c r="F33"/>
  <c r="F61" s="1"/>
  <c r="G33"/>
  <c r="J33"/>
  <c r="K33"/>
  <c r="B34"/>
  <c r="E34"/>
  <c r="F34"/>
  <c r="G34"/>
  <c r="J34"/>
  <c r="K34"/>
  <c r="B35"/>
  <c r="E35"/>
  <c r="F35"/>
  <c r="G35"/>
  <c r="J35"/>
  <c r="K35"/>
  <c r="B36"/>
  <c r="E36"/>
  <c r="F36"/>
  <c r="G36"/>
  <c r="J36"/>
  <c r="K36"/>
  <c r="B37"/>
  <c r="E37"/>
  <c r="F37"/>
  <c r="G37"/>
  <c r="J37"/>
  <c r="K37"/>
  <c r="B38"/>
  <c r="E38"/>
  <c r="F38"/>
  <c r="G38"/>
  <c r="J38"/>
  <c r="K38"/>
  <c r="B39"/>
  <c r="E39"/>
  <c r="F39"/>
  <c r="G39"/>
  <c r="J39"/>
  <c r="K39"/>
  <c r="B40"/>
  <c r="E40"/>
  <c r="F40"/>
  <c r="G40"/>
  <c r="J40"/>
  <c r="K40"/>
  <c r="B41"/>
  <c r="E41"/>
  <c r="F41"/>
  <c r="G41"/>
  <c r="J41"/>
  <c r="K41"/>
  <c r="B42"/>
  <c r="E42"/>
  <c r="F42"/>
  <c r="G42"/>
  <c r="J42"/>
  <c r="K42"/>
  <c r="B43"/>
  <c r="E43"/>
  <c r="F43"/>
  <c r="G43"/>
  <c r="J43"/>
  <c r="K43"/>
  <c r="B44"/>
  <c r="B62" s="1"/>
  <c r="E44"/>
  <c r="F44"/>
  <c r="G44"/>
  <c r="G62" s="1"/>
  <c r="J44"/>
  <c r="K44"/>
  <c r="B45"/>
  <c r="E45"/>
  <c r="F45"/>
  <c r="G45"/>
  <c r="J45"/>
  <c r="K45"/>
  <c r="B46"/>
  <c r="E46"/>
  <c r="F46"/>
  <c r="G46"/>
  <c r="J46"/>
  <c r="K46"/>
  <c r="B47"/>
  <c r="E47"/>
  <c r="F47"/>
  <c r="G47"/>
  <c r="J47"/>
  <c r="K47"/>
  <c r="B48"/>
  <c r="E48"/>
  <c r="F48"/>
  <c r="G48"/>
  <c r="J48"/>
  <c r="K48"/>
  <c r="B49"/>
  <c r="E49"/>
  <c r="F49"/>
  <c r="G49"/>
  <c r="J49"/>
  <c r="K49"/>
  <c r="B50"/>
  <c r="E50"/>
  <c r="F50"/>
  <c r="G50"/>
  <c r="J50"/>
  <c r="K50"/>
  <c r="B51"/>
  <c r="E51"/>
  <c r="F51"/>
  <c r="G51"/>
  <c r="J51"/>
  <c r="K51"/>
  <c r="B52"/>
  <c r="E52"/>
  <c r="F52"/>
  <c r="G52"/>
  <c r="J52"/>
  <c r="K52"/>
  <c r="B53"/>
  <c r="E53"/>
  <c r="F53"/>
  <c r="G53"/>
  <c r="J53"/>
  <c r="K53"/>
  <c r="B54"/>
  <c r="F54"/>
  <c r="G54"/>
  <c r="K54"/>
  <c r="B55"/>
  <c r="F55"/>
  <c r="G55"/>
  <c r="K55"/>
  <c r="B56"/>
  <c r="F56"/>
  <c r="G56"/>
  <c r="K56"/>
  <c r="B57"/>
  <c r="B65" s="1"/>
  <c r="F57"/>
  <c r="G57"/>
  <c r="K57"/>
  <c r="B5"/>
  <c r="E5"/>
  <c r="F5"/>
  <c r="G5"/>
  <c r="J5"/>
  <c r="K5"/>
  <c r="B6" i="214"/>
  <c r="D6"/>
  <c r="E6"/>
  <c r="G6"/>
  <c r="I6"/>
  <c r="J6"/>
  <c r="B7"/>
  <c r="D7"/>
  <c r="E7"/>
  <c r="G7"/>
  <c r="I7"/>
  <c r="J7"/>
  <c r="B8"/>
  <c r="D8"/>
  <c r="E8"/>
  <c r="G8"/>
  <c r="I8"/>
  <c r="J8"/>
  <c r="B9"/>
  <c r="D9"/>
  <c r="E9"/>
  <c r="G9"/>
  <c r="I9"/>
  <c r="J9"/>
  <c r="B10"/>
  <c r="D10"/>
  <c r="E10"/>
  <c r="G10"/>
  <c r="I10"/>
  <c r="J10"/>
  <c r="B11"/>
  <c r="D11"/>
  <c r="E11"/>
  <c r="G11"/>
  <c r="I11"/>
  <c r="J11"/>
  <c r="B12"/>
  <c r="D12"/>
  <c r="E12"/>
  <c r="G12"/>
  <c r="I12"/>
  <c r="J12"/>
  <c r="B13"/>
  <c r="D13"/>
  <c r="E13"/>
  <c r="G13"/>
  <c r="I13"/>
  <c r="J13"/>
  <c r="B14"/>
  <c r="D14"/>
  <c r="E14"/>
  <c r="G14"/>
  <c r="I14"/>
  <c r="J14"/>
  <c r="B15"/>
  <c r="D15"/>
  <c r="E15"/>
  <c r="G15"/>
  <c r="I15"/>
  <c r="J15"/>
  <c r="B16"/>
  <c r="D16"/>
  <c r="E16"/>
  <c r="G16"/>
  <c r="I16"/>
  <c r="J16"/>
  <c r="B17"/>
  <c r="D17"/>
  <c r="E17"/>
  <c r="G17"/>
  <c r="I17"/>
  <c r="J17"/>
  <c r="B18"/>
  <c r="D18"/>
  <c r="E18"/>
  <c r="G18"/>
  <c r="I18"/>
  <c r="J18"/>
  <c r="B19"/>
  <c r="D19"/>
  <c r="E19"/>
  <c r="G19"/>
  <c r="I19"/>
  <c r="J19"/>
  <c r="B20"/>
  <c r="D20"/>
  <c r="E20"/>
  <c r="G20"/>
  <c r="I20"/>
  <c r="J20"/>
  <c r="B21"/>
  <c r="D21"/>
  <c r="E21"/>
  <c r="G21"/>
  <c r="I21"/>
  <c r="J21"/>
  <c r="B22"/>
  <c r="D22"/>
  <c r="E22"/>
  <c r="G22"/>
  <c r="I22"/>
  <c r="J22"/>
  <c r="B23"/>
  <c r="D23"/>
  <c r="E23"/>
  <c r="G23"/>
  <c r="I23"/>
  <c r="J23"/>
  <c r="B24"/>
  <c r="D24"/>
  <c r="E24"/>
  <c r="G24"/>
  <c r="I24"/>
  <c r="J24"/>
  <c r="B25"/>
  <c r="D25"/>
  <c r="E25"/>
  <c r="G25"/>
  <c r="I25"/>
  <c r="J25"/>
  <c r="B26"/>
  <c r="D26"/>
  <c r="E26"/>
  <c r="G26"/>
  <c r="I26"/>
  <c r="J26"/>
  <c r="B27"/>
  <c r="D27"/>
  <c r="E27"/>
  <c r="G27"/>
  <c r="I27"/>
  <c r="J27"/>
  <c r="B28"/>
  <c r="D28"/>
  <c r="D61" s="1"/>
  <c r="E28"/>
  <c r="G28"/>
  <c r="I28"/>
  <c r="J28"/>
  <c r="B29"/>
  <c r="D29"/>
  <c r="E29"/>
  <c r="G29"/>
  <c r="I29"/>
  <c r="J29"/>
  <c r="B30"/>
  <c r="D30"/>
  <c r="E30"/>
  <c r="G30"/>
  <c r="I30"/>
  <c r="J30"/>
  <c r="B31"/>
  <c r="D31"/>
  <c r="E31"/>
  <c r="G31"/>
  <c r="I31"/>
  <c r="J31"/>
  <c r="B32"/>
  <c r="D32"/>
  <c r="E32"/>
  <c r="G32"/>
  <c r="I32"/>
  <c r="J32"/>
  <c r="B33"/>
  <c r="B61" s="1"/>
  <c r="D33"/>
  <c r="E33"/>
  <c r="G33"/>
  <c r="I33"/>
  <c r="J33"/>
  <c r="B34"/>
  <c r="D34"/>
  <c r="E34"/>
  <c r="G34"/>
  <c r="I34"/>
  <c r="J34"/>
  <c r="B35"/>
  <c r="D35"/>
  <c r="E35"/>
  <c r="G35"/>
  <c r="I35"/>
  <c r="J35"/>
  <c r="B36"/>
  <c r="D36"/>
  <c r="E36"/>
  <c r="G36"/>
  <c r="I36"/>
  <c r="J36"/>
  <c r="B37"/>
  <c r="D37"/>
  <c r="E37"/>
  <c r="G37"/>
  <c r="I37"/>
  <c r="J37"/>
  <c r="B38"/>
  <c r="D38"/>
  <c r="E38"/>
  <c r="G38"/>
  <c r="I38"/>
  <c r="J38"/>
  <c r="B39"/>
  <c r="D39"/>
  <c r="E39"/>
  <c r="G39"/>
  <c r="I39"/>
  <c r="J39"/>
  <c r="B40"/>
  <c r="D40"/>
  <c r="E40"/>
  <c r="G40"/>
  <c r="I40"/>
  <c r="J40"/>
  <c r="B41"/>
  <c r="D41"/>
  <c r="E41"/>
  <c r="G41"/>
  <c r="I41"/>
  <c r="J41"/>
  <c r="B42"/>
  <c r="D42"/>
  <c r="E42"/>
  <c r="G42"/>
  <c r="I42"/>
  <c r="J42"/>
  <c r="B43"/>
  <c r="D43"/>
  <c r="E43"/>
  <c r="G43"/>
  <c r="I43"/>
  <c r="J43"/>
  <c r="B44"/>
  <c r="E44"/>
  <c r="E62" s="1"/>
  <c r="G44"/>
  <c r="J44"/>
  <c r="B45"/>
  <c r="E45"/>
  <c r="G45"/>
  <c r="J45"/>
  <c r="B46"/>
  <c r="E46"/>
  <c r="G46"/>
  <c r="J46"/>
  <c r="B47"/>
  <c r="E47"/>
  <c r="G47"/>
  <c r="J47"/>
  <c r="B48"/>
  <c r="E48"/>
  <c r="G48"/>
  <c r="J48"/>
  <c r="B49"/>
  <c r="E49"/>
  <c r="G49"/>
  <c r="J49"/>
  <c r="B50"/>
  <c r="E50"/>
  <c r="G50"/>
  <c r="J50"/>
  <c r="B51"/>
  <c r="E51"/>
  <c r="G51"/>
  <c r="J51"/>
  <c r="B52"/>
  <c r="E52"/>
  <c r="G52"/>
  <c r="J52"/>
  <c r="B53"/>
  <c r="E53"/>
  <c r="G53"/>
  <c r="J53"/>
  <c r="B54"/>
  <c r="E54"/>
  <c r="G54"/>
  <c r="J54"/>
  <c r="B55"/>
  <c r="E55"/>
  <c r="G55"/>
  <c r="J55"/>
  <c r="B56"/>
  <c r="E56"/>
  <c r="G56"/>
  <c r="J56"/>
  <c r="B57"/>
  <c r="B65" s="1"/>
  <c r="E57"/>
  <c r="G57"/>
  <c r="J57"/>
  <c r="B5"/>
  <c r="D5"/>
  <c r="E5"/>
  <c r="G5"/>
  <c r="I5"/>
  <c r="J5"/>
  <c r="B6" i="213"/>
  <c r="E6"/>
  <c r="F6"/>
  <c r="G6"/>
  <c r="J6"/>
  <c r="K6"/>
  <c r="B7"/>
  <c r="E7"/>
  <c r="F7"/>
  <c r="G7"/>
  <c r="J7"/>
  <c r="K7"/>
  <c r="B8"/>
  <c r="E8"/>
  <c r="F8"/>
  <c r="G8"/>
  <c r="J8"/>
  <c r="K8"/>
  <c r="B9"/>
  <c r="E9"/>
  <c r="F9"/>
  <c r="G9"/>
  <c r="J9"/>
  <c r="K9"/>
  <c r="B10"/>
  <c r="E10"/>
  <c r="F10"/>
  <c r="G10"/>
  <c r="J10"/>
  <c r="K10"/>
  <c r="B11"/>
  <c r="E11"/>
  <c r="F11"/>
  <c r="G11"/>
  <c r="J11"/>
  <c r="K11"/>
  <c r="B12"/>
  <c r="E12"/>
  <c r="F12"/>
  <c r="G12"/>
  <c r="J12"/>
  <c r="K12"/>
  <c r="B13"/>
  <c r="E13"/>
  <c r="F13"/>
  <c r="G13"/>
  <c r="J13"/>
  <c r="K13"/>
  <c r="B14"/>
  <c r="E14"/>
  <c r="F14"/>
  <c r="G14"/>
  <c r="J14"/>
  <c r="K14"/>
  <c r="B15"/>
  <c r="E15"/>
  <c r="F15"/>
  <c r="G15"/>
  <c r="J15"/>
  <c r="K15"/>
  <c r="B16"/>
  <c r="E16"/>
  <c r="F16"/>
  <c r="G16"/>
  <c r="J16"/>
  <c r="K16"/>
  <c r="B17"/>
  <c r="E17"/>
  <c r="F17"/>
  <c r="G17"/>
  <c r="J17"/>
  <c r="K17"/>
  <c r="B18"/>
  <c r="E18"/>
  <c r="F18"/>
  <c r="G18"/>
  <c r="J18"/>
  <c r="K18"/>
  <c r="B19"/>
  <c r="E19"/>
  <c r="F19"/>
  <c r="G19"/>
  <c r="J19"/>
  <c r="K19"/>
  <c r="B20"/>
  <c r="E20"/>
  <c r="F20"/>
  <c r="G20"/>
  <c r="J20"/>
  <c r="K20"/>
  <c r="B21"/>
  <c r="E21"/>
  <c r="F21"/>
  <c r="G21"/>
  <c r="J21"/>
  <c r="K21"/>
  <c r="B22"/>
  <c r="E22"/>
  <c r="F22"/>
  <c r="G22"/>
  <c r="J22"/>
  <c r="K22"/>
  <c r="B23"/>
  <c r="E23"/>
  <c r="F23"/>
  <c r="G23"/>
  <c r="J23"/>
  <c r="K23"/>
  <c r="B24"/>
  <c r="E24"/>
  <c r="F24"/>
  <c r="G24"/>
  <c r="J24"/>
  <c r="K24"/>
  <c r="B25"/>
  <c r="E25"/>
  <c r="F25"/>
  <c r="G25"/>
  <c r="J25"/>
  <c r="K25"/>
  <c r="B26"/>
  <c r="E26"/>
  <c r="F26"/>
  <c r="G26"/>
  <c r="J26"/>
  <c r="K26"/>
  <c r="B27"/>
  <c r="E27"/>
  <c r="F27"/>
  <c r="G27"/>
  <c r="J27"/>
  <c r="K27"/>
  <c r="B28"/>
  <c r="E28"/>
  <c r="F28"/>
  <c r="G28"/>
  <c r="J28"/>
  <c r="J61" s="1"/>
  <c r="K28"/>
  <c r="B29"/>
  <c r="E29"/>
  <c r="F29"/>
  <c r="G29"/>
  <c r="J29"/>
  <c r="K29"/>
  <c r="B30"/>
  <c r="E30"/>
  <c r="F30"/>
  <c r="G30"/>
  <c r="J30"/>
  <c r="K30"/>
  <c r="B31"/>
  <c r="E31"/>
  <c r="F31"/>
  <c r="G31"/>
  <c r="J31"/>
  <c r="K31"/>
  <c r="B32"/>
  <c r="E32"/>
  <c r="F32"/>
  <c r="G32"/>
  <c r="J32"/>
  <c r="K32"/>
  <c r="B33"/>
  <c r="E33"/>
  <c r="F33"/>
  <c r="F62" s="1"/>
  <c r="G33"/>
  <c r="J33"/>
  <c r="K33"/>
  <c r="B34"/>
  <c r="E34"/>
  <c r="F34"/>
  <c r="G34"/>
  <c r="J34"/>
  <c r="K34"/>
  <c r="B35"/>
  <c r="E35"/>
  <c r="F35"/>
  <c r="G35"/>
  <c r="J35"/>
  <c r="K35"/>
  <c r="B36"/>
  <c r="E36"/>
  <c r="F36"/>
  <c r="G36"/>
  <c r="J36"/>
  <c r="K36"/>
  <c r="B37"/>
  <c r="E37"/>
  <c r="F37"/>
  <c r="G37"/>
  <c r="J37"/>
  <c r="K37"/>
  <c r="B38"/>
  <c r="E38"/>
  <c r="F38"/>
  <c r="G38"/>
  <c r="J38"/>
  <c r="K38"/>
  <c r="B39"/>
  <c r="E39"/>
  <c r="F39"/>
  <c r="G39"/>
  <c r="J39"/>
  <c r="K39"/>
  <c r="B40"/>
  <c r="E40"/>
  <c r="F40"/>
  <c r="G40"/>
  <c r="J40"/>
  <c r="K40"/>
  <c r="B41"/>
  <c r="E41"/>
  <c r="F41"/>
  <c r="G41"/>
  <c r="J41"/>
  <c r="K41"/>
  <c r="B42"/>
  <c r="E42"/>
  <c r="F42"/>
  <c r="G42"/>
  <c r="J42"/>
  <c r="K42"/>
  <c r="B43"/>
  <c r="E43"/>
  <c r="F43"/>
  <c r="G43"/>
  <c r="J43"/>
  <c r="K43"/>
  <c r="B44"/>
  <c r="E44"/>
  <c r="F44"/>
  <c r="G44"/>
  <c r="G62" s="1"/>
  <c r="J44"/>
  <c r="J62" s="1"/>
  <c r="K44"/>
  <c r="B45"/>
  <c r="E45"/>
  <c r="F45"/>
  <c r="G45"/>
  <c r="J45"/>
  <c r="K45"/>
  <c r="B46"/>
  <c r="E46"/>
  <c r="F46"/>
  <c r="G46"/>
  <c r="J46"/>
  <c r="K46"/>
  <c r="B47"/>
  <c r="E47"/>
  <c r="F47"/>
  <c r="G47"/>
  <c r="J47"/>
  <c r="K47"/>
  <c r="B48"/>
  <c r="E48"/>
  <c r="F48"/>
  <c r="G48"/>
  <c r="J48"/>
  <c r="K48"/>
  <c r="B49"/>
  <c r="E49"/>
  <c r="F49"/>
  <c r="G49"/>
  <c r="J49"/>
  <c r="K49"/>
  <c r="B50"/>
  <c r="E50"/>
  <c r="F50"/>
  <c r="G50"/>
  <c r="J50"/>
  <c r="K50"/>
  <c r="B51"/>
  <c r="E51"/>
  <c r="F51"/>
  <c r="G51"/>
  <c r="J51"/>
  <c r="K51"/>
  <c r="B52"/>
  <c r="E52"/>
  <c r="F52"/>
  <c r="G52"/>
  <c r="J52"/>
  <c r="K52"/>
  <c r="B53"/>
  <c r="E53"/>
  <c r="F53"/>
  <c r="G53"/>
  <c r="J53"/>
  <c r="K53"/>
  <c r="B54"/>
  <c r="F54"/>
  <c r="G54"/>
  <c r="K54"/>
  <c r="B55"/>
  <c r="F55"/>
  <c r="G55"/>
  <c r="K55"/>
  <c r="B56"/>
  <c r="F56"/>
  <c r="G56"/>
  <c r="K56"/>
  <c r="B57"/>
  <c r="B65" s="1"/>
  <c r="F57"/>
  <c r="F65" s="1"/>
  <c r="G57"/>
  <c r="K57"/>
  <c r="K60" s="1"/>
  <c r="B5"/>
  <c r="E5"/>
  <c r="F5"/>
  <c r="G5"/>
  <c r="J5"/>
  <c r="K5"/>
  <c r="B6" i="212"/>
  <c r="D6"/>
  <c r="E6"/>
  <c r="G6"/>
  <c r="I6"/>
  <c r="J6"/>
  <c r="B7"/>
  <c r="D7"/>
  <c r="E7"/>
  <c r="G7"/>
  <c r="I7"/>
  <c r="J7"/>
  <c r="B8"/>
  <c r="D8"/>
  <c r="E8"/>
  <c r="G8"/>
  <c r="I8"/>
  <c r="J8"/>
  <c r="B9"/>
  <c r="D9"/>
  <c r="E9"/>
  <c r="G9"/>
  <c r="I9"/>
  <c r="J9"/>
  <c r="B10"/>
  <c r="D10"/>
  <c r="E10"/>
  <c r="G10"/>
  <c r="I10"/>
  <c r="J10"/>
  <c r="B11"/>
  <c r="D11"/>
  <c r="E11"/>
  <c r="G11"/>
  <c r="I11"/>
  <c r="J11"/>
  <c r="B12"/>
  <c r="D12"/>
  <c r="E12"/>
  <c r="G12"/>
  <c r="I12"/>
  <c r="J12"/>
  <c r="B13"/>
  <c r="D13"/>
  <c r="E13"/>
  <c r="G13"/>
  <c r="I13"/>
  <c r="J13"/>
  <c r="B14"/>
  <c r="D14"/>
  <c r="E14"/>
  <c r="G14"/>
  <c r="I14"/>
  <c r="J14"/>
  <c r="B15"/>
  <c r="D15"/>
  <c r="E15"/>
  <c r="G15"/>
  <c r="I15"/>
  <c r="J15"/>
  <c r="B16"/>
  <c r="D16"/>
  <c r="E16"/>
  <c r="G16"/>
  <c r="I16"/>
  <c r="J16"/>
  <c r="B17"/>
  <c r="D17"/>
  <c r="E17"/>
  <c r="G17"/>
  <c r="I17"/>
  <c r="J17"/>
  <c r="B18"/>
  <c r="D18"/>
  <c r="E18"/>
  <c r="G18"/>
  <c r="I18"/>
  <c r="J18"/>
  <c r="B19"/>
  <c r="D19"/>
  <c r="E19"/>
  <c r="G19"/>
  <c r="I19"/>
  <c r="J19"/>
  <c r="B20"/>
  <c r="D20"/>
  <c r="E20"/>
  <c r="G20"/>
  <c r="I20"/>
  <c r="J20"/>
  <c r="B21"/>
  <c r="D21"/>
  <c r="E21"/>
  <c r="G21"/>
  <c r="I21"/>
  <c r="J21"/>
  <c r="B22"/>
  <c r="D22"/>
  <c r="E22"/>
  <c r="G22"/>
  <c r="I22"/>
  <c r="J22"/>
  <c r="B23"/>
  <c r="D23"/>
  <c r="E23"/>
  <c r="G23"/>
  <c r="I23"/>
  <c r="J23"/>
  <c r="B24"/>
  <c r="D24"/>
  <c r="E24"/>
  <c r="G24"/>
  <c r="I24"/>
  <c r="J24"/>
  <c r="B25"/>
  <c r="D25"/>
  <c r="E25"/>
  <c r="G25"/>
  <c r="I25"/>
  <c r="J25"/>
  <c r="B26"/>
  <c r="D26"/>
  <c r="E26"/>
  <c r="G26"/>
  <c r="I26"/>
  <c r="J26"/>
  <c r="B27"/>
  <c r="D27"/>
  <c r="E27"/>
  <c r="G27"/>
  <c r="I27"/>
  <c r="J27"/>
  <c r="B28"/>
  <c r="D28"/>
  <c r="E28"/>
  <c r="G28"/>
  <c r="I28"/>
  <c r="I61" s="1"/>
  <c r="J28"/>
  <c r="B29"/>
  <c r="D29"/>
  <c r="E29"/>
  <c r="G29"/>
  <c r="I29"/>
  <c r="J29"/>
  <c r="B30"/>
  <c r="D30"/>
  <c r="E30"/>
  <c r="G30"/>
  <c r="I30"/>
  <c r="J30"/>
  <c r="B31"/>
  <c r="D31"/>
  <c r="E31"/>
  <c r="G31"/>
  <c r="I31"/>
  <c r="J31"/>
  <c r="B32"/>
  <c r="D32"/>
  <c r="E32"/>
  <c r="G32"/>
  <c r="I32"/>
  <c r="J32"/>
  <c r="B33"/>
  <c r="D33"/>
  <c r="E33"/>
  <c r="E62" s="1"/>
  <c r="G33"/>
  <c r="I33"/>
  <c r="J33"/>
  <c r="B34"/>
  <c r="D34"/>
  <c r="E34"/>
  <c r="G34"/>
  <c r="I34"/>
  <c r="J34"/>
  <c r="B35"/>
  <c r="D35"/>
  <c r="E35"/>
  <c r="G35"/>
  <c r="I35"/>
  <c r="J35"/>
  <c r="B36"/>
  <c r="D36"/>
  <c r="E36"/>
  <c r="G36"/>
  <c r="I36"/>
  <c r="J36"/>
  <c r="B37"/>
  <c r="D37"/>
  <c r="E37"/>
  <c r="G37"/>
  <c r="I37"/>
  <c r="J37"/>
  <c r="B38"/>
  <c r="D38"/>
  <c r="E38"/>
  <c r="G38"/>
  <c r="I38"/>
  <c r="J38"/>
  <c r="B39"/>
  <c r="D39"/>
  <c r="E39"/>
  <c r="G39"/>
  <c r="I39"/>
  <c r="J39"/>
  <c r="B40"/>
  <c r="D40"/>
  <c r="E40"/>
  <c r="G40"/>
  <c r="I40"/>
  <c r="J40"/>
  <c r="B41"/>
  <c r="D41"/>
  <c r="E41"/>
  <c r="G41"/>
  <c r="I41"/>
  <c r="J41"/>
  <c r="B42"/>
  <c r="D42"/>
  <c r="E42"/>
  <c r="G42"/>
  <c r="I42"/>
  <c r="J42"/>
  <c r="B43"/>
  <c r="D43"/>
  <c r="E43"/>
  <c r="G43"/>
  <c r="I43"/>
  <c r="J43"/>
  <c r="B44"/>
  <c r="E44"/>
  <c r="G44"/>
  <c r="J44"/>
  <c r="B45"/>
  <c r="E45"/>
  <c r="G45"/>
  <c r="J45"/>
  <c r="B46"/>
  <c r="E46"/>
  <c r="G46"/>
  <c r="J46"/>
  <c r="B47"/>
  <c r="E47"/>
  <c r="G47"/>
  <c r="J47"/>
  <c r="B48"/>
  <c r="E48"/>
  <c r="G48"/>
  <c r="J48"/>
  <c r="B49"/>
  <c r="E49"/>
  <c r="G49"/>
  <c r="J49"/>
  <c r="B50"/>
  <c r="E50"/>
  <c r="G50"/>
  <c r="J50"/>
  <c r="B51"/>
  <c r="E51"/>
  <c r="G51"/>
  <c r="J51"/>
  <c r="B52"/>
  <c r="E52"/>
  <c r="G52"/>
  <c r="J52"/>
  <c r="B53"/>
  <c r="E53"/>
  <c r="G53"/>
  <c r="J53"/>
  <c r="B54"/>
  <c r="E54"/>
  <c r="G54"/>
  <c r="J54"/>
  <c r="B55"/>
  <c r="E55"/>
  <c r="G55"/>
  <c r="J55"/>
  <c r="B56"/>
  <c r="E56"/>
  <c r="G56"/>
  <c r="J56"/>
  <c r="B57"/>
  <c r="B60" s="1"/>
  <c r="E57"/>
  <c r="E65" s="1"/>
  <c r="G57"/>
  <c r="J57"/>
  <c r="B5"/>
  <c r="D5"/>
  <c r="E5"/>
  <c r="G5"/>
  <c r="I5"/>
  <c r="J5"/>
  <c r="B6" i="211"/>
  <c r="E6"/>
  <c r="F6"/>
  <c r="G6"/>
  <c r="J6"/>
  <c r="K6"/>
  <c r="B7"/>
  <c r="E7"/>
  <c r="F7"/>
  <c r="G7"/>
  <c r="J7"/>
  <c r="K7"/>
  <c r="B8"/>
  <c r="E8"/>
  <c r="F8"/>
  <c r="G8"/>
  <c r="J8"/>
  <c r="K8"/>
  <c r="B9"/>
  <c r="E9"/>
  <c r="F9"/>
  <c r="G9"/>
  <c r="J9"/>
  <c r="K9"/>
  <c r="B10"/>
  <c r="E10"/>
  <c r="F10"/>
  <c r="G10"/>
  <c r="J10"/>
  <c r="K10"/>
  <c r="B11"/>
  <c r="E11"/>
  <c r="F11"/>
  <c r="G11"/>
  <c r="J11"/>
  <c r="K11"/>
  <c r="B12"/>
  <c r="E12"/>
  <c r="F12"/>
  <c r="G12"/>
  <c r="J12"/>
  <c r="K12"/>
  <c r="B13"/>
  <c r="E13"/>
  <c r="F13"/>
  <c r="G13"/>
  <c r="J13"/>
  <c r="K13"/>
  <c r="B14"/>
  <c r="E14"/>
  <c r="F14"/>
  <c r="G14"/>
  <c r="J14"/>
  <c r="K14"/>
  <c r="B15"/>
  <c r="E15"/>
  <c r="F15"/>
  <c r="G15"/>
  <c r="J15"/>
  <c r="K15"/>
  <c r="B16"/>
  <c r="E16"/>
  <c r="F16"/>
  <c r="G16"/>
  <c r="J16"/>
  <c r="K16"/>
  <c r="B17"/>
  <c r="E17"/>
  <c r="F17"/>
  <c r="G17"/>
  <c r="J17"/>
  <c r="K17"/>
  <c r="B18"/>
  <c r="E18"/>
  <c r="F18"/>
  <c r="G18"/>
  <c r="J18"/>
  <c r="K18"/>
  <c r="B19"/>
  <c r="E19"/>
  <c r="F19"/>
  <c r="G19"/>
  <c r="J19"/>
  <c r="K19"/>
  <c r="B20"/>
  <c r="E20"/>
  <c r="F20"/>
  <c r="G20"/>
  <c r="J20"/>
  <c r="K20"/>
  <c r="B21"/>
  <c r="E21"/>
  <c r="F21"/>
  <c r="G21"/>
  <c r="J21"/>
  <c r="K21"/>
  <c r="B22"/>
  <c r="E22"/>
  <c r="F22"/>
  <c r="G22"/>
  <c r="J22"/>
  <c r="K22"/>
  <c r="B23"/>
  <c r="E23"/>
  <c r="F23"/>
  <c r="G23"/>
  <c r="J23"/>
  <c r="K23"/>
  <c r="B24"/>
  <c r="E24"/>
  <c r="F24"/>
  <c r="G24"/>
  <c r="J24"/>
  <c r="K24"/>
  <c r="B25"/>
  <c r="E25"/>
  <c r="F25"/>
  <c r="G25"/>
  <c r="J25"/>
  <c r="K25"/>
  <c r="B26"/>
  <c r="E26"/>
  <c r="F26"/>
  <c r="G26"/>
  <c r="J26"/>
  <c r="K26"/>
  <c r="B27"/>
  <c r="E27"/>
  <c r="F27"/>
  <c r="G27"/>
  <c r="J27"/>
  <c r="K27"/>
  <c r="B28"/>
  <c r="E28"/>
  <c r="F28"/>
  <c r="G28"/>
  <c r="J28"/>
  <c r="K28"/>
  <c r="B29"/>
  <c r="E29"/>
  <c r="F29"/>
  <c r="G29"/>
  <c r="J29"/>
  <c r="K29"/>
  <c r="B30"/>
  <c r="E30"/>
  <c r="F30"/>
  <c r="G30"/>
  <c r="J30"/>
  <c r="K30"/>
  <c r="B31"/>
  <c r="E31"/>
  <c r="F31"/>
  <c r="G31"/>
  <c r="J31"/>
  <c r="K31"/>
  <c r="B32"/>
  <c r="E32"/>
  <c r="F32"/>
  <c r="G32"/>
  <c r="J32"/>
  <c r="K32"/>
  <c r="B33"/>
  <c r="B62" s="1"/>
  <c r="E33"/>
  <c r="F33"/>
  <c r="G33"/>
  <c r="J33"/>
  <c r="J62" s="1"/>
  <c r="K33"/>
  <c r="B34"/>
  <c r="E34"/>
  <c r="F34"/>
  <c r="G34"/>
  <c r="J34"/>
  <c r="K34"/>
  <c r="B35"/>
  <c r="E35"/>
  <c r="F35"/>
  <c r="G35"/>
  <c r="J35"/>
  <c r="K35"/>
  <c r="B36"/>
  <c r="E36"/>
  <c r="F36"/>
  <c r="G36"/>
  <c r="J36"/>
  <c r="K36"/>
  <c r="B37"/>
  <c r="E37"/>
  <c r="F37"/>
  <c r="G37"/>
  <c r="J37"/>
  <c r="K37"/>
  <c r="B38"/>
  <c r="E38"/>
  <c r="F38"/>
  <c r="G38"/>
  <c r="J38"/>
  <c r="K38"/>
  <c r="B39"/>
  <c r="E39"/>
  <c r="F39"/>
  <c r="G39"/>
  <c r="J39"/>
  <c r="K39"/>
  <c r="B40"/>
  <c r="E40"/>
  <c r="F40"/>
  <c r="G40"/>
  <c r="J40"/>
  <c r="K40"/>
  <c r="B41"/>
  <c r="E41"/>
  <c r="F41"/>
  <c r="G41"/>
  <c r="J41"/>
  <c r="K41"/>
  <c r="B42"/>
  <c r="E42"/>
  <c r="F42"/>
  <c r="G42"/>
  <c r="J42"/>
  <c r="K42"/>
  <c r="B43"/>
  <c r="E43"/>
  <c r="F43"/>
  <c r="G43"/>
  <c r="J43"/>
  <c r="K43"/>
  <c r="B44"/>
  <c r="E44"/>
  <c r="F44"/>
  <c r="G44"/>
  <c r="J44"/>
  <c r="K44"/>
  <c r="B45"/>
  <c r="E45"/>
  <c r="F45"/>
  <c r="G45"/>
  <c r="J45"/>
  <c r="K45"/>
  <c r="B46"/>
  <c r="E46"/>
  <c r="F46"/>
  <c r="G46"/>
  <c r="J46"/>
  <c r="K46"/>
  <c r="B47"/>
  <c r="E47"/>
  <c r="F47"/>
  <c r="G47"/>
  <c r="J47"/>
  <c r="K47"/>
  <c r="B48"/>
  <c r="E48"/>
  <c r="F48"/>
  <c r="G48"/>
  <c r="J48"/>
  <c r="K48"/>
  <c r="B49"/>
  <c r="E49"/>
  <c r="F49"/>
  <c r="G49"/>
  <c r="J49"/>
  <c r="K49"/>
  <c r="B50"/>
  <c r="E50"/>
  <c r="F50"/>
  <c r="G50"/>
  <c r="J50"/>
  <c r="K50"/>
  <c r="B51"/>
  <c r="E51"/>
  <c r="F51"/>
  <c r="G51"/>
  <c r="J51"/>
  <c r="K51"/>
  <c r="B52"/>
  <c r="E52"/>
  <c r="F52"/>
  <c r="G52"/>
  <c r="J52"/>
  <c r="K52"/>
  <c r="B53"/>
  <c r="E53"/>
  <c r="F53"/>
  <c r="G53"/>
  <c r="J53"/>
  <c r="K53"/>
  <c r="B54"/>
  <c r="F54"/>
  <c r="G54"/>
  <c r="K54"/>
  <c r="B55"/>
  <c r="F55"/>
  <c r="G55"/>
  <c r="K55"/>
  <c r="B56"/>
  <c r="F56"/>
  <c r="G56"/>
  <c r="K56"/>
  <c r="B57"/>
  <c r="B60" s="1"/>
  <c r="F57"/>
  <c r="G57"/>
  <c r="K57"/>
  <c r="B5"/>
  <c r="E5"/>
  <c r="F5"/>
  <c r="G5"/>
  <c r="J5"/>
  <c r="K5"/>
  <c r="B6" i="210"/>
  <c r="D6"/>
  <c r="E6"/>
  <c r="G6"/>
  <c r="I6"/>
  <c r="J6"/>
  <c r="B7"/>
  <c r="D7"/>
  <c r="E7"/>
  <c r="G7"/>
  <c r="I7"/>
  <c r="J7"/>
  <c r="B8"/>
  <c r="D8"/>
  <c r="E8"/>
  <c r="G8"/>
  <c r="I8"/>
  <c r="J8"/>
  <c r="B9"/>
  <c r="D9"/>
  <c r="E9"/>
  <c r="G9"/>
  <c r="I9"/>
  <c r="J9"/>
  <c r="B10"/>
  <c r="D10"/>
  <c r="E10"/>
  <c r="G10"/>
  <c r="I10"/>
  <c r="J10"/>
  <c r="B11"/>
  <c r="D11"/>
  <c r="E11"/>
  <c r="G11"/>
  <c r="I11"/>
  <c r="J11"/>
  <c r="B12"/>
  <c r="D12"/>
  <c r="E12"/>
  <c r="G12"/>
  <c r="I12"/>
  <c r="J12"/>
  <c r="B13"/>
  <c r="D13"/>
  <c r="E13"/>
  <c r="G13"/>
  <c r="I13"/>
  <c r="J13"/>
  <c r="B14"/>
  <c r="D14"/>
  <c r="E14"/>
  <c r="G14"/>
  <c r="I14"/>
  <c r="J14"/>
  <c r="B15"/>
  <c r="D15"/>
  <c r="E15"/>
  <c r="G15"/>
  <c r="I15"/>
  <c r="J15"/>
  <c r="B16"/>
  <c r="D16"/>
  <c r="E16"/>
  <c r="G16"/>
  <c r="I16"/>
  <c r="J16"/>
  <c r="B17"/>
  <c r="D17"/>
  <c r="E17"/>
  <c r="G17"/>
  <c r="I17"/>
  <c r="J17"/>
  <c r="B18"/>
  <c r="D18"/>
  <c r="E18"/>
  <c r="G18"/>
  <c r="I18"/>
  <c r="J18"/>
  <c r="B19"/>
  <c r="D19"/>
  <c r="E19"/>
  <c r="G19"/>
  <c r="I19"/>
  <c r="J19"/>
  <c r="B20"/>
  <c r="D20"/>
  <c r="E20"/>
  <c r="G20"/>
  <c r="I20"/>
  <c r="J20"/>
  <c r="B21"/>
  <c r="D21"/>
  <c r="E21"/>
  <c r="G21"/>
  <c r="I21"/>
  <c r="J21"/>
  <c r="B22"/>
  <c r="D22"/>
  <c r="E22"/>
  <c r="G22"/>
  <c r="I22"/>
  <c r="J22"/>
  <c r="B23"/>
  <c r="D23"/>
  <c r="E23"/>
  <c r="G23"/>
  <c r="I23"/>
  <c r="J23"/>
  <c r="B24"/>
  <c r="D24"/>
  <c r="E24"/>
  <c r="G24"/>
  <c r="I24"/>
  <c r="J24"/>
  <c r="B25"/>
  <c r="D25"/>
  <c r="E25"/>
  <c r="G25"/>
  <c r="I25"/>
  <c r="J25"/>
  <c r="B26"/>
  <c r="D26"/>
  <c r="E26"/>
  <c r="G26"/>
  <c r="I26"/>
  <c r="J26"/>
  <c r="B27"/>
  <c r="D27"/>
  <c r="E27"/>
  <c r="G27"/>
  <c r="I27"/>
  <c r="J27"/>
  <c r="B28"/>
  <c r="B61" s="1"/>
  <c r="D28"/>
  <c r="E28"/>
  <c r="G28"/>
  <c r="I28"/>
  <c r="J28"/>
  <c r="B29"/>
  <c r="D29"/>
  <c r="E29"/>
  <c r="G29"/>
  <c r="I29"/>
  <c r="J29"/>
  <c r="B30"/>
  <c r="D30"/>
  <c r="E30"/>
  <c r="G30"/>
  <c r="I30"/>
  <c r="J30"/>
  <c r="B31"/>
  <c r="D31"/>
  <c r="E31"/>
  <c r="G31"/>
  <c r="I31"/>
  <c r="J31"/>
  <c r="B32"/>
  <c r="D32"/>
  <c r="E32"/>
  <c r="G32"/>
  <c r="I32"/>
  <c r="J32"/>
  <c r="B33"/>
  <c r="D33"/>
  <c r="E33"/>
  <c r="E61" s="1"/>
  <c r="G33"/>
  <c r="I33"/>
  <c r="J33"/>
  <c r="B34"/>
  <c r="D34"/>
  <c r="E34"/>
  <c r="G34"/>
  <c r="I34"/>
  <c r="J34"/>
  <c r="B35"/>
  <c r="D35"/>
  <c r="E35"/>
  <c r="G35"/>
  <c r="I35"/>
  <c r="J35"/>
  <c r="B36"/>
  <c r="D36"/>
  <c r="E36"/>
  <c r="G36"/>
  <c r="I36"/>
  <c r="J36"/>
  <c r="B37"/>
  <c r="D37"/>
  <c r="E37"/>
  <c r="G37"/>
  <c r="I37"/>
  <c r="J37"/>
  <c r="B38"/>
  <c r="D38"/>
  <c r="E38"/>
  <c r="G38"/>
  <c r="I38"/>
  <c r="J38"/>
  <c r="B39"/>
  <c r="D39"/>
  <c r="E39"/>
  <c r="G39"/>
  <c r="I39"/>
  <c r="J39"/>
  <c r="B40"/>
  <c r="D40"/>
  <c r="E40"/>
  <c r="G40"/>
  <c r="I40"/>
  <c r="J40"/>
  <c r="B41"/>
  <c r="D41"/>
  <c r="E41"/>
  <c r="G41"/>
  <c r="I41"/>
  <c r="J41"/>
  <c r="B42"/>
  <c r="D42"/>
  <c r="E42"/>
  <c r="G42"/>
  <c r="I42"/>
  <c r="J42"/>
  <c r="B43"/>
  <c r="D43"/>
  <c r="E43"/>
  <c r="G43"/>
  <c r="I43"/>
  <c r="J43"/>
  <c r="B44"/>
  <c r="B62" s="1"/>
  <c r="E44"/>
  <c r="G44"/>
  <c r="J44"/>
  <c r="B45"/>
  <c r="E45"/>
  <c r="G45"/>
  <c r="J45"/>
  <c r="B46"/>
  <c r="E46"/>
  <c r="G46"/>
  <c r="J46"/>
  <c r="B47"/>
  <c r="E47"/>
  <c r="G47"/>
  <c r="J47"/>
  <c r="B48"/>
  <c r="E48"/>
  <c r="G48"/>
  <c r="J48"/>
  <c r="B49"/>
  <c r="E49"/>
  <c r="G49"/>
  <c r="J49"/>
  <c r="B50"/>
  <c r="E50"/>
  <c r="G50"/>
  <c r="J50"/>
  <c r="B51"/>
  <c r="E51"/>
  <c r="G51"/>
  <c r="J51"/>
  <c r="B52"/>
  <c r="E52"/>
  <c r="G52"/>
  <c r="J52"/>
  <c r="B53"/>
  <c r="E53"/>
  <c r="G53"/>
  <c r="J53"/>
  <c r="B54"/>
  <c r="E54"/>
  <c r="G54"/>
  <c r="J54"/>
  <c r="B55"/>
  <c r="E55"/>
  <c r="G55"/>
  <c r="J55"/>
  <c r="B56"/>
  <c r="E56"/>
  <c r="G56"/>
  <c r="J56"/>
  <c r="B57"/>
  <c r="E57"/>
  <c r="E60" s="1"/>
  <c r="G57"/>
  <c r="J57"/>
  <c r="B5"/>
  <c r="D5"/>
  <c r="E5"/>
  <c r="G5"/>
  <c r="I5"/>
  <c r="J5"/>
  <c r="F65" i="219"/>
  <c r="J62" i="218"/>
  <c r="B60"/>
  <c r="B62" i="217"/>
  <c r="B65" i="216"/>
  <c r="J62"/>
  <c r="E61" i="215"/>
  <c r="B60"/>
  <c r="F60" i="213"/>
  <c r="G65" i="212"/>
  <c r="B65" i="211"/>
  <c r="K60"/>
  <c r="E65" i="210"/>
  <c r="E27" i="153"/>
  <c r="D27"/>
  <c r="D27" i="152"/>
  <c r="E27"/>
  <c r="B28" i="162"/>
  <c r="B28" i="161"/>
  <c r="C28" i="160"/>
  <c r="B28"/>
  <c r="C28" i="159"/>
  <c r="B28"/>
  <c r="C28" i="149"/>
  <c r="C28" i="147"/>
  <c r="A97" i="165"/>
  <c r="A96"/>
  <c r="A95"/>
  <c r="A94"/>
  <c r="A93"/>
  <c r="A92"/>
  <c r="A91"/>
  <c r="A90"/>
  <c r="A89"/>
  <c r="A88"/>
  <c r="E60" i="204"/>
  <c r="G60"/>
  <c r="J60"/>
  <c r="L60"/>
  <c r="O60"/>
  <c r="D61"/>
  <c r="E61"/>
  <c r="G61"/>
  <c r="I61"/>
  <c r="J61"/>
  <c r="L61"/>
  <c r="N61"/>
  <c r="O61"/>
  <c r="E62"/>
  <c r="G62"/>
  <c r="J62"/>
  <c r="L62"/>
  <c r="O62"/>
  <c r="E65"/>
  <c r="G65"/>
  <c r="J65"/>
  <c r="L65"/>
  <c r="O65"/>
  <c r="F60" i="205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E60" i="206"/>
  <c r="G60"/>
  <c r="J60"/>
  <c r="L60"/>
  <c r="O60"/>
  <c r="D61"/>
  <c r="E61"/>
  <c r="G61"/>
  <c r="J61"/>
  <c r="L61"/>
  <c r="N61"/>
  <c r="O61"/>
  <c r="F60" i="207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E60" i="208"/>
  <c r="G60"/>
  <c r="J60"/>
  <c r="L60"/>
  <c r="O60"/>
  <c r="D61"/>
  <c r="E61"/>
  <c r="G61"/>
  <c r="I61"/>
  <c r="J61"/>
  <c r="L61"/>
  <c r="N61"/>
  <c r="O61"/>
  <c r="E62"/>
  <c r="G62"/>
  <c r="J62"/>
  <c r="L62"/>
  <c r="O62"/>
  <c r="E65"/>
  <c r="G65"/>
  <c r="J65"/>
  <c r="L65"/>
  <c r="O65"/>
  <c r="F60" i="209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F60" i="203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E60" i="202"/>
  <c r="G60"/>
  <c r="J60"/>
  <c r="L60"/>
  <c r="O60"/>
  <c r="D61"/>
  <c r="E61"/>
  <c r="G61"/>
  <c r="I61"/>
  <c r="J61"/>
  <c r="L61"/>
  <c r="N61"/>
  <c r="O61"/>
  <c r="E62"/>
  <c r="G62"/>
  <c r="J62"/>
  <c r="L62"/>
  <c r="O62"/>
  <c r="E65"/>
  <c r="G65"/>
  <c r="J65"/>
  <c r="L65"/>
  <c r="O65"/>
  <c r="B60" i="201"/>
  <c r="F60"/>
  <c r="B61"/>
  <c r="E61"/>
  <c r="F61"/>
  <c r="B62"/>
  <c r="E62"/>
  <c r="F62"/>
  <c r="B65"/>
  <c r="F65"/>
  <c r="K60"/>
  <c r="L60"/>
  <c r="P60"/>
  <c r="J61"/>
  <c r="K61"/>
  <c r="L61"/>
  <c r="O61"/>
  <c r="P61"/>
  <c r="J62"/>
  <c r="K62"/>
  <c r="L62"/>
  <c r="O62"/>
  <c r="P62"/>
  <c r="K65"/>
  <c r="L65"/>
  <c r="P65"/>
  <c r="E60" i="200"/>
  <c r="G60"/>
  <c r="J60"/>
  <c r="L60"/>
  <c r="O60"/>
  <c r="D61"/>
  <c r="E61"/>
  <c r="G61"/>
  <c r="I61"/>
  <c r="J61"/>
  <c r="L61"/>
  <c r="N61"/>
  <c r="O61"/>
  <c r="E62"/>
  <c r="G62"/>
  <c r="J62"/>
  <c r="L62"/>
  <c r="O62"/>
  <c r="E65"/>
  <c r="G65"/>
  <c r="J65"/>
  <c r="L65"/>
  <c r="O65"/>
  <c r="B65" i="209"/>
  <c r="B62"/>
  <c r="B61"/>
  <c r="B60"/>
  <c r="B65" i="208"/>
  <c r="B62"/>
  <c r="B61"/>
  <c r="B60"/>
  <c r="B65" i="207"/>
  <c r="B62"/>
  <c r="B61"/>
  <c r="B60"/>
  <c r="B65" i="206"/>
  <c r="B62"/>
  <c r="B61"/>
  <c r="B60"/>
  <c r="B65" i="205"/>
  <c r="B62"/>
  <c r="B61"/>
  <c r="B60"/>
  <c r="B65" i="204"/>
  <c r="B62"/>
  <c r="B61"/>
  <c r="B60"/>
  <c r="B65" i="203"/>
  <c r="B62"/>
  <c r="B61"/>
  <c r="B60"/>
  <c r="B65" i="202"/>
  <c r="B62"/>
  <c r="B61"/>
  <c r="B60"/>
  <c r="G65" i="201"/>
  <c r="G62"/>
  <c r="G61"/>
  <c r="G60"/>
  <c r="B65" i="200"/>
  <c r="B62"/>
  <c r="B61"/>
  <c r="B60"/>
  <c r="A147" i="165"/>
  <c r="B5" i="189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B27" s="1"/>
  <c r="C21"/>
  <c r="C27" s="1"/>
  <c r="D21"/>
  <c r="E21"/>
  <c r="E27" s="1"/>
  <c r="F21"/>
  <c r="F27" s="1"/>
  <c r="F15"/>
  <c r="K15" s="1"/>
  <c r="E15"/>
  <c r="D15"/>
  <c r="I15" s="1"/>
  <c r="C15"/>
  <c r="H15" s="1"/>
  <c r="B15"/>
  <c r="G15" s="1"/>
  <c r="J15"/>
  <c r="E37" i="185"/>
  <c r="F6" i="188"/>
  <c r="F7"/>
  <c r="F8"/>
  <c r="F9"/>
  <c r="F10"/>
  <c r="F11"/>
  <c r="F12"/>
  <c r="F13"/>
  <c r="F14"/>
  <c r="F15"/>
  <c r="F16"/>
  <c r="F17"/>
  <c r="F18"/>
  <c r="F19"/>
  <c r="K19" s="1"/>
  <c r="F20"/>
  <c r="F21"/>
  <c r="E6"/>
  <c r="E7"/>
  <c r="E8"/>
  <c r="E9"/>
  <c r="E10"/>
  <c r="E11"/>
  <c r="E12"/>
  <c r="E13"/>
  <c r="E14"/>
  <c r="E15"/>
  <c r="E16"/>
  <c r="E17"/>
  <c r="E18"/>
  <c r="E19"/>
  <c r="J19" s="1"/>
  <c r="E20"/>
  <c r="E21"/>
  <c r="D6"/>
  <c r="D7"/>
  <c r="D8"/>
  <c r="D9"/>
  <c r="D10"/>
  <c r="D11"/>
  <c r="D12"/>
  <c r="D13"/>
  <c r="D14"/>
  <c r="D15"/>
  <c r="D16"/>
  <c r="D17"/>
  <c r="D18"/>
  <c r="D19"/>
  <c r="I19" s="1"/>
  <c r="D20"/>
  <c r="D21"/>
  <c r="C6"/>
  <c r="C7"/>
  <c r="C8"/>
  <c r="C9"/>
  <c r="C10"/>
  <c r="C11"/>
  <c r="C12"/>
  <c r="C13"/>
  <c r="C14"/>
  <c r="C15"/>
  <c r="C16"/>
  <c r="C17"/>
  <c r="C18"/>
  <c r="C19"/>
  <c r="H19" s="1"/>
  <c r="C20"/>
  <c r="C21"/>
  <c r="E5"/>
  <c r="D5"/>
  <c r="B6"/>
  <c r="B7"/>
  <c r="B8"/>
  <c r="B9"/>
  <c r="B10"/>
  <c r="B11"/>
  <c r="B12"/>
  <c r="B13"/>
  <c r="B14"/>
  <c r="B15"/>
  <c r="B16"/>
  <c r="B17"/>
  <c r="B18"/>
  <c r="B19"/>
  <c r="G19" s="1"/>
  <c r="B20"/>
  <c r="B21"/>
  <c r="B5"/>
  <c r="D38" i="185"/>
  <c r="E38"/>
  <c r="F38"/>
  <c r="D39"/>
  <c r="E39"/>
  <c r="F39"/>
  <c r="D40"/>
  <c r="E40"/>
  <c r="F40"/>
  <c r="K40"/>
  <c r="J8"/>
  <c r="I6"/>
  <c r="J6"/>
  <c r="K6"/>
  <c r="I7"/>
  <c r="K7"/>
  <c r="I8"/>
  <c r="K8"/>
  <c r="I9"/>
  <c r="K9"/>
  <c r="I10"/>
  <c r="K10"/>
  <c r="I11"/>
  <c r="K11"/>
  <c r="I12"/>
  <c r="J12"/>
  <c r="K12"/>
  <c r="I13"/>
  <c r="K13"/>
  <c r="I14"/>
  <c r="K14"/>
  <c r="I15"/>
  <c r="K15"/>
  <c r="I16"/>
  <c r="K16"/>
  <c r="I17"/>
  <c r="K17"/>
  <c r="I18"/>
  <c r="J18"/>
  <c r="K18"/>
  <c r="I19"/>
  <c r="J19"/>
  <c r="K19"/>
  <c r="I20"/>
  <c r="J20"/>
  <c r="K20"/>
  <c r="I21"/>
  <c r="J21"/>
  <c r="K21"/>
  <c r="K38" s="1"/>
  <c r="I22"/>
  <c r="J22"/>
  <c r="K22"/>
  <c r="I23"/>
  <c r="J23"/>
  <c r="K23"/>
  <c r="G24"/>
  <c r="I24"/>
  <c r="J24"/>
  <c r="K24"/>
  <c r="I25"/>
  <c r="J25"/>
  <c r="K25"/>
  <c r="I26"/>
  <c r="J26"/>
  <c r="K26"/>
  <c r="I27"/>
  <c r="J27"/>
  <c r="K27"/>
  <c r="I29"/>
  <c r="J29"/>
  <c r="K29"/>
  <c r="I30"/>
  <c r="J30"/>
  <c r="K30"/>
  <c r="I31"/>
  <c r="J31"/>
  <c r="K31"/>
  <c r="I32"/>
  <c r="J32"/>
  <c r="K32"/>
  <c r="I33"/>
  <c r="J33"/>
  <c r="K33"/>
  <c r="I34"/>
  <c r="I40" s="1"/>
  <c r="J34"/>
  <c r="J40" s="1"/>
  <c r="K34"/>
  <c r="C6"/>
  <c r="C8"/>
  <c r="C12"/>
  <c r="C18"/>
  <c r="C19"/>
  <c r="C20"/>
  <c r="C21"/>
  <c r="C22"/>
  <c r="C23"/>
  <c r="C24"/>
  <c r="C25"/>
  <c r="C26"/>
  <c r="C27"/>
  <c r="C28"/>
  <c r="C29"/>
  <c r="C30"/>
  <c r="C31"/>
  <c r="C32"/>
  <c r="H32" s="1"/>
  <c r="C33"/>
  <c r="C34"/>
  <c r="K28"/>
  <c r="J28"/>
  <c r="J38" s="1"/>
  <c r="I28"/>
  <c r="I38" s="1"/>
  <c r="F5"/>
  <c r="F37" s="1"/>
  <c r="E5"/>
  <c r="J5" s="1"/>
  <c r="J37" s="1"/>
  <c r="D5"/>
  <c r="D37" s="1"/>
  <c r="C5"/>
  <c r="B5"/>
  <c r="B6"/>
  <c r="B7"/>
  <c r="B8"/>
  <c r="B9"/>
  <c r="B10"/>
  <c r="B11"/>
  <c r="G11" s="1"/>
  <c r="B12"/>
  <c r="B13"/>
  <c r="B14"/>
  <c r="B15"/>
  <c r="B16"/>
  <c r="B17"/>
  <c r="B18"/>
  <c r="B19"/>
  <c r="G19" s="1"/>
  <c r="B20"/>
  <c r="B21"/>
  <c r="B22"/>
  <c r="B23"/>
  <c r="G23" s="1"/>
  <c r="B24"/>
  <c r="B25"/>
  <c r="B26"/>
  <c r="B27"/>
  <c r="G27" s="1"/>
  <c r="B28"/>
  <c r="B29"/>
  <c r="B30"/>
  <c r="B31"/>
  <c r="B32"/>
  <c r="G32" s="1"/>
  <c r="B33"/>
  <c r="B34"/>
  <c r="F6" i="184"/>
  <c r="F7"/>
  <c r="F8"/>
  <c r="F9"/>
  <c r="F10"/>
  <c r="F11"/>
  <c r="F12"/>
  <c r="F18"/>
  <c r="F19"/>
  <c r="F20"/>
  <c r="F21"/>
  <c r="F22"/>
  <c r="F23"/>
  <c r="F24"/>
  <c r="F25"/>
  <c r="F26"/>
  <c r="F27"/>
  <c r="F28"/>
  <c r="K28" s="1"/>
  <c r="F29"/>
  <c r="F30"/>
  <c r="F31"/>
  <c r="F32"/>
  <c r="K32" s="1"/>
  <c r="F33"/>
  <c r="F34"/>
  <c r="F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I28" s="1"/>
  <c r="D29"/>
  <c r="D30"/>
  <c r="D31"/>
  <c r="D32"/>
  <c r="I32" s="1"/>
  <c r="D33"/>
  <c r="D34"/>
  <c r="D5"/>
  <c r="D37" s="1"/>
  <c r="E6"/>
  <c r="E7"/>
  <c r="E8"/>
  <c r="J8" s="1"/>
  <c r="E9"/>
  <c r="E10"/>
  <c r="J10" s="1"/>
  <c r="E11"/>
  <c r="E12"/>
  <c r="J12" s="1"/>
  <c r="E13"/>
  <c r="E14"/>
  <c r="J14" s="1"/>
  <c r="E16"/>
  <c r="E17"/>
  <c r="J17" s="1"/>
  <c r="E18"/>
  <c r="E19"/>
  <c r="J19" s="1"/>
  <c r="E20"/>
  <c r="E21"/>
  <c r="E22"/>
  <c r="E23"/>
  <c r="J23" s="1"/>
  <c r="E24"/>
  <c r="E25"/>
  <c r="E26"/>
  <c r="E27"/>
  <c r="J27" s="1"/>
  <c r="E28"/>
  <c r="J28" s="1"/>
  <c r="E29"/>
  <c r="E30"/>
  <c r="E31"/>
  <c r="J31" s="1"/>
  <c r="E32"/>
  <c r="J32" s="1"/>
  <c r="E33"/>
  <c r="E34"/>
  <c r="E5"/>
  <c r="J5" s="1"/>
  <c r="C6"/>
  <c r="C7"/>
  <c r="C8"/>
  <c r="C9"/>
  <c r="C10"/>
  <c r="C11"/>
  <c r="C12"/>
  <c r="C18"/>
  <c r="C19"/>
  <c r="C20"/>
  <c r="C21"/>
  <c r="C22"/>
  <c r="C23"/>
  <c r="C24"/>
  <c r="C25"/>
  <c r="C26"/>
  <c r="C27"/>
  <c r="C28"/>
  <c r="H28" s="1"/>
  <c r="C29"/>
  <c r="C30"/>
  <c r="C31"/>
  <c r="C32"/>
  <c r="H32" s="1"/>
  <c r="C33"/>
  <c r="C34"/>
  <c r="C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G32" s="1"/>
  <c r="B33"/>
  <c r="B34"/>
  <c r="B5"/>
  <c r="B37" s="1"/>
  <c r="F61" i="187"/>
  <c r="E62"/>
  <c r="D63"/>
  <c r="E63"/>
  <c r="G6"/>
  <c r="K6"/>
  <c r="G7"/>
  <c r="J7"/>
  <c r="K7"/>
  <c r="I8"/>
  <c r="J8"/>
  <c r="G10"/>
  <c r="K10"/>
  <c r="G11"/>
  <c r="J11"/>
  <c r="K11"/>
  <c r="I12"/>
  <c r="J12"/>
  <c r="G14"/>
  <c r="K14"/>
  <c r="G15"/>
  <c r="J15"/>
  <c r="K15"/>
  <c r="I16"/>
  <c r="J16"/>
  <c r="G18"/>
  <c r="K18"/>
  <c r="G19"/>
  <c r="J19"/>
  <c r="K19"/>
  <c r="I20"/>
  <c r="J20"/>
  <c r="G22"/>
  <c r="K22"/>
  <c r="G23"/>
  <c r="J23"/>
  <c r="K23"/>
  <c r="I24"/>
  <c r="J24"/>
  <c r="G26"/>
  <c r="K26"/>
  <c r="G27"/>
  <c r="J27"/>
  <c r="K27"/>
  <c r="I28"/>
  <c r="J28"/>
  <c r="G30"/>
  <c r="K30"/>
  <c r="G31"/>
  <c r="J31"/>
  <c r="K31"/>
  <c r="I32"/>
  <c r="J32"/>
  <c r="G34"/>
  <c r="K34"/>
  <c r="G35"/>
  <c r="J35"/>
  <c r="K35"/>
  <c r="I36"/>
  <c r="J36"/>
  <c r="G38"/>
  <c r="K38"/>
  <c r="G39"/>
  <c r="J39"/>
  <c r="K39"/>
  <c r="I40"/>
  <c r="J40"/>
  <c r="G42"/>
  <c r="K42"/>
  <c r="G43"/>
  <c r="J43"/>
  <c r="K43"/>
  <c r="I44"/>
  <c r="J44"/>
  <c r="G46"/>
  <c r="K46"/>
  <c r="G47"/>
  <c r="J47"/>
  <c r="K47"/>
  <c r="I48"/>
  <c r="J48"/>
  <c r="G50"/>
  <c r="K50"/>
  <c r="G51"/>
  <c r="J51"/>
  <c r="J61" s="1"/>
  <c r="K51"/>
  <c r="I52"/>
  <c r="J52"/>
  <c r="G54"/>
  <c r="K54"/>
  <c r="G55"/>
  <c r="J55"/>
  <c r="K55"/>
  <c r="I56"/>
  <c r="J56"/>
  <c r="H5"/>
  <c r="G5"/>
  <c r="G60" s="1"/>
  <c r="B6"/>
  <c r="H6" s="1"/>
  <c r="C6"/>
  <c r="D6"/>
  <c r="I6" s="1"/>
  <c r="E6"/>
  <c r="J6" s="1"/>
  <c r="F6"/>
  <c r="B7"/>
  <c r="C7"/>
  <c r="H7" s="1"/>
  <c r="D7"/>
  <c r="I7" s="1"/>
  <c r="E7"/>
  <c r="F7"/>
  <c r="B8"/>
  <c r="G8" s="1"/>
  <c r="C8"/>
  <c r="H8" s="1"/>
  <c r="D8"/>
  <c r="E8"/>
  <c r="F8"/>
  <c r="K8" s="1"/>
  <c r="B9"/>
  <c r="G9" s="1"/>
  <c r="C9"/>
  <c r="D9"/>
  <c r="E9"/>
  <c r="J9" s="1"/>
  <c r="F9"/>
  <c r="K9" s="1"/>
  <c r="B10"/>
  <c r="H10" s="1"/>
  <c r="C10"/>
  <c r="D10"/>
  <c r="I10" s="1"/>
  <c r="E10"/>
  <c r="J10" s="1"/>
  <c r="F10"/>
  <c r="B11"/>
  <c r="C11"/>
  <c r="H11" s="1"/>
  <c r="D11"/>
  <c r="I11" s="1"/>
  <c r="E11"/>
  <c r="F11"/>
  <c r="B12"/>
  <c r="G12" s="1"/>
  <c r="C12"/>
  <c r="H12" s="1"/>
  <c r="D12"/>
  <c r="E12"/>
  <c r="F12"/>
  <c r="K12" s="1"/>
  <c r="B13"/>
  <c r="G13" s="1"/>
  <c r="C13"/>
  <c r="D13"/>
  <c r="E13"/>
  <c r="J13" s="1"/>
  <c r="F13"/>
  <c r="K13" s="1"/>
  <c r="B14"/>
  <c r="H14" s="1"/>
  <c r="C14"/>
  <c r="D14"/>
  <c r="I14" s="1"/>
  <c r="E14"/>
  <c r="J14" s="1"/>
  <c r="F14"/>
  <c r="B15"/>
  <c r="C15"/>
  <c r="H15" s="1"/>
  <c r="D15"/>
  <c r="I15" s="1"/>
  <c r="E15"/>
  <c r="F15"/>
  <c r="B16"/>
  <c r="G16" s="1"/>
  <c r="C16"/>
  <c r="H16" s="1"/>
  <c r="D16"/>
  <c r="E16"/>
  <c r="F16"/>
  <c r="K16" s="1"/>
  <c r="B17"/>
  <c r="G17" s="1"/>
  <c r="C17"/>
  <c r="D17"/>
  <c r="E17"/>
  <c r="J17" s="1"/>
  <c r="F17"/>
  <c r="K17" s="1"/>
  <c r="B18"/>
  <c r="H18" s="1"/>
  <c r="C18"/>
  <c r="D18"/>
  <c r="I18" s="1"/>
  <c r="E18"/>
  <c r="J18" s="1"/>
  <c r="F18"/>
  <c r="B19"/>
  <c r="C19"/>
  <c r="H19" s="1"/>
  <c r="D19"/>
  <c r="I19" s="1"/>
  <c r="E19"/>
  <c r="F19"/>
  <c r="B20"/>
  <c r="G20" s="1"/>
  <c r="C20"/>
  <c r="H20" s="1"/>
  <c r="D20"/>
  <c r="E20"/>
  <c r="F20"/>
  <c r="K20" s="1"/>
  <c r="B21"/>
  <c r="G21" s="1"/>
  <c r="C21"/>
  <c r="D21"/>
  <c r="E21"/>
  <c r="J21" s="1"/>
  <c r="F21"/>
  <c r="K21" s="1"/>
  <c r="B22"/>
  <c r="H22" s="1"/>
  <c r="C22"/>
  <c r="D22"/>
  <c r="I22" s="1"/>
  <c r="E22"/>
  <c r="J22" s="1"/>
  <c r="F22"/>
  <c r="B23"/>
  <c r="C23"/>
  <c r="H23" s="1"/>
  <c r="D23"/>
  <c r="I23" s="1"/>
  <c r="E23"/>
  <c r="F23"/>
  <c r="B24"/>
  <c r="G24" s="1"/>
  <c r="H24"/>
  <c r="D24"/>
  <c r="E24"/>
  <c r="F24"/>
  <c r="K24" s="1"/>
  <c r="B25"/>
  <c r="G25" s="1"/>
  <c r="C25"/>
  <c r="D25"/>
  <c r="E25"/>
  <c r="J25" s="1"/>
  <c r="F25"/>
  <c r="K25" s="1"/>
  <c r="B26"/>
  <c r="H26" s="1"/>
  <c r="C26"/>
  <c r="D26"/>
  <c r="I26" s="1"/>
  <c r="E26"/>
  <c r="J26" s="1"/>
  <c r="F26"/>
  <c r="B27"/>
  <c r="C27"/>
  <c r="H27" s="1"/>
  <c r="D27"/>
  <c r="I27" s="1"/>
  <c r="E27"/>
  <c r="F27"/>
  <c r="B28"/>
  <c r="G28" s="1"/>
  <c r="C28"/>
  <c r="H28" s="1"/>
  <c r="D28"/>
  <c r="E28"/>
  <c r="F28"/>
  <c r="K28" s="1"/>
  <c r="B29"/>
  <c r="G29" s="1"/>
  <c r="C29"/>
  <c r="D29"/>
  <c r="E29"/>
  <c r="J29" s="1"/>
  <c r="F29"/>
  <c r="K29" s="1"/>
  <c r="B30"/>
  <c r="H30" s="1"/>
  <c r="C30"/>
  <c r="D30"/>
  <c r="I30" s="1"/>
  <c r="E30"/>
  <c r="J30" s="1"/>
  <c r="F30"/>
  <c r="B31"/>
  <c r="C31"/>
  <c r="H31" s="1"/>
  <c r="D31"/>
  <c r="I31" s="1"/>
  <c r="E31"/>
  <c r="F31"/>
  <c r="B32"/>
  <c r="G32" s="1"/>
  <c r="C32"/>
  <c r="H32" s="1"/>
  <c r="D32"/>
  <c r="E32"/>
  <c r="F32"/>
  <c r="K32" s="1"/>
  <c r="B33"/>
  <c r="G33" s="1"/>
  <c r="C33"/>
  <c r="D33"/>
  <c r="E33"/>
  <c r="J33" s="1"/>
  <c r="F33"/>
  <c r="K33" s="1"/>
  <c r="B34"/>
  <c r="H34" s="1"/>
  <c r="C34"/>
  <c r="D34"/>
  <c r="I34" s="1"/>
  <c r="E34"/>
  <c r="J34" s="1"/>
  <c r="F34"/>
  <c r="B35"/>
  <c r="C35"/>
  <c r="H35" s="1"/>
  <c r="D35"/>
  <c r="I35" s="1"/>
  <c r="E35"/>
  <c r="F35"/>
  <c r="B36"/>
  <c r="G36" s="1"/>
  <c r="C36"/>
  <c r="H36" s="1"/>
  <c r="D36"/>
  <c r="E36"/>
  <c r="F36"/>
  <c r="K36" s="1"/>
  <c r="B37"/>
  <c r="G37" s="1"/>
  <c r="C37"/>
  <c r="D37"/>
  <c r="E37"/>
  <c r="J37" s="1"/>
  <c r="F37"/>
  <c r="K37" s="1"/>
  <c r="B38"/>
  <c r="H38" s="1"/>
  <c r="C38"/>
  <c r="D38"/>
  <c r="I38" s="1"/>
  <c r="E38"/>
  <c r="J38" s="1"/>
  <c r="F38"/>
  <c r="B39"/>
  <c r="C39"/>
  <c r="H39" s="1"/>
  <c r="D39"/>
  <c r="I39" s="1"/>
  <c r="E39"/>
  <c r="F39"/>
  <c r="B40"/>
  <c r="G40" s="1"/>
  <c r="C40"/>
  <c r="H40" s="1"/>
  <c r="D40"/>
  <c r="E40"/>
  <c r="F40"/>
  <c r="K40" s="1"/>
  <c r="B41"/>
  <c r="G41" s="1"/>
  <c r="C41"/>
  <c r="D41"/>
  <c r="E41"/>
  <c r="J41" s="1"/>
  <c r="F41"/>
  <c r="K41" s="1"/>
  <c r="B42"/>
  <c r="H42" s="1"/>
  <c r="C42"/>
  <c r="D42"/>
  <c r="I42" s="1"/>
  <c r="E42"/>
  <c r="J42" s="1"/>
  <c r="F42"/>
  <c r="B43"/>
  <c r="C43"/>
  <c r="H43" s="1"/>
  <c r="D43"/>
  <c r="I43" s="1"/>
  <c r="E43"/>
  <c r="F43"/>
  <c r="B44"/>
  <c r="G44" s="1"/>
  <c r="C44"/>
  <c r="H44" s="1"/>
  <c r="D44"/>
  <c r="D60" s="1"/>
  <c r="E44"/>
  <c r="F44"/>
  <c r="K44" s="1"/>
  <c r="B45"/>
  <c r="G45" s="1"/>
  <c r="C45"/>
  <c r="D45"/>
  <c r="E45"/>
  <c r="J45" s="1"/>
  <c r="F45"/>
  <c r="K45" s="1"/>
  <c r="B46"/>
  <c r="H46" s="1"/>
  <c r="C46"/>
  <c r="D46"/>
  <c r="I46" s="1"/>
  <c r="E46"/>
  <c r="J46" s="1"/>
  <c r="F46"/>
  <c r="B47"/>
  <c r="C47"/>
  <c r="H47" s="1"/>
  <c r="D47"/>
  <c r="I47" s="1"/>
  <c r="E47"/>
  <c r="F47"/>
  <c r="B48"/>
  <c r="G48" s="1"/>
  <c r="C48"/>
  <c r="H48" s="1"/>
  <c r="D48"/>
  <c r="E48"/>
  <c r="F48"/>
  <c r="K48" s="1"/>
  <c r="B49"/>
  <c r="G49" s="1"/>
  <c r="C49"/>
  <c r="D49"/>
  <c r="E49"/>
  <c r="J49" s="1"/>
  <c r="F49"/>
  <c r="K49" s="1"/>
  <c r="B50"/>
  <c r="H50" s="1"/>
  <c r="C50"/>
  <c r="D50"/>
  <c r="I50" s="1"/>
  <c r="E50"/>
  <c r="J50" s="1"/>
  <c r="F50"/>
  <c r="B51"/>
  <c r="B61" s="1"/>
  <c r="C51"/>
  <c r="H51" s="1"/>
  <c r="D51"/>
  <c r="I51" s="1"/>
  <c r="I61" s="1"/>
  <c r="E51"/>
  <c r="E61" s="1"/>
  <c r="F51"/>
  <c r="B52"/>
  <c r="G52" s="1"/>
  <c r="C52"/>
  <c r="H52" s="1"/>
  <c r="D52"/>
  <c r="E52"/>
  <c r="F52"/>
  <c r="K52" s="1"/>
  <c r="B53"/>
  <c r="G53" s="1"/>
  <c r="C53"/>
  <c r="D53"/>
  <c r="E53"/>
  <c r="J53" s="1"/>
  <c r="F53"/>
  <c r="K53" s="1"/>
  <c r="B54"/>
  <c r="H54" s="1"/>
  <c r="C54"/>
  <c r="D54"/>
  <c r="I54" s="1"/>
  <c r="E54"/>
  <c r="J54" s="1"/>
  <c r="F54"/>
  <c r="B55"/>
  <c r="C55"/>
  <c r="H55" s="1"/>
  <c r="D55"/>
  <c r="I55" s="1"/>
  <c r="E55"/>
  <c r="F55"/>
  <c r="B56"/>
  <c r="G56" s="1"/>
  <c r="C56"/>
  <c r="H56" s="1"/>
  <c r="D56"/>
  <c r="E56"/>
  <c r="F56"/>
  <c r="K56" s="1"/>
  <c r="B57"/>
  <c r="G57" s="1"/>
  <c r="C57"/>
  <c r="C63" s="1"/>
  <c r="D57"/>
  <c r="D62" s="1"/>
  <c r="E57"/>
  <c r="J57" s="1"/>
  <c r="F57"/>
  <c r="K57" s="1"/>
  <c r="C5"/>
  <c r="D5"/>
  <c r="E5"/>
  <c r="E60" s="1"/>
  <c r="F5"/>
  <c r="F60" s="1"/>
  <c r="B5"/>
  <c r="B60" s="1"/>
  <c r="F61" i="186"/>
  <c r="E62"/>
  <c r="D63"/>
  <c r="E63"/>
  <c r="B60"/>
  <c r="G6"/>
  <c r="K6"/>
  <c r="G7"/>
  <c r="J7"/>
  <c r="K7"/>
  <c r="I8"/>
  <c r="J8"/>
  <c r="G10"/>
  <c r="K10"/>
  <c r="G11"/>
  <c r="J11"/>
  <c r="K11"/>
  <c r="I12"/>
  <c r="J12"/>
  <c r="G14"/>
  <c r="K14"/>
  <c r="G15"/>
  <c r="J15"/>
  <c r="K15"/>
  <c r="I16"/>
  <c r="J16"/>
  <c r="G18"/>
  <c r="K18"/>
  <c r="G19"/>
  <c r="J19"/>
  <c r="K19"/>
  <c r="I20"/>
  <c r="J20"/>
  <c r="G22"/>
  <c r="K22"/>
  <c r="G23"/>
  <c r="J23"/>
  <c r="K23"/>
  <c r="I24"/>
  <c r="J24"/>
  <c r="G26"/>
  <c r="K26"/>
  <c r="G27"/>
  <c r="J27"/>
  <c r="K27"/>
  <c r="I28"/>
  <c r="J28"/>
  <c r="G30"/>
  <c r="K30"/>
  <c r="G31"/>
  <c r="J31"/>
  <c r="K31"/>
  <c r="I32"/>
  <c r="J32"/>
  <c r="G34"/>
  <c r="K34"/>
  <c r="G35"/>
  <c r="J35"/>
  <c r="K35"/>
  <c r="I36"/>
  <c r="J36"/>
  <c r="G38"/>
  <c r="K38"/>
  <c r="G39"/>
  <c r="J39"/>
  <c r="K39"/>
  <c r="I40"/>
  <c r="J40"/>
  <c r="G42"/>
  <c r="K42"/>
  <c r="G43"/>
  <c r="J43"/>
  <c r="K43"/>
  <c r="I44"/>
  <c r="J44"/>
  <c r="G46"/>
  <c r="K46"/>
  <c r="G47"/>
  <c r="J47"/>
  <c r="K47"/>
  <c r="I48"/>
  <c r="J48"/>
  <c r="G50"/>
  <c r="K50"/>
  <c r="G51"/>
  <c r="J51"/>
  <c r="J61" s="1"/>
  <c r="K51"/>
  <c r="I52"/>
  <c r="J52"/>
  <c r="G54"/>
  <c r="K54"/>
  <c r="G55"/>
  <c r="J55"/>
  <c r="K55"/>
  <c r="I56"/>
  <c r="J56"/>
  <c r="H5"/>
  <c r="H60" s="1"/>
  <c r="G5"/>
  <c r="B6"/>
  <c r="H6" s="1"/>
  <c r="C6"/>
  <c r="D6"/>
  <c r="I6" s="1"/>
  <c r="E6"/>
  <c r="J6" s="1"/>
  <c r="F6"/>
  <c r="B7"/>
  <c r="C7"/>
  <c r="H7" s="1"/>
  <c r="D7"/>
  <c r="I7" s="1"/>
  <c r="E7"/>
  <c r="F7"/>
  <c r="B8"/>
  <c r="G8" s="1"/>
  <c r="C8"/>
  <c r="H8" s="1"/>
  <c r="D8"/>
  <c r="E8"/>
  <c r="F8"/>
  <c r="K8" s="1"/>
  <c r="B9"/>
  <c r="G9" s="1"/>
  <c r="C9"/>
  <c r="D9"/>
  <c r="E9"/>
  <c r="J9" s="1"/>
  <c r="F9"/>
  <c r="K9" s="1"/>
  <c r="B10"/>
  <c r="H10" s="1"/>
  <c r="C10"/>
  <c r="D10"/>
  <c r="I10" s="1"/>
  <c r="E10"/>
  <c r="J10" s="1"/>
  <c r="F10"/>
  <c r="B11"/>
  <c r="C11"/>
  <c r="H11" s="1"/>
  <c r="D11"/>
  <c r="I11" s="1"/>
  <c r="E11"/>
  <c r="F11"/>
  <c r="B12"/>
  <c r="G12" s="1"/>
  <c r="C12"/>
  <c r="H12" s="1"/>
  <c r="D12"/>
  <c r="E12"/>
  <c r="F12"/>
  <c r="K12" s="1"/>
  <c r="B13"/>
  <c r="G13" s="1"/>
  <c r="C13"/>
  <c r="D13"/>
  <c r="E13"/>
  <c r="J13" s="1"/>
  <c r="F13"/>
  <c r="K13" s="1"/>
  <c r="B14"/>
  <c r="H14" s="1"/>
  <c r="C14"/>
  <c r="D14"/>
  <c r="I14" s="1"/>
  <c r="E14"/>
  <c r="J14" s="1"/>
  <c r="F14"/>
  <c r="B15"/>
  <c r="C15"/>
  <c r="H15" s="1"/>
  <c r="D15"/>
  <c r="I15" s="1"/>
  <c r="E15"/>
  <c r="F15"/>
  <c r="B16"/>
  <c r="G16" s="1"/>
  <c r="C16"/>
  <c r="H16" s="1"/>
  <c r="D16"/>
  <c r="E16"/>
  <c r="F16"/>
  <c r="K16" s="1"/>
  <c r="B17"/>
  <c r="G17" s="1"/>
  <c r="C17"/>
  <c r="D17"/>
  <c r="E17"/>
  <c r="J17" s="1"/>
  <c r="F17"/>
  <c r="K17" s="1"/>
  <c r="B18"/>
  <c r="H18" s="1"/>
  <c r="C18"/>
  <c r="D18"/>
  <c r="I18" s="1"/>
  <c r="E18"/>
  <c r="J18" s="1"/>
  <c r="F18"/>
  <c r="B19"/>
  <c r="C19"/>
  <c r="H19" s="1"/>
  <c r="D19"/>
  <c r="I19" s="1"/>
  <c r="E19"/>
  <c r="F19"/>
  <c r="B20"/>
  <c r="G20" s="1"/>
  <c r="C20"/>
  <c r="H20" s="1"/>
  <c r="D20"/>
  <c r="E20"/>
  <c r="F20"/>
  <c r="K20" s="1"/>
  <c r="B21"/>
  <c r="G21" s="1"/>
  <c r="C21"/>
  <c r="D21"/>
  <c r="E21"/>
  <c r="J21" s="1"/>
  <c r="F21"/>
  <c r="K21" s="1"/>
  <c r="B22"/>
  <c r="H22" s="1"/>
  <c r="C22"/>
  <c r="D22"/>
  <c r="I22" s="1"/>
  <c r="E22"/>
  <c r="J22" s="1"/>
  <c r="F22"/>
  <c r="B23"/>
  <c r="C23"/>
  <c r="H23" s="1"/>
  <c r="D23"/>
  <c r="I23" s="1"/>
  <c r="E23"/>
  <c r="F23"/>
  <c r="B24"/>
  <c r="G24" s="1"/>
  <c r="H24"/>
  <c r="D24"/>
  <c r="E24"/>
  <c r="F24"/>
  <c r="K24" s="1"/>
  <c r="B25"/>
  <c r="G25" s="1"/>
  <c r="C25"/>
  <c r="D25"/>
  <c r="E25"/>
  <c r="J25" s="1"/>
  <c r="F25"/>
  <c r="K25" s="1"/>
  <c r="B26"/>
  <c r="H26" s="1"/>
  <c r="C26"/>
  <c r="D26"/>
  <c r="I26" s="1"/>
  <c r="E26"/>
  <c r="J26" s="1"/>
  <c r="F26"/>
  <c r="B27"/>
  <c r="C27"/>
  <c r="H27" s="1"/>
  <c r="D27"/>
  <c r="I27" s="1"/>
  <c r="E27"/>
  <c r="F27"/>
  <c r="B28"/>
  <c r="G28" s="1"/>
  <c r="C28"/>
  <c r="H28" s="1"/>
  <c r="D28"/>
  <c r="E28"/>
  <c r="F28"/>
  <c r="K28" s="1"/>
  <c r="B29"/>
  <c r="G29" s="1"/>
  <c r="C29"/>
  <c r="D29"/>
  <c r="E29"/>
  <c r="J29" s="1"/>
  <c r="F29"/>
  <c r="K29" s="1"/>
  <c r="B30"/>
  <c r="H30" s="1"/>
  <c r="C30"/>
  <c r="D30"/>
  <c r="I30" s="1"/>
  <c r="E30"/>
  <c r="J30" s="1"/>
  <c r="F30"/>
  <c r="B31"/>
  <c r="C31"/>
  <c r="H31" s="1"/>
  <c r="D31"/>
  <c r="I31" s="1"/>
  <c r="E31"/>
  <c r="F31"/>
  <c r="B32"/>
  <c r="G32" s="1"/>
  <c r="C32"/>
  <c r="H32" s="1"/>
  <c r="D32"/>
  <c r="E32"/>
  <c r="F32"/>
  <c r="K32" s="1"/>
  <c r="B33"/>
  <c r="G33" s="1"/>
  <c r="C33"/>
  <c r="D33"/>
  <c r="E33"/>
  <c r="J33" s="1"/>
  <c r="F33"/>
  <c r="K33" s="1"/>
  <c r="B34"/>
  <c r="H34" s="1"/>
  <c r="C34"/>
  <c r="D34"/>
  <c r="I34" s="1"/>
  <c r="E34"/>
  <c r="J34" s="1"/>
  <c r="F34"/>
  <c r="B35"/>
  <c r="C35"/>
  <c r="H35" s="1"/>
  <c r="D35"/>
  <c r="I35" s="1"/>
  <c r="E35"/>
  <c r="F35"/>
  <c r="B36"/>
  <c r="G36" s="1"/>
  <c r="C36"/>
  <c r="H36" s="1"/>
  <c r="D36"/>
  <c r="E36"/>
  <c r="F36"/>
  <c r="K36" s="1"/>
  <c r="B37"/>
  <c r="G37" s="1"/>
  <c r="C37"/>
  <c r="D37"/>
  <c r="E37"/>
  <c r="J37" s="1"/>
  <c r="F37"/>
  <c r="K37" s="1"/>
  <c r="B38"/>
  <c r="H38" s="1"/>
  <c r="C38"/>
  <c r="D38"/>
  <c r="I38" s="1"/>
  <c r="E38"/>
  <c r="J38" s="1"/>
  <c r="F38"/>
  <c r="B39"/>
  <c r="C39"/>
  <c r="H39" s="1"/>
  <c r="D39"/>
  <c r="I39" s="1"/>
  <c r="E39"/>
  <c r="F39"/>
  <c r="B40"/>
  <c r="G40" s="1"/>
  <c r="C40"/>
  <c r="H40" s="1"/>
  <c r="D40"/>
  <c r="E40"/>
  <c r="F40"/>
  <c r="K40" s="1"/>
  <c r="B41"/>
  <c r="G41" s="1"/>
  <c r="C41"/>
  <c r="D41"/>
  <c r="E41"/>
  <c r="J41" s="1"/>
  <c r="F41"/>
  <c r="K41" s="1"/>
  <c r="B42"/>
  <c r="H42" s="1"/>
  <c r="C42"/>
  <c r="D42"/>
  <c r="I42" s="1"/>
  <c r="E42"/>
  <c r="J42" s="1"/>
  <c r="F42"/>
  <c r="B43"/>
  <c r="C43"/>
  <c r="H43" s="1"/>
  <c r="D43"/>
  <c r="I43" s="1"/>
  <c r="E43"/>
  <c r="F43"/>
  <c r="B44"/>
  <c r="G44" s="1"/>
  <c r="C44"/>
  <c r="H44" s="1"/>
  <c r="D44"/>
  <c r="D60" s="1"/>
  <c r="E44"/>
  <c r="F44"/>
  <c r="K44" s="1"/>
  <c r="B45"/>
  <c r="G45" s="1"/>
  <c r="C45"/>
  <c r="D45"/>
  <c r="E45"/>
  <c r="J45" s="1"/>
  <c r="F45"/>
  <c r="K45" s="1"/>
  <c r="B46"/>
  <c r="H46" s="1"/>
  <c r="C46"/>
  <c r="D46"/>
  <c r="I46" s="1"/>
  <c r="E46"/>
  <c r="J46" s="1"/>
  <c r="F46"/>
  <c r="B47"/>
  <c r="C47"/>
  <c r="H47" s="1"/>
  <c r="D47"/>
  <c r="I47" s="1"/>
  <c r="E47"/>
  <c r="F47"/>
  <c r="B48"/>
  <c r="G48" s="1"/>
  <c r="C48"/>
  <c r="H48" s="1"/>
  <c r="D48"/>
  <c r="E48"/>
  <c r="F48"/>
  <c r="K48" s="1"/>
  <c r="B49"/>
  <c r="G49" s="1"/>
  <c r="C49"/>
  <c r="D49"/>
  <c r="E49"/>
  <c r="J49" s="1"/>
  <c r="F49"/>
  <c r="K49" s="1"/>
  <c r="B50"/>
  <c r="H50" s="1"/>
  <c r="C50"/>
  <c r="D50"/>
  <c r="I50" s="1"/>
  <c r="E50"/>
  <c r="J50" s="1"/>
  <c r="F50"/>
  <c r="B51"/>
  <c r="B61" s="1"/>
  <c r="C51"/>
  <c r="H51" s="1"/>
  <c r="H61" s="1"/>
  <c r="D51"/>
  <c r="I51" s="1"/>
  <c r="I61" s="1"/>
  <c r="E51"/>
  <c r="E61" s="1"/>
  <c r="F51"/>
  <c r="B52"/>
  <c r="G52" s="1"/>
  <c r="C52"/>
  <c r="H52" s="1"/>
  <c r="D52"/>
  <c r="E52"/>
  <c r="F52"/>
  <c r="K52" s="1"/>
  <c r="B53"/>
  <c r="G53" s="1"/>
  <c r="C53"/>
  <c r="D53"/>
  <c r="E53"/>
  <c r="J53" s="1"/>
  <c r="F53"/>
  <c r="K53" s="1"/>
  <c r="B54"/>
  <c r="H54" s="1"/>
  <c r="C54"/>
  <c r="D54"/>
  <c r="I54" s="1"/>
  <c r="E54"/>
  <c r="J54" s="1"/>
  <c r="F54"/>
  <c r="B55"/>
  <c r="C55"/>
  <c r="H55" s="1"/>
  <c r="D55"/>
  <c r="I55" s="1"/>
  <c r="E55"/>
  <c r="F55"/>
  <c r="B56"/>
  <c r="G56" s="1"/>
  <c r="C56"/>
  <c r="H56" s="1"/>
  <c r="D56"/>
  <c r="E56"/>
  <c r="F56"/>
  <c r="K56" s="1"/>
  <c r="B57"/>
  <c r="G57" s="1"/>
  <c r="C57"/>
  <c r="C63" s="1"/>
  <c r="D57"/>
  <c r="D62" s="1"/>
  <c r="E57"/>
  <c r="J57" s="1"/>
  <c r="F57"/>
  <c r="K57" s="1"/>
  <c r="C5"/>
  <c r="D5"/>
  <c r="E5"/>
  <c r="E60" s="1"/>
  <c r="F5"/>
  <c r="F60" s="1"/>
  <c r="B5"/>
  <c r="I5" s="1"/>
  <c r="I60" s="1"/>
  <c r="M6" i="121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62" s="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61" s="1"/>
  <c r="H52"/>
  <c r="H53"/>
  <c r="H54"/>
  <c r="H55"/>
  <c r="H56"/>
  <c r="H57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62" s="1"/>
  <c r="M5"/>
  <c r="H5"/>
  <c r="C5"/>
  <c r="P63"/>
  <c r="O63"/>
  <c r="N63"/>
  <c r="M63"/>
  <c r="L63"/>
  <c r="K63"/>
  <c r="J63"/>
  <c r="I63"/>
  <c r="H63"/>
  <c r="G63"/>
  <c r="F63"/>
  <c r="E63"/>
  <c r="D63"/>
  <c r="C63"/>
  <c r="P62"/>
  <c r="O62"/>
  <c r="N62"/>
  <c r="L62"/>
  <c r="K62"/>
  <c r="J62"/>
  <c r="I62"/>
  <c r="H62"/>
  <c r="G62"/>
  <c r="F62"/>
  <c r="E62"/>
  <c r="D62"/>
  <c r="P61"/>
  <c r="O61"/>
  <c r="N61"/>
  <c r="M61"/>
  <c r="L61"/>
  <c r="K61"/>
  <c r="J61"/>
  <c r="I61"/>
  <c r="G61"/>
  <c r="F61"/>
  <c r="E61"/>
  <c r="D61"/>
  <c r="C61"/>
  <c r="P60"/>
  <c r="O60"/>
  <c r="N60"/>
  <c r="M60"/>
  <c r="L60"/>
  <c r="K60"/>
  <c r="J60"/>
  <c r="I60"/>
  <c r="H60"/>
  <c r="G60"/>
  <c r="F60"/>
  <c r="E60"/>
  <c r="D60"/>
  <c r="C60"/>
  <c r="B63"/>
  <c r="B62"/>
  <c r="B61"/>
  <c r="B60"/>
  <c r="C60" i="122"/>
  <c r="D60"/>
  <c r="E60"/>
  <c r="F60"/>
  <c r="G60"/>
  <c r="I60"/>
  <c r="J60"/>
  <c r="K60"/>
  <c r="L60"/>
  <c r="N60"/>
  <c r="O60"/>
  <c r="P60"/>
  <c r="D61"/>
  <c r="E61"/>
  <c r="F61"/>
  <c r="G61"/>
  <c r="I61"/>
  <c r="J61"/>
  <c r="K61"/>
  <c r="L61"/>
  <c r="M61"/>
  <c r="N61"/>
  <c r="O61"/>
  <c r="P61"/>
  <c r="C62"/>
  <c r="D62"/>
  <c r="E62"/>
  <c r="F62"/>
  <c r="G62"/>
  <c r="I62"/>
  <c r="J62"/>
  <c r="K62"/>
  <c r="L62"/>
  <c r="N62"/>
  <c r="O62"/>
  <c r="P62"/>
  <c r="D63"/>
  <c r="E63"/>
  <c r="F63"/>
  <c r="G63"/>
  <c r="I63"/>
  <c r="J63"/>
  <c r="K63"/>
  <c r="L63"/>
  <c r="M63"/>
  <c r="N63"/>
  <c r="O63"/>
  <c r="P63"/>
  <c r="B63"/>
  <c r="B62"/>
  <c r="B61"/>
  <c r="B6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62" s="1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61" s="1"/>
  <c r="H52"/>
  <c r="H53"/>
  <c r="H54"/>
  <c r="H55"/>
  <c r="H56"/>
  <c r="H57"/>
  <c r="H63" s="1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61" s="1"/>
  <c r="C52"/>
  <c r="C53"/>
  <c r="C54"/>
  <c r="C55"/>
  <c r="C56"/>
  <c r="C57"/>
  <c r="C63" s="1"/>
  <c r="M5"/>
  <c r="M60" s="1"/>
  <c r="H5"/>
  <c r="H60" s="1"/>
  <c r="C5"/>
  <c r="A144" i="165"/>
  <c r="A143"/>
  <c r="A142"/>
  <c r="A73"/>
  <c r="A72"/>
  <c r="A71"/>
  <c r="A70"/>
  <c r="A69"/>
  <c r="A68"/>
  <c r="A131"/>
  <c r="A130"/>
  <c r="A129"/>
  <c r="A128"/>
  <c r="H14" i="194"/>
  <c r="K15"/>
  <c r="H16"/>
  <c r="K16"/>
  <c r="K18"/>
  <c r="H19"/>
  <c r="K19"/>
  <c r="L19"/>
  <c r="M19"/>
  <c r="H20"/>
  <c r="K20"/>
  <c r="L20"/>
  <c r="M20"/>
  <c r="H21"/>
  <c r="K21"/>
  <c r="M8" i="190"/>
  <c r="K11"/>
  <c r="I12"/>
  <c r="K12"/>
  <c r="L12"/>
  <c r="M12"/>
  <c r="I13"/>
  <c r="K13"/>
  <c r="K14"/>
  <c r="K15"/>
  <c r="K16"/>
  <c r="H17"/>
  <c r="K17"/>
  <c r="H18"/>
  <c r="K18"/>
  <c r="H19"/>
  <c r="K19"/>
  <c r="L19"/>
  <c r="M19"/>
  <c r="K20"/>
  <c r="H21"/>
  <c r="K21"/>
  <c r="K22"/>
  <c r="K7"/>
  <c r="M27" i="195"/>
  <c r="S26"/>
  <c r="R26"/>
  <c r="Q26"/>
  <c r="N26"/>
  <c r="M26"/>
  <c r="L26"/>
  <c r="K26"/>
  <c r="H26"/>
  <c r="M25"/>
  <c r="G27" i="194"/>
  <c r="F27"/>
  <c r="E27"/>
  <c r="D27"/>
  <c r="C27"/>
  <c r="B27"/>
  <c r="G26"/>
  <c r="F26"/>
  <c r="E26"/>
  <c r="D26"/>
  <c r="C26"/>
  <c r="B26"/>
  <c r="G25"/>
  <c r="F25"/>
  <c r="E25"/>
  <c r="D25"/>
  <c r="C25"/>
  <c r="B25"/>
  <c r="Q25" i="191"/>
  <c r="R25"/>
  <c r="S25"/>
  <c r="Q26"/>
  <c r="R26"/>
  <c r="S26"/>
  <c r="Q27"/>
  <c r="R27"/>
  <c r="S27"/>
  <c r="K27"/>
  <c r="E27"/>
  <c r="K26"/>
  <c r="J26"/>
  <c r="I26"/>
  <c r="H26"/>
  <c r="E26"/>
  <c r="K25"/>
  <c r="E25"/>
  <c r="C25" i="190"/>
  <c r="D25"/>
  <c r="E25"/>
  <c r="F25"/>
  <c r="G25"/>
  <c r="C26"/>
  <c r="D26"/>
  <c r="E26"/>
  <c r="F26"/>
  <c r="G26"/>
  <c r="C27"/>
  <c r="D27"/>
  <c r="E27"/>
  <c r="F27"/>
  <c r="G27"/>
  <c r="B26"/>
  <c r="G34" i="185" l="1"/>
  <c r="G30"/>
  <c r="G26"/>
  <c r="G22"/>
  <c r="G18"/>
  <c r="G14"/>
  <c r="G10"/>
  <c r="G6"/>
  <c r="H6"/>
  <c r="G7"/>
  <c r="G20"/>
  <c r="G16"/>
  <c r="H5"/>
  <c r="H37" s="1"/>
  <c r="H33"/>
  <c r="H29"/>
  <c r="G33"/>
  <c r="G29"/>
  <c r="G25"/>
  <c r="G21"/>
  <c r="G17"/>
  <c r="G13"/>
  <c r="G9"/>
  <c r="B37"/>
  <c r="C39"/>
  <c r="K39"/>
  <c r="I5"/>
  <c r="I37" s="1"/>
  <c r="C37" i="184"/>
  <c r="H24"/>
  <c r="H20"/>
  <c r="E37"/>
  <c r="D39"/>
  <c r="K11"/>
  <c r="K7"/>
  <c r="F37"/>
  <c r="T25" i="228"/>
  <c r="T30"/>
  <c r="S26"/>
  <c r="R8"/>
  <c r="C24"/>
  <c r="G20" i="188"/>
  <c r="G16"/>
  <c r="H12"/>
  <c r="H8"/>
  <c r="H13"/>
  <c r="H9"/>
  <c r="R27" i="223"/>
  <c r="S50"/>
  <c r="N32"/>
  <c r="N28"/>
  <c r="N51"/>
  <c r="B39"/>
  <c r="X17"/>
  <c r="R28"/>
  <c r="N47"/>
  <c r="O50"/>
  <c r="N43"/>
  <c r="Y19"/>
  <c r="AA19"/>
  <c r="I39"/>
  <c r="O28"/>
  <c r="R51"/>
  <c r="AA16"/>
  <c r="O32"/>
  <c r="O51"/>
  <c r="O49"/>
  <c r="P30"/>
  <c r="R47"/>
  <c r="S28"/>
  <c r="O25"/>
  <c r="P51"/>
  <c r="D39"/>
  <c r="S51"/>
  <c r="J39"/>
  <c r="AB16"/>
  <c r="P25"/>
  <c r="S47"/>
  <c r="O40"/>
  <c r="Q22"/>
  <c r="S38"/>
  <c r="O38"/>
  <c r="Q49"/>
  <c r="S19"/>
  <c r="O19"/>
  <c r="Q18"/>
  <c r="B38" i="222"/>
  <c r="B39"/>
  <c r="R23"/>
  <c r="X17"/>
  <c r="N21"/>
  <c r="N29"/>
  <c r="S26"/>
  <c r="Y19"/>
  <c r="AB19"/>
  <c r="J39"/>
  <c r="I17" i="188"/>
  <c r="I13"/>
  <c r="I9"/>
  <c r="J21"/>
  <c r="J17"/>
  <c r="P29" i="222"/>
  <c r="R40"/>
  <c r="H39"/>
  <c r="R32"/>
  <c r="I39"/>
  <c r="O49"/>
  <c r="C39"/>
  <c r="Q30"/>
  <c r="S28"/>
  <c r="I5" i="188"/>
  <c r="I20"/>
  <c r="I16"/>
  <c r="I12"/>
  <c r="I8"/>
  <c r="J20"/>
  <c r="J16"/>
  <c r="J12"/>
  <c r="J8"/>
  <c r="K20"/>
  <c r="K16"/>
  <c r="S18" i="222"/>
  <c r="J38"/>
  <c r="R47"/>
  <c r="Q20"/>
  <c r="S38"/>
  <c r="O46"/>
  <c r="S17"/>
  <c r="O17"/>
  <c r="S24" i="223"/>
  <c r="S23"/>
  <c r="O27" i="222"/>
  <c r="C37"/>
  <c r="S27" i="223"/>
  <c r="J37"/>
  <c r="N45"/>
  <c r="B37"/>
  <c r="Q17"/>
  <c r="O36"/>
  <c r="Y17" i="222"/>
  <c r="Y18"/>
  <c r="S37"/>
  <c r="P47"/>
  <c r="O18" i="223"/>
  <c r="N19"/>
  <c r="S46"/>
  <c r="N48" i="222"/>
  <c r="O47"/>
  <c r="AB17"/>
  <c r="N44"/>
  <c r="S24"/>
  <c r="O25"/>
  <c r="Q23"/>
  <c r="S22"/>
  <c r="O40"/>
  <c r="Q21"/>
  <c r="S20"/>
  <c r="O21"/>
  <c r="Q47"/>
  <c r="O36"/>
  <c r="W19" i="223"/>
  <c r="Q51"/>
  <c r="R32"/>
  <c r="S31"/>
  <c r="N49"/>
  <c r="O30"/>
  <c r="Q29"/>
  <c r="AA18"/>
  <c r="R25"/>
  <c r="N42"/>
  <c r="R40"/>
  <c r="N40"/>
  <c r="P21"/>
  <c r="R21"/>
  <c r="N38"/>
  <c r="R36"/>
  <c r="N36"/>
  <c r="P18"/>
  <c r="H38" i="222"/>
  <c r="H37"/>
  <c r="O45" i="223"/>
  <c r="C37"/>
  <c r="R45"/>
  <c r="I37"/>
  <c r="P27" i="222"/>
  <c r="W18" i="223"/>
  <c r="S20"/>
  <c r="N46"/>
  <c r="I37" i="222"/>
  <c r="H37" i="223"/>
  <c r="X19" i="222"/>
  <c r="O28"/>
  <c r="R31"/>
  <c r="D38"/>
  <c r="W17" i="223"/>
  <c r="N20"/>
  <c r="O24"/>
  <c r="Q26"/>
  <c r="S42"/>
  <c r="N50"/>
  <c r="J37" i="222"/>
  <c r="B37"/>
  <c r="R49" i="223"/>
  <c r="N48"/>
  <c r="Q17" i="222"/>
  <c r="Q18"/>
  <c r="S32"/>
  <c r="Q38"/>
  <c r="Q48"/>
  <c r="N24" i="223"/>
  <c r="P29"/>
  <c r="R31"/>
  <c r="J38"/>
  <c r="G14" i="188"/>
  <c r="G10"/>
  <c r="G6"/>
  <c r="H18"/>
  <c r="H14"/>
  <c r="H10"/>
  <c r="H6"/>
  <c r="I18"/>
  <c r="K14"/>
  <c r="K10"/>
  <c r="K6"/>
  <c r="Z16" i="222"/>
  <c r="W18"/>
  <c r="O19"/>
  <c r="Q22"/>
  <c r="P23"/>
  <c r="Q24"/>
  <c r="P25"/>
  <c r="O38"/>
  <c r="Q41"/>
  <c r="R44"/>
  <c r="N47"/>
  <c r="O48"/>
  <c r="AB17" i="223"/>
  <c r="AB18"/>
  <c r="R19"/>
  <c r="R20"/>
  <c r="N27"/>
  <c r="O31"/>
  <c r="P38"/>
  <c r="Q40"/>
  <c r="O42"/>
  <c r="Q45"/>
  <c r="R46"/>
  <c r="O48"/>
  <c r="R50"/>
  <c r="Q31" i="222"/>
  <c r="R30"/>
  <c r="S29"/>
  <c r="N46"/>
  <c r="Q27"/>
  <c r="R26"/>
  <c r="S25"/>
  <c r="S23"/>
  <c r="S21"/>
  <c r="S49"/>
  <c r="P42" i="223"/>
  <c r="N21"/>
  <c r="P20"/>
  <c r="R48"/>
  <c r="Q19" i="222"/>
  <c r="O20"/>
  <c r="N27"/>
  <c r="Q37"/>
  <c r="I38"/>
  <c r="S44"/>
  <c r="N23" i="223"/>
  <c r="P26"/>
  <c r="P37"/>
  <c r="R42"/>
  <c r="P48"/>
  <c r="Q48"/>
  <c r="B25" i="188"/>
  <c r="G11"/>
  <c r="G7"/>
  <c r="E24"/>
  <c r="C25"/>
  <c r="H11"/>
  <c r="H7"/>
  <c r="D25"/>
  <c r="I11"/>
  <c r="I7"/>
  <c r="E25"/>
  <c r="J11"/>
  <c r="J7"/>
  <c r="F26"/>
  <c r="K11"/>
  <c r="K7"/>
  <c r="E27"/>
  <c r="H19" i="189"/>
  <c r="J17"/>
  <c r="H14"/>
  <c r="J12"/>
  <c r="H10"/>
  <c r="J8"/>
  <c r="J25" s="1"/>
  <c r="H6"/>
  <c r="AA17" i="222"/>
  <c r="N23"/>
  <c r="O24"/>
  <c r="N25"/>
  <c r="N31"/>
  <c r="N42"/>
  <c r="Q44"/>
  <c r="S48"/>
  <c r="AA17" i="223"/>
  <c r="Z18"/>
  <c r="O20"/>
  <c r="R23"/>
  <c r="R24"/>
  <c r="N31"/>
  <c r="B38"/>
  <c r="P26" i="222"/>
  <c r="R24"/>
  <c r="R22"/>
  <c r="P22"/>
  <c r="R38"/>
  <c r="P38"/>
  <c r="R19"/>
  <c r="P18"/>
  <c r="C38" i="223"/>
  <c r="Q50"/>
  <c r="P50"/>
  <c r="O29"/>
  <c r="Q46"/>
  <c r="Y17"/>
  <c r="S25"/>
  <c r="O26"/>
  <c r="Q25"/>
  <c r="S21"/>
  <c r="O22"/>
  <c r="Q38"/>
  <c r="S17"/>
  <c r="X22" i="220"/>
  <c r="AG26" s="1"/>
  <c r="H36"/>
  <c r="Z22"/>
  <c r="J36"/>
  <c r="Z22" i="221"/>
  <c r="AI26" s="1"/>
  <c r="J36"/>
  <c r="C36" i="220"/>
  <c r="B36" i="221"/>
  <c r="C37" i="220"/>
  <c r="W22" i="221"/>
  <c r="AF26" s="1"/>
  <c r="D36"/>
  <c r="Y22" i="220"/>
  <c r="I36"/>
  <c r="V22" i="221"/>
  <c r="AE26" s="1"/>
  <c r="C36"/>
  <c r="B35"/>
  <c r="X22"/>
  <c r="AG26" s="1"/>
  <c r="I36"/>
  <c r="H37" i="220"/>
  <c r="D36"/>
  <c r="J35" i="221"/>
  <c r="D37" i="220"/>
  <c r="AH23" i="221"/>
  <c r="G15" i="185"/>
  <c r="H30"/>
  <c r="H24"/>
  <c r="H20"/>
  <c r="H8"/>
  <c r="C37"/>
  <c r="AH24" i="221"/>
  <c r="G12" i="185"/>
  <c r="G8"/>
  <c r="H25"/>
  <c r="C40"/>
  <c r="G18" i="184"/>
  <c r="C39"/>
  <c r="H30"/>
  <c r="H26"/>
  <c r="H22"/>
  <c r="H18"/>
  <c r="H9"/>
  <c r="J6"/>
  <c r="I24"/>
  <c r="I16"/>
  <c r="I12"/>
  <c r="I8"/>
  <c r="F39"/>
  <c r="K30"/>
  <c r="K26"/>
  <c r="K22"/>
  <c r="K18"/>
  <c r="K9"/>
  <c r="I37" i="220"/>
  <c r="G25" i="184"/>
  <c r="G21"/>
  <c r="H31"/>
  <c r="H27"/>
  <c r="H23"/>
  <c r="H19"/>
  <c r="H10"/>
  <c r="H6"/>
  <c r="J16"/>
  <c r="J11"/>
  <c r="J7"/>
  <c r="I13"/>
  <c r="K5"/>
  <c r="K31"/>
  <c r="K27"/>
  <c r="K23"/>
  <c r="K19"/>
  <c r="K10"/>
  <c r="K6"/>
  <c r="Z26" i="220"/>
  <c r="AI25" s="1"/>
  <c r="B65" i="219"/>
  <c r="B64"/>
  <c r="F60"/>
  <c r="F64"/>
  <c r="K63"/>
  <c r="E63"/>
  <c r="G62"/>
  <c r="E62"/>
  <c r="G61"/>
  <c r="G64"/>
  <c r="J63"/>
  <c r="B63"/>
  <c r="B65" i="218"/>
  <c r="B64"/>
  <c r="E60" i="212"/>
  <c r="K65" i="213"/>
  <c r="G62" i="210"/>
  <c r="G62" i="212"/>
  <c r="G60" i="216"/>
  <c r="B65" i="217"/>
  <c r="F62" i="219"/>
  <c r="D61" i="210"/>
  <c r="G61"/>
  <c r="F60" i="211"/>
  <c r="K65"/>
  <c r="K61"/>
  <c r="D61" i="212"/>
  <c r="J65" i="210"/>
  <c r="E62"/>
  <c r="K60" i="217"/>
  <c r="J60" i="210"/>
  <c r="G65" i="211"/>
  <c r="E62"/>
  <c r="G61"/>
  <c r="J61" i="212"/>
  <c r="J60" i="214"/>
  <c r="J61"/>
  <c r="K65" i="215"/>
  <c r="F65" i="217"/>
  <c r="G62"/>
  <c r="J61" i="218"/>
  <c r="K62" i="219"/>
  <c r="K60"/>
  <c r="J65" i="212"/>
  <c r="B65"/>
  <c r="J61" i="211"/>
  <c r="E61" i="212"/>
  <c r="B60" i="219"/>
  <c r="I61" i="210"/>
  <c r="F61" i="211"/>
  <c r="B62" i="213"/>
  <c r="I61" i="214"/>
  <c r="F65" i="215"/>
  <c r="F60"/>
  <c r="J62" i="217"/>
  <c r="B61"/>
  <c r="J62" i="219"/>
  <c r="B61"/>
  <c r="C60" i="232"/>
  <c r="C62"/>
  <c r="C62" i="233"/>
  <c r="C60"/>
  <c r="B60"/>
  <c r="B61"/>
  <c r="B60" i="232"/>
  <c r="B63"/>
  <c r="B61"/>
  <c r="B62" i="233"/>
  <c r="T10" i="230"/>
  <c r="S14"/>
  <c r="Q7" i="229"/>
  <c r="H24"/>
  <c r="S13" i="228"/>
  <c r="C26"/>
  <c r="R26" i="231"/>
  <c r="R13"/>
  <c r="U30"/>
  <c r="S6"/>
  <c r="R7"/>
  <c r="T9"/>
  <c r="T13"/>
  <c r="U7"/>
  <c r="V8"/>
  <c r="Q9"/>
  <c r="H20"/>
  <c r="V10"/>
  <c r="V12"/>
  <c r="Q13"/>
  <c r="U15"/>
  <c r="V14"/>
  <c r="V16"/>
  <c r="E21"/>
  <c r="I21"/>
  <c r="M21"/>
  <c r="E22"/>
  <c r="R29"/>
  <c r="S5"/>
  <c r="Q6"/>
  <c r="R10"/>
  <c r="R14"/>
  <c r="B22"/>
  <c r="G22"/>
  <c r="K22"/>
  <c r="T16"/>
  <c r="T22"/>
  <c r="T6"/>
  <c r="Q5"/>
  <c r="V15"/>
  <c r="G20"/>
  <c r="V7"/>
  <c r="S8"/>
  <c r="T7"/>
  <c r="R6"/>
  <c r="S9"/>
  <c r="T8"/>
  <c r="Q12"/>
  <c r="G21"/>
  <c r="T11"/>
  <c r="U10"/>
  <c r="U12"/>
  <c r="S13"/>
  <c r="T12"/>
  <c r="Q16"/>
  <c r="S16"/>
  <c r="U14"/>
  <c r="B20"/>
  <c r="K20"/>
  <c r="S23"/>
  <c r="R25"/>
  <c r="Q32"/>
  <c r="R12" i="230"/>
  <c r="G21"/>
  <c r="T7"/>
  <c r="Q14"/>
  <c r="S22"/>
  <c r="T32"/>
  <c r="S5"/>
  <c r="Q7"/>
  <c r="U8"/>
  <c r="I20"/>
  <c r="Q11"/>
  <c r="U12"/>
  <c r="Q15"/>
  <c r="G22"/>
  <c r="K22"/>
  <c r="M22"/>
  <c r="T28"/>
  <c r="U33"/>
  <c r="T6"/>
  <c r="Q10"/>
  <c r="B21"/>
  <c r="U16"/>
  <c r="K21"/>
  <c r="I22"/>
  <c r="V34" i="229"/>
  <c r="B25"/>
  <c r="V27"/>
  <c r="I25"/>
  <c r="U16"/>
  <c r="L25"/>
  <c r="L27"/>
  <c r="U24"/>
  <c r="Q6"/>
  <c r="K24"/>
  <c r="Q9"/>
  <c r="Q28"/>
  <c r="U29"/>
  <c r="T30"/>
  <c r="U32"/>
  <c r="T34"/>
  <c r="U36"/>
  <c r="F27"/>
  <c r="J27"/>
  <c r="V20"/>
  <c r="V25"/>
  <c r="T33"/>
  <c r="U35"/>
  <c r="V8"/>
  <c r="U11"/>
  <c r="V30"/>
  <c r="V14"/>
  <c r="V18"/>
  <c r="V36"/>
  <c r="M24"/>
  <c r="V6"/>
  <c r="U9"/>
  <c r="M25"/>
  <c r="V19"/>
  <c r="S6"/>
  <c r="V9"/>
  <c r="V10"/>
  <c r="U10"/>
  <c r="V12"/>
  <c r="Q30"/>
  <c r="Q14"/>
  <c r="U14"/>
  <c r="V16"/>
  <c r="Q17"/>
  <c r="Q35"/>
  <c r="I27"/>
  <c r="M27"/>
  <c r="U20"/>
  <c r="J26"/>
  <c r="H27"/>
  <c r="V28"/>
  <c r="T16" i="228"/>
  <c r="U18"/>
  <c r="R11"/>
  <c r="T29"/>
  <c r="T11"/>
  <c r="U30"/>
  <c r="U14"/>
  <c r="S16"/>
  <c r="S35"/>
  <c r="U19"/>
  <c r="I27"/>
  <c r="G25"/>
  <c r="R26"/>
  <c r="S29"/>
  <c r="U31"/>
  <c r="R6"/>
  <c r="T24"/>
  <c r="Q7"/>
  <c r="I24"/>
  <c r="R27"/>
  <c r="S27"/>
  <c r="U10"/>
  <c r="T9"/>
  <c r="Q31"/>
  <c r="C25"/>
  <c r="S32"/>
  <c r="T32"/>
  <c r="U16"/>
  <c r="T15"/>
  <c r="Q36"/>
  <c r="R20"/>
  <c r="G26"/>
  <c r="T37"/>
  <c r="I26"/>
  <c r="G27"/>
  <c r="U28"/>
  <c r="U35"/>
  <c r="S37"/>
  <c r="T10"/>
  <c r="U34"/>
  <c r="T17"/>
  <c r="R28"/>
  <c r="V6"/>
  <c r="S10"/>
  <c r="U12"/>
  <c r="T12"/>
  <c r="R34"/>
  <c r="R35"/>
  <c r="S17"/>
  <c r="U27"/>
  <c r="R33"/>
  <c r="U36"/>
  <c r="H24"/>
  <c r="L24"/>
  <c r="R25"/>
  <c r="S25"/>
  <c r="F24"/>
  <c r="J24"/>
  <c r="U9"/>
  <c r="T8"/>
  <c r="R12"/>
  <c r="R30"/>
  <c r="R31"/>
  <c r="S31"/>
  <c r="H25"/>
  <c r="L25"/>
  <c r="T14"/>
  <c r="Q35"/>
  <c r="R19"/>
  <c r="S36"/>
  <c r="T36"/>
  <c r="S18"/>
  <c r="T19"/>
  <c r="U25"/>
  <c r="R29"/>
  <c r="R36"/>
  <c r="Q8"/>
  <c r="Q26"/>
  <c r="B25"/>
  <c r="Q15"/>
  <c r="Q16"/>
  <c r="Q33"/>
  <c r="Q34"/>
  <c r="Q17"/>
  <c r="S30" i="229"/>
  <c r="S13"/>
  <c r="S34"/>
  <c r="S17"/>
  <c r="S25" i="230"/>
  <c r="S8"/>
  <c r="T29"/>
  <c r="T12"/>
  <c r="U30"/>
  <c r="U13"/>
  <c r="L21"/>
  <c r="L22"/>
  <c r="T33"/>
  <c r="T16"/>
  <c r="Q31" i="231"/>
  <c r="Q14"/>
  <c r="Q6" i="228"/>
  <c r="Q24"/>
  <c r="V25"/>
  <c r="V7"/>
  <c r="V27"/>
  <c r="V9"/>
  <c r="V30"/>
  <c r="V13"/>
  <c r="M25"/>
  <c r="V15"/>
  <c r="V34"/>
  <c r="V17"/>
  <c r="V35"/>
  <c r="V18"/>
  <c r="P37"/>
  <c r="V20"/>
  <c r="M27"/>
  <c r="R8" i="229"/>
  <c r="R26"/>
  <c r="G24"/>
  <c r="S8"/>
  <c r="R16"/>
  <c r="R33"/>
  <c r="S33"/>
  <c r="S16"/>
  <c r="C27"/>
  <c r="R37"/>
  <c r="G26"/>
  <c r="S20"/>
  <c r="S37"/>
  <c r="K26"/>
  <c r="T20"/>
  <c r="P24" i="230"/>
  <c r="P7"/>
  <c r="Q25"/>
  <c r="Q8"/>
  <c r="P28"/>
  <c r="P11"/>
  <c r="Q29"/>
  <c r="Q12"/>
  <c r="P15"/>
  <c r="P32"/>
  <c r="Q16"/>
  <c r="Q33"/>
  <c r="V22" i="231"/>
  <c r="V5"/>
  <c r="P26"/>
  <c r="P9"/>
  <c r="F22"/>
  <c r="F21"/>
  <c r="J22"/>
  <c r="J21"/>
  <c r="S25" i="229"/>
  <c r="S7"/>
  <c r="Q26"/>
  <c r="B24"/>
  <c r="R11"/>
  <c r="R29"/>
  <c r="C25"/>
  <c r="R15"/>
  <c r="R19"/>
  <c r="R36"/>
  <c r="Q37"/>
  <c r="B26"/>
  <c r="Q27" i="231"/>
  <c r="Q10"/>
  <c r="S10"/>
  <c r="S27"/>
  <c r="R28"/>
  <c r="C20"/>
  <c r="R11"/>
  <c r="L20"/>
  <c r="U11"/>
  <c r="Q9" i="228"/>
  <c r="Q12"/>
  <c r="F26"/>
  <c r="Q31" i="229"/>
  <c r="U32" i="231"/>
  <c r="V8" i="228"/>
  <c r="V10"/>
  <c r="V11"/>
  <c r="P32"/>
  <c r="I25"/>
  <c r="V16"/>
  <c r="P20"/>
  <c r="V24"/>
  <c r="F27"/>
  <c r="V33"/>
  <c r="T10" i="229"/>
  <c r="Q11"/>
  <c r="T14"/>
  <c r="Q15"/>
  <c r="T18"/>
  <c r="Q19"/>
  <c r="R20"/>
  <c r="T26"/>
  <c r="R27"/>
  <c r="S28"/>
  <c r="T29"/>
  <c r="S36"/>
  <c r="B22" i="230"/>
  <c r="J20"/>
  <c r="R29"/>
  <c r="P7" i="231"/>
  <c r="U8"/>
  <c r="E20"/>
  <c r="I20"/>
  <c r="T15"/>
  <c r="R16"/>
  <c r="U16"/>
  <c r="P24" i="228"/>
  <c r="T6"/>
  <c r="T7"/>
  <c r="H27"/>
  <c r="L27"/>
  <c r="S24"/>
  <c r="Q25"/>
  <c r="M26"/>
  <c r="V28"/>
  <c r="R7" i="229"/>
  <c r="T25"/>
  <c r="T9"/>
  <c r="S11"/>
  <c r="Q10"/>
  <c r="T13"/>
  <c r="S15"/>
  <c r="T32"/>
  <c r="Q33"/>
  <c r="T17"/>
  <c r="S19"/>
  <c r="T36"/>
  <c r="Q18"/>
  <c r="Q20"/>
  <c r="K25"/>
  <c r="S26"/>
  <c r="G27"/>
  <c r="Q27"/>
  <c r="S29"/>
  <c r="Q34"/>
  <c r="T37"/>
  <c r="R8" i="230"/>
  <c r="R16"/>
  <c r="F20"/>
  <c r="V9" i="231"/>
  <c r="C21"/>
  <c r="M22"/>
  <c r="U24"/>
  <c r="V25"/>
  <c r="T27"/>
  <c r="Q11" i="228"/>
  <c r="Q29"/>
  <c r="Q30"/>
  <c r="Q13"/>
  <c r="B27"/>
  <c r="Q37"/>
  <c r="S27" i="229"/>
  <c r="S9"/>
  <c r="R30"/>
  <c r="R13"/>
  <c r="R34"/>
  <c r="R17"/>
  <c r="Q6" i="230"/>
  <c r="Q22"/>
  <c r="Q5"/>
  <c r="U22"/>
  <c r="U5"/>
  <c r="T25"/>
  <c r="T8"/>
  <c r="U26"/>
  <c r="U9"/>
  <c r="S29"/>
  <c r="S12"/>
  <c r="S33"/>
  <c r="H21"/>
  <c r="S16"/>
  <c r="H22"/>
  <c r="Q8" i="231"/>
  <c r="Q7"/>
  <c r="S14"/>
  <c r="S31"/>
  <c r="R32"/>
  <c r="R15"/>
  <c r="P26" i="228"/>
  <c r="V31"/>
  <c r="V14"/>
  <c r="R6" i="229"/>
  <c r="R24"/>
  <c r="S31"/>
  <c r="S14"/>
  <c r="S35"/>
  <c r="S18"/>
  <c r="P30" i="231"/>
  <c r="P13"/>
  <c r="Q10" i="228"/>
  <c r="Q14"/>
  <c r="Q18"/>
  <c r="Q19"/>
  <c r="J26"/>
  <c r="Q20"/>
  <c r="Q27"/>
  <c r="B20" i="230"/>
  <c r="V33" i="231"/>
  <c r="P28" i="228"/>
  <c r="P29"/>
  <c r="V12"/>
  <c r="P33"/>
  <c r="P36"/>
  <c r="V19"/>
  <c r="B24"/>
  <c r="U6"/>
  <c r="S6"/>
  <c r="G24"/>
  <c r="R24"/>
  <c r="B26"/>
  <c r="V26"/>
  <c r="J27"/>
  <c r="V29"/>
  <c r="Q32"/>
  <c r="V37"/>
  <c r="T8" i="229"/>
  <c r="R10"/>
  <c r="S10"/>
  <c r="T28"/>
  <c r="R14"/>
  <c r="T31"/>
  <c r="Q13"/>
  <c r="R18"/>
  <c r="T35"/>
  <c r="R25"/>
  <c r="F26"/>
  <c r="R31"/>
  <c r="S32"/>
  <c r="S9" i="230"/>
  <c r="H20"/>
  <c r="L20"/>
  <c r="S13"/>
  <c r="C22"/>
  <c r="R33"/>
  <c r="S15" i="231"/>
  <c r="P23"/>
  <c r="Q24"/>
  <c r="T31"/>
  <c r="R5" i="230"/>
  <c r="U6" i="231"/>
  <c r="B21"/>
  <c r="K21"/>
  <c r="R22"/>
  <c r="U25"/>
  <c r="V26"/>
  <c r="T28"/>
  <c r="U29"/>
  <c r="V30"/>
  <c r="T32"/>
  <c r="U33"/>
  <c r="R7" i="228"/>
  <c r="R9"/>
  <c r="R13"/>
  <c r="R14"/>
  <c r="R15"/>
  <c r="R17"/>
  <c r="R18"/>
  <c r="S20"/>
  <c r="K24"/>
  <c r="U24"/>
  <c r="K26"/>
  <c r="U26"/>
  <c r="C27"/>
  <c r="U29"/>
  <c r="U33"/>
  <c r="U37"/>
  <c r="P20" i="229"/>
  <c r="L24"/>
  <c r="V24"/>
  <c r="L26"/>
  <c r="V26"/>
  <c r="V29"/>
  <c r="V33"/>
  <c r="V37"/>
  <c r="R6" i="230"/>
  <c r="S7"/>
  <c r="P8"/>
  <c r="Q9"/>
  <c r="R10"/>
  <c r="S11"/>
  <c r="P12"/>
  <c r="Q13"/>
  <c r="R14"/>
  <c r="S15"/>
  <c r="P16"/>
  <c r="P25"/>
  <c r="Q26"/>
  <c r="P29"/>
  <c r="Q30"/>
  <c r="R5" i="231"/>
  <c r="R8"/>
  <c r="P10"/>
  <c r="Q11"/>
  <c r="R12"/>
  <c r="P14"/>
  <c r="Q15"/>
  <c r="M20"/>
  <c r="U22"/>
  <c r="V23"/>
  <c r="S24"/>
  <c r="S28"/>
  <c r="S32"/>
  <c r="R9" i="230"/>
  <c r="R13"/>
  <c r="M20"/>
  <c r="S12" i="231"/>
  <c r="L22"/>
  <c r="P24"/>
  <c r="T24"/>
  <c r="U13" i="228"/>
  <c r="U15"/>
  <c r="U17"/>
  <c r="V13" i="229"/>
  <c r="V15"/>
  <c r="V17"/>
  <c r="P5" i="230"/>
  <c r="T5"/>
  <c r="U6"/>
  <c r="R7"/>
  <c r="T9"/>
  <c r="U10"/>
  <c r="R11"/>
  <c r="T13"/>
  <c r="U14"/>
  <c r="R15"/>
  <c r="Y18" i="223"/>
  <c r="Q19"/>
  <c r="O21"/>
  <c r="P36"/>
  <c r="P40"/>
  <c r="S43"/>
  <c r="P49"/>
  <c r="Z17"/>
  <c r="N18"/>
  <c r="R18"/>
  <c r="X18"/>
  <c r="P19"/>
  <c r="Q20"/>
  <c r="S22"/>
  <c r="P23"/>
  <c r="Q24"/>
  <c r="N25"/>
  <c r="S26"/>
  <c r="P27"/>
  <c r="Q28"/>
  <c r="N29"/>
  <c r="S30"/>
  <c r="P31"/>
  <c r="Q32"/>
  <c r="I36"/>
  <c r="S36"/>
  <c r="R37"/>
  <c r="D38"/>
  <c r="H38"/>
  <c r="R38"/>
  <c r="S40"/>
  <c r="Q42"/>
  <c r="R43"/>
  <c r="S45"/>
  <c r="P46"/>
  <c r="Q47"/>
  <c r="S49"/>
  <c r="Y16"/>
  <c r="S18"/>
  <c r="Q23"/>
  <c r="Q27"/>
  <c r="S29"/>
  <c r="Q31"/>
  <c r="I38"/>
  <c r="P45"/>
  <c r="H36"/>
  <c r="Q21"/>
  <c r="N22"/>
  <c r="R22"/>
  <c r="P24"/>
  <c r="N26"/>
  <c r="R26"/>
  <c r="P28"/>
  <c r="N30"/>
  <c r="R30"/>
  <c r="P32"/>
  <c r="D36"/>
  <c r="Q37"/>
  <c r="Q43"/>
  <c r="X16"/>
  <c r="X19"/>
  <c r="C36"/>
  <c r="Z16"/>
  <c r="Z19"/>
  <c r="W16"/>
  <c r="N17"/>
  <c r="B36"/>
  <c r="P17" i="222"/>
  <c r="W17"/>
  <c r="O18"/>
  <c r="R21"/>
  <c r="O22"/>
  <c r="R25"/>
  <c r="O26"/>
  <c r="R29"/>
  <c r="O30"/>
  <c r="N36"/>
  <c r="C38"/>
  <c r="N40"/>
  <c r="S41"/>
  <c r="N45"/>
  <c r="R45"/>
  <c r="S46"/>
  <c r="N49"/>
  <c r="R49"/>
  <c r="Y16"/>
  <c r="Z17"/>
  <c r="R18"/>
  <c r="X18"/>
  <c r="AB18"/>
  <c r="P19"/>
  <c r="P20"/>
  <c r="O23"/>
  <c r="P24"/>
  <c r="Q25"/>
  <c r="S27"/>
  <c r="P28"/>
  <c r="N30"/>
  <c r="O31"/>
  <c r="P32"/>
  <c r="Q36"/>
  <c r="P37"/>
  <c r="Q40"/>
  <c r="N41"/>
  <c r="O42"/>
  <c r="S42"/>
  <c r="Q45"/>
  <c r="S47"/>
  <c r="Q49"/>
  <c r="R42"/>
  <c r="AB16"/>
  <c r="Z18"/>
  <c r="N19"/>
  <c r="N20"/>
  <c r="R20"/>
  <c r="N28"/>
  <c r="O29"/>
  <c r="P30"/>
  <c r="N32"/>
  <c r="S36"/>
  <c r="N37"/>
  <c r="S40"/>
  <c r="Q42"/>
  <c r="S45"/>
  <c r="R17"/>
  <c r="AA16"/>
  <c r="AA19"/>
  <c r="W16"/>
  <c r="W19"/>
  <c r="N17"/>
  <c r="AD24" i="221"/>
  <c r="AD23"/>
  <c r="AI25"/>
  <c r="C35"/>
  <c r="D35"/>
  <c r="I35"/>
  <c r="AH26"/>
  <c r="AE25"/>
  <c r="H35"/>
  <c r="AD22"/>
  <c r="AG24"/>
  <c r="AF25"/>
  <c r="AF23"/>
  <c r="AE23"/>
  <c r="AI23"/>
  <c r="AH22"/>
  <c r="AG23"/>
  <c r="AD26"/>
  <c r="AF24"/>
  <c r="AG25"/>
  <c r="AD25"/>
  <c r="AH25"/>
  <c r="AE22"/>
  <c r="J35" i="220"/>
  <c r="AG23"/>
  <c r="AD23"/>
  <c r="AH24"/>
  <c r="D35"/>
  <c r="AD24"/>
  <c r="AE24"/>
  <c r="AD25"/>
  <c r="AH23"/>
  <c r="AH25"/>
  <c r="AD22"/>
  <c r="AI24"/>
  <c r="AG22"/>
  <c r="AI23"/>
  <c r="AG25"/>
  <c r="AE22"/>
  <c r="AH22"/>
  <c r="AE25"/>
  <c r="H35"/>
  <c r="AE23"/>
  <c r="AI22"/>
  <c r="AG24"/>
  <c r="C35"/>
  <c r="V30"/>
  <c r="O6"/>
  <c r="S6"/>
  <c r="AH26"/>
  <c r="AD26"/>
  <c r="AE26"/>
  <c r="AI26"/>
  <c r="B35"/>
  <c r="AF22"/>
  <c r="AF23"/>
  <c r="AF24"/>
  <c r="AF26"/>
  <c r="AF25"/>
  <c r="AE24" i="221"/>
  <c r="AI24"/>
  <c r="E61" i="219"/>
  <c r="J61"/>
  <c r="K61"/>
  <c r="J60" i="218"/>
  <c r="E60"/>
  <c r="G62"/>
  <c r="E61"/>
  <c r="G61"/>
  <c r="B61"/>
  <c r="F60" i="217"/>
  <c r="J61"/>
  <c r="F61"/>
  <c r="K62"/>
  <c r="G65"/>
  <c r="E61"/>
  <c r="K61"/>
  <c r="G61"/>
  <c r="G62" i="216"/>
  <c r="E60"/>
  <c r="I61"/>
  <c r="E61"/>
  <c r="E65"/>
  <c r="J65"/>
  <c r="B60"/>
  <c r="J61"/>
  <c r="B62"/>
  <c r="D61"/>
  <c r="F62" i="215"/>
  <c r="G65"/>
  <c r="B62" i="214"/>
  <c r="B60"/>
  <c r="J62"/>
  <c r="E60"/>
  <c r="G62"/>
  <c r="E61"/>
  <c r="G61"/>
  <c r="J65"/>
  <c r="B60" i="213"/>
  <c r="F61"/>
  <c r="B61"/>
  <c r="K62"/>
  <c r="G65"/>
  <c r="E61"/>
  <c r="K61"/>
  <c r="G61"/>
  <c r="G60" i="219"/>
  <c r="G65"/>
  <c r="K65"/>
  <c r="G60" i="218"/>
  <c r="E65"/>
  <c r="G65"/>
  <c r="E62" i="217"/>
  <c r="G60"/>
  <c r="J60" i="216"/>
  <c r="B61"/>
  <c r="K62" i="215"/>
  <c r="G60"/>
  <c r="G65" i="214"/>
  <c r="G60"/>
  <c r="E65"/>
  <c r="G60" i="213"/>
  <c r="E62"/>
  <c r="B61" i="212"/>
  <c r="J60"/>
  <c r="B62"/>
  <c r="G60"/>
  <c r="G61"/>
  <c r="J62"/>
  <c r="K62" i="211"/>
  <c r="B61"/>
  <c r="F62"/>
  <c r="F65"/>
  <c r="G60"/>
  <c r="G62"/>
  <c r="E61"/>
  <c r="B65" i="210"/>
  <c r="J62"/>
  <c r="G65"/>
  <c r="B60"/>
  <c r="J61"/>
  <c r="G60"/>
  <c r="H7" i="189"/>
  <c r="C24"/>
  <c r="I9"/>
  <c r="I13"/>
  <c r="I5"/>
  <c r="H20"/>
  <c r="I19"/>
  <c r="H16"/>
  <c r="I14"/>
  <c r="H11"/>
  <c r="I6"/>
  <c r="I18"/>
  <c r="J27" i="188"/>
  <c r="E26"/>
  <c r="K21"/>
  <c r="H20"/>
  <c r="J18"/>
  <c r="G17"/>
  <c r="I14"/>
  <c r="K12"/>
  <c r="I10"/>
  <c r="K8"/>
  <c r="K27" s="1"/>
  <c r="I6"/>
  <c r="G15"/>
  <c r="H21"/>
  <c r="H27" s="1"/>
  <c r="G18"/>
  <c r="H17"/>
  <c r="J14"/>
  <c r="G13"/>
  <c r="K9"/>
  <c r="J6"/>
  <c r="B26"/>
  <c r="C27"/>
  <c r="D26"/>
  <c r="F27"/>
  <c r="B27"/>
  <c r="I15"/>
  <c r="I25" s="1"/>
  <c r="I21"/>
  <c r="F25"/>
  <c r="K15"/>
  <c r="K25" s="1"/>
  <c r="G21"/>
  <c r="K17"/>
  <c r="H16"/>
  <c r="J13"/>
  <c r="G12"/>
  <c r="J9"/>
  <c r="G8"/>
  <c r="J5"/>
  <c r="H15"/>
  <c r="H25" s="1"/>
  <c r="K18"/>
  <c r="K13"/>
  <c r="J10"/>
  <c r="G9"/>
  <c r="G5"/>
  <c r="B24"/>
  <c r="D27"/>
  <c r="D24"/>
  <c r="J15"/>
  <c r="J26" s="1"/>
  <c r="E24" i="189"/>
  <c r="I20"/>
  <c r="J19"/>
  <c r="K18"/>
  <c r="G18"/>
  <c r="H17"/>
  <c r="I16"/>
  <c r="J14"/>
  <c r="K13"/>
  <c r="G13"/>
  <c r="H12"/>
  <c r="I11"/>
  <c r="J10"/>
  <c r="K9"/>
  <c r="G9"/>
  <c r="I7"/>
  <c r="J6"/>
  <c r="F24"/>
  <c r="B24"/>
  <c r="E26"/>
  <c r="I10"/>
  <c r="J21"/>
  <c r="E25"/>
  <c r="D26"/>
  <c r="J20"/>
  <c r="K19"/>
  <c r="G19"/>
  <c r="H18"/>
  <c r="I17"/>
  <c r="J16"/>
  <c r="K14"/>
  <c r="G14"/>
  <c r="H13"/>
  <c r="I12"/>
  <c r="J11"/>
  <c r="K10"/>
  <c r="G10"/>
  <c r="H9"/>
  <c r="I8"/>
  <c r="I25" s="1"/>
  <c r="J7"/>
  <c r="K6"/>
  <c r="G6"/>
  <c r="H5"/>
  <c r="D27"/>
  <c r="K7"/>
  <c r="G20"/>
  <c r="K16"/>
  <c r="G16"/>
  <c r="F25"/>
  <c r="G12"/>
  <c r="J9"/>
  <c r="G8"/>
  <c r="G25" s="1"/>
  <c r="K21"/>
  <c r="G21"/>
  <c r="J18"/>
  <c r="K17"/>
  <c r="G17"/>
  <c r="B26"/>
  <c r="F26"/>
  <c r="C25"/>
  <c r="H8"/>
  <c r="K5"/>
  <c r="G5"/>
  <c r="H21"/>
  <c r="B25"/>
  <c r="C26"/>
  <c r="D25"/>
  <c r="K11"/>
  <c r="G11"/>
  <c r="G7"/>
  <c r="K20"/>
  <c r="J13"/>
  <c r="K12"/>
  <c r="K8"/>
  <c r="K25" s="1"/>
  <c r="J5"/>
  <c r="J24" s="1"/>
  <c r="D24"/>
  <c r="I21"/>
  <c r="C26" i="188"/>
  <c r="G40" i="185"/>
  <c r="H22"/>
  <c r="H18"/>
  <c r="H12"/>
  <c r="B40"/>
  <c r="I39"/>
  <c r="H27"/>
  <c r="H23"/>
  <c r="H19"/>
  <c r="K5"/>
  <c r="K37" s="1"/>
  <c r="G5"/>
  <c r="G37" s="1"/>
  <c r="B39"/>
  <c r="J39"/>
  <c r="C38"/>
  <c r="H28"/>
  <c r="B38"/>
  <c r="H31"/>
  <c r="H26"/>
  <c r="G28"/>
  <c r="G38" s="1"/>
  <c r="H34"/>
  <c r="G31"/>
  <c r="H21"/>
  <c r="K63" i="187"/>
  <c r="K62"/>
  <c r="G63"/>
  <c r="G62"/>
  <c r="K61"/>
  <c r="J63"/>
  <c r="J62"/>
  <c r="H61"/>
  <c r="H60"/>
  <c r="G61"/>
  <c r="H53"/>
  <c r="H49"/>
  <c r="H33"/>
  <c r="H29"/>
  <c r="H9"/>
  <c r="B63"/>
  <c r="C60"/>
  <c r="I5"/>
  <c r="I60" s="1"/>
  <c r="I49"/>
  <c r="I37"/>
  <c r="I29"/>
  <c r="I13"/>
  <c r="I9"/>
  <c r="F62"/>
  <c r="C61"/>
  <c r="J5"/>
  <c r="J60" s="1"/>
  <c r="F63"/>
  <c r="C62"/>
  <c r="D61"/>
  <c r="H57"/>
  <c r="H45"/>
  <c r="H41"/>
  <c r="H37"/>
  <c r="H25"/>
  <c r="H21"/>
  <c r="H17"/>
  <c r="H13"/>
  <c r="I57"/>
  <c r="I53"/>
  <c r="I45"/>
  <c r="I41"/>
  <c r="I33"/>
  <c r="I25"/>
  <c r="I21"/>
  <c r="I17"/>
  <c r="B62"/>
  <c r="K5"/>
  <c r="K60" s="1"/>
  <c r="G24" i="184"/>
  <c r="G12"/>
  <c r="G30"/>
  <c r="G6"/>
  <c r="G33"/>
  <c r="G29"/>
  <c r="G17"/>
  <c r="G13"/>
  <c r="G9"/>
  <c r="J20"/>
  <c r="I21"/>
  <c r="I38" s="1"/>
  <c r="I17"/>
  <c r="G5"/>
  <c r="G31"/>
  <c r="G27"/>
  <c r="G23"/>
  <c r="G19"/>
  <c r="G15"/>
  <c r="G11"/>
  <c r="G7"/>
  <c r="H33"/>
  <c r="H29"/>
  <c r="H25"/>
  <c r="C38"/>
  <c r="H12"/>
  <c r="H8"/>
  <c r="E39"/>
  <c r="J30"/>
  <c r="J26"/>
  <c r="J22"/>
  <c r="J18"/>
  <c r="J13"/>
  <c r="J9"/>
  <c r="I5"/>
  <c r="I31"/>
  <c r="I27"/>
  <c r="I23"/>
  <c r="I19"/>
  <c r="I15"/>
  <c r="I11"/>
  <c r="I7"/>
  <c r="K33"/>
  <c r="K29"/>
  <c r="K25"/>
  <c r="K21"/>
  <c r="K38" s="1"/>
  <c r="K12"/>
  <c r="K8"/>
  <c r="K34"/>
  <c r="K39" s="1"/>
  <c r="H5"/>
  <c r="G20"/>
  <c r="G16"/>
  <c r="G8"/>
  <c r="I20"/>
  <c r="B39"/>
  <c r="G10"/>
  <c r="J24"/>
  <c r="I25"/>
  <c r="B40"/>
  <c r="G14"/>
  <c r="H11"/>
  <c r="H7"/>
  <c r="J33"/>
  <c r="J29"/>
  <c r="J25"/>
  <c r="J21"/>
  <c r="J37" s="1"/>
  <c r="I34"/>
  <c r="I39" s="1"/>
  <c r="I30"/>
  <c r="I26"/>
  <c r="I22"/>
  <c r="I18"/>
  <c r="I14"/>
  <c r="I10"/>
  <c r="I6"/>
  <c r="K24"/>
  <c r="K20"/>
  <c r="G34"/>
  <c r="G40" s="1"/>
  <c r="F38"/>
  <c r="B38"/>
  <c r="C40"/>
  <c r="G28"/>
  <c r="G38" s="1"/>
  <c r="H34"/>
  <c r="I29"/>
  <c r="G26"/>
  <c r="G22"/>
  <c r="H21"/>
  <c r="I9"/>
  <c r="E40"/>
  <c r="E38"/>
  <c r="J34"/>
  <c r="J39" s="1"/>
  <c r="F40"/>
  <c r="I33"/>
  <c r="D40"/>
  <c r="D38"/>
  <c r="J63" i="186"/>
  <c r="J62"/>
  <c r="K63"/>
  <c r="K62"/>
  <c r="G63"/>
  <c r="G62"/>
  <c r="G61"/>
  <c r="G60"/>
  <c r="K61"/>
  <c r="H45"/>
  <c r="H41"/>
  <c r="H29"/>
  <c r="H25"/>
  <c r="I53"/>
  <c r="I49"/>
  <c r="I37"/>
  <c r="I25"/>
  <c r="I9"/>
  <c r="F62"/>
  <c r="C61"/>
  <c r="J5"/>
  <c r="J60" s="1"/>
  <c r="B62"/>
  <c r="F63"/>
  <c r="C62"/>
  <c r="D61"/>
  <c r="H57"/>
  <c r="H53"/>
  <c r="H49"/>
  <c r="H37"/>
  <c r="H33"/>
  <c r="H21"/>
  <c r="H17"/>
  <c r="H13"/>
  <c r="H9"/>
  <c r="C60"/>
  <c r="I57"/>
  <c r="I45"/>
  <c r="I41"/>
  <c r="I33"/>
  <c r="I29"/>
  <c r="I21"/>
  <c r="I17"/>
  <c r="I13"/>
  <c r="B63"/>
  <c r="K5"/>
  <c r="K60" s="1"/>
  <c r="H62" i="122"/>
  <c r="K25" i="190"/>
  <c r="K27"/>
  <c r="A87" i="165"/>
  <c r="A86"/>
  <c r="A85"/>
  <c r="A84"/>
  <c r="A83"/>
  <c r="A82"/>
  <c r="A81"/>
  <c r="A80"/>
  <c r="F60" i="179"/>
  <c r="G60"/>
  <c r="K60"/>
  <c r="L60"/>
  <c r="P60"/>
  <c r="E61"/>
  <c r="F61"/>
  <c r="G61"/>
  <c r="J61"/>
  <c r="K61"/>
  <c r="L61"/>
  <c r="P61"/>
  <c r="E62"/>
  <c r="F62"/>
  <c r="G62"/>
  <c r="J62"/>
  <c r="K62"/>
  <c r="L62"/>
  <c r="P62"/>
  <c r="F65"/>
  <c r="G65"/>
  <c r="K65"/>
  <c r="L65"/>
  <c r="P65"/>
  <c r="F60" i="181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E60" i="182"/>
  <c r="G60"/>
  <c r="J60"/>
  <c r="L60"/>
  <c r="O60"/>
  <c r="D61"/>
  <c r="E61"/>
  <c r="G61"/>
  <c r="I61"/>
  <c r="J61"/>
  <c r="L61"/>
  <c r="N61"/>
  <c r="O61"/>
  <c r="E62"/>
  <c r="G62"/>
  <c r="J62"/>
  <c r="L62"/>
  <c r="O62"/>
  <c r="E65"/>
  <c r="G65"/>
  <c r="J65"/>
  <c r="L65"/>
  <c r="O65"/>
  <c r="F60" i="183"/>
  <c r="G60"/>
  <c r="K60"/>
  <c r="L60"/>
  <c r="P60"/>
  <c r="E61"/>
  <c r="F61"/>
  <c r="G61"/>
  <c r="J61"/>
  <c r="K61"/>
  <c r="L61"/>
  <c r="O61"/>
  <c r="P61"/>
  <c r="E62"/>
  <c r="F62"/>
  <c r="G62"/>
  <c r="J62"/>
  <c r="K62"/>
  <c r="L62"/>
  <c r="O62"/>
  <c r="P62"/>
  <c r="F65"/>
  <c r="G65"/>
  <c r="K65"/>
  <c r="L65"/>
  <c r="P65"/>
  <c r="B60" i="179"/>
  <c r="B61"/>
  <c r="B62"/>
  <c r="B65"/>
  <c r="B60" i="181"/>
  <c r="B61"/>
  <c r="B62"/>
  <c r="B65"/>
  <c r="B60" i="183"/>
  <c r="B61"/>
  <c r="B62"/>
  <c r="B65"/>
  <c r="B60" i="177"/>
  <c r="F60"/>
  <c r="G60"/>
  <c r="K60"/>
  <c r="B61"/>
  <c r="E61"/>
  <c r="F61"/>
  <c r="G61"/>
  <c r="J61"/>
  <c r="K61"/>
  <c r="B62"/>
  <c r="E62"/>
  <c r="F62"/>
  <c r="G62"/>
  <c r="J62"/>
  <c r="K62"/>
  <c r="B65"/>
  <c r="F65"/>
  <c r="G65"/>
  <c r="K65"/>
  <c r="P60"/>
  <c r="O61"/>
  <c r="P61"/>
  <c r="O62"/>
  <c r="P62"/>
  <c r="P65"/>
  <c r="B60" i="182"/>
  <c r="B61"/>
  <c r="B62"/>
  <c r="B65"/>
  <c r="B60" i="180"/>
  <c r="E60"/>
  <c r="G60"/>
  <c r="J60"/>
  <c r="B61"/>
  <c r="D61"/>
  <c r="E61"/>
  <c r="G61"/>
  <c r="I61"/>
  <c r="J61"/>
  <c r="B62"/>
  <c r="E62"/>
  <c r="G62"/>
  <c r="J62"/>
  <c r="B65"/>
  <c r="E65"/>
  <c r="G65"/>
  <c r="J65"/>
  <c r="O60" i="178"/>
  <c r="N61"/>
  <c r="O61"/>
  <c r="O62"/>
  <c r="O65"/>
  <c r="B60"/>
  <c r="E60"/>
  <c r="G60"/>
  <c r="J60"/>
  <c r="B61"/>
  <c r="D61"/>
  <c r="E61"/>
  <c r="G61"/>
  <c r="I61"/>
  <c r="J61"/>
  <c r="B62"/>
  <c r="E62"/>
  <c r="G62"/>
  <c r="J62"/>
  <c r="B65"/>
  <c r="E65"/>
  <c r="G65"/>
  <c r="J65"/>
  <c r="O60" i="176"/>
  <c r="N61"/>
  <c r="O61"/>
  <c r="O62"/>
  <c r="O65"/>
  <c r="B60"/>
  <c r="B61"/>
  <c r="B62"/>
  <c r="B65"/>
  <c r="E60"/>
  <c r="G60"/>
  <c r="J60"/>
  <c r="D61"/>
  <c r="E61"/>
  <c r="G61"/>
  <c r="I61"/>
  <c r="J61"/>
  <c r="E62"/>
  <c r="G62"/>
  <c r="J62"/>
  <c r="E65"/>
  <c r="G65"/>
  <c r="J65"/>
  <c r="B60" i="124"/>
  <c r="F60"/>
  <c r="G60"/>
  <c r="K60"/>
  <c r="B61"/>
  <c r="E61"/>
  <c r="F61"/>
  <c r="G61"/>
  <c r="J61"/>
  <c r="K61"/>
  <c r="B62"/>
  <c r="E62"/>
  <c r="F62"/>
  <c r="G62"/>
  <c r="J62"/>
  <c r="K62"/>
  <c r="B65"/>
  <c r="F65"/>
  <c r="G65"/>
  <c r="K65"/>
  <c r="P60"/>
  <c r="O61"/>
  <c r="P61"/>
  <c r="O62"/>
  <c r="P62"/>
  <c r="P65"/>
  <c r="L6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5"/>
  <c r="C26"/>
  <c r="C27"/>
  <c r="C28"/>
  <c r="C29"/>
  <c r="C30"/>
  <c r="C31"/>
  <c r="C32"/>
  <c r="C33"/>
  <c r="C61" s="1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"/>
  <c r="H6" i="123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"/>
  <c r="B60"/>
  <c r="E60"/>
  <c r="G60"/>
  <c r="J60"/>
  <c r="L60"/>
  <c r="B61"/>
  <c r="D61"/>
  <c r="E61"/>
  <c r="G61"/>
  <c r="I61"/>
  <c r="J61"/>
  <c r="L61"/>
  <c r="N61"/>
  <c r="B62"/>
  <c r="E62"/>
  <c r="G62"/>
  <c r="J62"/>
  <c r="L62"/>
  <c r="B65"/>
  <c r="E65"/>
  <c r="G65"/>
  <c r="J65"/>
  <c r="L6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"/>
  <c r="O65" i="180"/>
  <c r="L65"/>
  <c r="O62"/>
  <c r="L62"/>
  <c r="O61"/>
  <c r="N61"/>
  <c r="L61"/>
  <c r="O60"/>
  <c r="L60"/>
  <c r="L65" i="178"/>
  <c r="L62"/>
  <c r="L61"/>
  <c r="L60"/>
  <c r="L65" i="177"/>
  <c r="L62"/>
  <c r="L61"/>
  <c r="L60"/>
  <c r="L65" i="176"/>
  <c r="L62"/>
  <c r="L61"/>
  <c r="L60"/>
  <c r="A29" i="165"/>
  <c r="A28"/>
  <c r="A27"/>
  <c r="A26"/>
  <c r="F21" i="174"/>
  <c r="J9" i="175"/>
  <c r="B7"/>
  <c r="C7"/>
  <c r="D7"/>
  <c r="E7"/>
  <c r="F7"/>
  <c r="G7"/>
  <c r="B8"/>
  <c r="C8"/>
  <c r="I8" s="1"/>
  <c r="D8"/>
  <c r="E8"/>
  <c r="F8"/>
  <c r="G8"/>
  <c r="B9"/>
  <c r="C9"/>
  <c r="D9"/>
  <c r="E9"/>
  <c r="F9"/>
  <c r="G9"/>
  <c r="B10"/>
  <c r="C10"/>
  <c r="D10"/>
  <c r="E10"/>
  <c r="H10" s="1"/>
  <c r="F10"/>
  <c r="G10"/>
  <c r="B11"/>
  <c r="C11"/>
  <c r="D11"/>
  <c r="E11"/>
  <c r="F11"/>
  <c r="G11"/>
  <c r="B12"/>
  <c r="C12"/>
  <c r="C21" s="1"/>
  <c r="D12"/>
  <c r="E12"/>
  <c r="E21" s="1"/>
  <c r="F12"/>
  <c r="G12"/>
  <c r="G21" s="1"/>
  <c r="B13"/>
  <c r="C13"/>
  <c r="D13"/>
  <c r="J13" s="1"/>
  <c r="E13"/>
  <c r="F13"/>
  <c r="G13"/>
  <c r="C14"/>
  <c r="F14"/>
  <c r="I14" s="1"/>
  <c r="C15"/>
  <c r="I15" s="1"/>
  <c r="D15"/>
  <c r="F15"/>
  <c r="G15"/>
  <c r="C16"/>
  <c r="I16" s="1"/>
  <c r="D16"/>
  <c r="F16"/>
  <c r="G16"/>
  <c r="D17"/>
  <c r="J17" s="1"/>
  <c r="G17"/>
  <c r="D18"/>
  <c r="G18"/>
  <c r="G23" s="1"/>
  <c r="G6"/>
  <c r="F6"/>
  <c r="E6"/>
  <c r="D6"/>
  <c r="C6"/>
  <c r="I6" s="1"/>
  <c r="B6"/>
  <c r="J15" i="174"/>
  <c r="I12"/>
  <c r="G18"/>
  <c r="G22" s="1"/>
  <c r="E18"/>
  <c r="D18"/>
  <c r="G17"/>
  <c r="J17" s="1"/>
  <c r="F17"/>
  <c r="E17"/>
  <c r="D17"/>
  <c r="C17"/>
  <c r="G16"/>
  <c r="F16"/>
  <c r="E16"/>
  <c r="D16"/>
  <c r="C16"/>
  <c r="I16" s="1"/>
  <c r="B16"/>
  <c r="G15"/>
  <c r="F15"/>
  <c r="E15"/>
  <c r="D15"/>
  <c r="C15"/>
  <c r="I15" s="1"/>
  <c r="G14"/>
  <c r="F14"/>
  <c r="D14"/>
  <c r="C14"/>
  <c r="G13"/>
  <c r="F13"/>
  <c r="E13"/>
  <c r="D13"/>
  <c r="J13" s="1"/>
  <c r="C13"/>
  <c r="B13"/>
  <c r="H13" s="1"/>
  <c r="G12"/>
  <c r="F12"/>
  <c r="E12"/>
  <c r="H12" s="1"/>
  <c r="D12"/>
  <c r="C12"/>
  <c r="B12"/>
  <c r="G11"/>
  <c r="F11"/>
  <c r="E11"/>
  <c r="D11"/>
  <c r="C11"/>
  <c r="I11" s="1"/>
  <c r="B11"/>
  <c r="H11" s="1"/>
  <c r="G10"/>
  <c r="F10"/>
  <c r="E10"/>
  <c r="D10"/>
  <c r="J10" s="1"/>
  <c r="C10"/>
  <c r="B10"/>
  <c r="G9"/>
  <c r="F9"/>
  <c r="E9"/>
  <c r="D9"/>
  <c r="J9" s="1"/>
  <c r="C9"/>
  <c r="B9"/>
  <c r="H9" s="1"/>
  <c r="G8"/>
  <c r="F8"/>
  <c r="E8"/>
  <c r="H8" s="1"/>
  <c r="D8"/>
  <c r="J8" s="1"/>
  <c r="C8"/>
  <c r="I8" s="1"/>
  <c r="B8"/>
  <c r="G7"/>
  <c r="F7"/>
  <c r="E7"/>
  <c r="D7"/>
  <c r="C7"/>
  <c r="I7" s="1"/>
  <c r="B7"/>
  <c r="H7" s="1"/>
  <c r="G6"/>
  <c r="F6"/>
  <c r="E6"/>
  <c r="D6"/>
  <c r="J6" s="1"/>
  <c r="C6"/>
  <c r="B6"/>
  <c r="I22" i="173"/>
  <c r="B22"/>
  <c r="I21"/>
  <c r="B21"/>
  <c r="J20"/>
  <c r="I20"/>
  <c r="H20"/>
  <c r="G20"/>
  <c r="F20"/>
  <c r="E20"/>
  <c r="D20"/>
  <c r="C20"/>
  <c r="B20"/>
  <c r="C20" i="172"/>
  <c r="D20"/>
  <c r="E20"/>
  <c r="F20"/>
  <c r="G20"/>
  <c r="H20"/>
  <c r="I20"/>
  <c r="J20"/>
  <c r="C21"/>
  <c r="D21"/>
  <c r="I21"/>
  <c r="C22"/>
  <c r="D22"/>
  <c r="I22"/>
  <c r="B22"/>
  <c r="B21"/>
  <c r="B20"/>
  <c r="A25" i="165"/>
  <c r="A24"/>
  <c r="I22" i="171"/>
  <c r="B22"/>
  <c r="I21"/>
  <c r="B21"/>
  <c r="J20"/>
  <c r="I20"/>
  <c r="H20"/>
  <c r="G20"/>
  <c r="F20"/>
  <c r="E20"/>
  <c r="D20"/>
  <c r="C20"/>
  <c r="B20"/>
  <c r="C20" i="170"/>
  <c r="D20"/>
  <c r="E20"/>
  <c r="F20"/>
  <c r="G20"/>
  <c r="H20"/>
  <c r="I20"/>
  <c r="J20"/>
  <c r="C21"/>
  <c r="D21"/>
  <c r="I21"/>
  <c r="C22"/>
  <c r="D22"/>
  <c r="I22"/>
  <c r="B22"/>
  <c r="B21"/>
  <c r="B20"/>
  <c r="A43" i="165"/>
  <c r="A42"/>
  <c r="A35"/>
  <c r="A34"/>
  <c r="B5" i="167"/>
  <c r="D5"/>
  <c r="E5"/>
  <c r="I5"/>
  <c r="J5"/>
  <c r="K5"/>
  <c r="B6"/>
  <c r="D6"/>
  <c r="E6"/>
  <c r="I6"/>
  <c r="J6"/>
  <c r="K6"/>
  <c r="B7"/>
  <c r="N26" s="1"/>
  <c r="D7"/>
  <c r="I7"/>
  <c r="R26" s="1"/>
  <c r="J7"/>
  <c r="K7"/>
  <c r="B8"/>
  <c r="D8"/>
  <c r="E8"/>
  <c r="I8"/>
  <c r="J8"/>
  <c r="K8"/>
  <c r="B9"/>
  <c r="N29" s="1"/>
  <c r="D9"/>
  <c r="E9"/>
  <c r="I9"/>
  <c r="R29" s="1"/>
  <c r="J9"/>
  <c r="K9"/>
  <c r="B10"/>
  <c r="D10"/>
  <c r="E10"/>
  <c r="I10"/>
  <c r="J10"/>
  <c r="K10"/>
  <c r="B11"/>
  <c r="D11"/>
  <c r="E11"/>
  <c r="I11"/>
  <c r="J11"/>
  <c r="K11"/>
  <c r="B12"/>
  <c r="D12"/>
  <c r="E12"/>
  <c r="I12"/>
  <c r="J12"/>
  <c r="K12"/>
  <c r="B13"/>
  <c r="D13"/>
  <c r="E13"/>
  <c r="I13"/>
  <c r="J13"/>
  <c r="K13"/>
  <c r="B14"/>
  <c r="D14"/>
  <c r="D25" s="1"/>
  <c r="E14"/>
  <c r="E25" s="1"/>
  <c r="F14"/>
  <c r="G14"/>
  <c r="H14"/>
  <c r="I14"/>
  <c r="J14"/>
  <c r="K14"/>
  <c r="K25" s="1"/>
  <c r="B15"/>
  <c r="D15"/>
  <c r="E15"/>
  <c r="F15"/>
  <c r="G15"/>
  <c r="H15"/>
  <c r="I15"/>
  <c r="J15"/>
  <c r="K15"/>
  <c r="B16"/>
  <c r="D16"/>
  <c r="E16"/>
  <c r="F16"/>
  <c r="G16"/>
  <c r="H16"/>
  <c r="I16"/>
  <c r="J16"/>
  <c r="K16"/>
  <c r="B17"/>
  <c r="D17"/>
  <c r="E17"/>
  <c r="F17"/>
  <c r="G17"/>
  <c r="H17"/>
  <c r="I17"/>
  <c r="J17"/>
  <c r="K17"/>
  <c r="B18"/>
  <c r="D18"/>
  <c r="E18"/>
  <c r="F18"/>
  <c r="G18"/>
  <c r="H18"/>
  <c r="I18"/>
  <c r="J18"/>
  <c r="K18"/>
  <c r="B19"/>
  <c r="D19"/>
  <c r="D27" s="1"/>
  <c r="E19"/>
  <c r="E27" s="1"/>
  <c r="F19"/>
  <c r="G19"/>
  <c r="H19"/>
  <c r="I19"/>
  <c r="J19"/>
  <c r="K19"/>
  <c r="D4"/>
  <c r="E4"/>
  <c r="I4"/>
  <c r="J4"/>
  <c r="K4"/>
  <c r="B4"/>
  <c r="B5" i="166"/>
  <c r="D5"/>
  <c r="E5"/>
  <c r="I5"/>
  <c r="J5"/>
  <c r="K5"/>
  <c r="B6"/>
  <c r="D6"/>
  <c r="E6"/>
  <c r="I6"/>
  <c r="J6"/>
  <c r="K6"/>
  <c r="B7"/>
  <c r="N26" s="1"/>
  <c r="D7"/>
  <c r="E7"/>
  <c r="I7"/>
  <c r="J7"/>
  <c r="S26" s="1"/>
  <c r="K7"/>
  <c r="B8"/>
  <c r="D8"/>
  <c r="E8"/>
  <c r="I8"/>
  <c r="J8"/>
  <c r="K8"/>
  <c r="B9"/>
  <c r="D9"/>
  <c r="E9"/>
  <c r="Q28" s="1"/>
  <c r="I9"/>
  <c r="J9"/>
  <c r="K9"/>
  <c r="B10"/>
  <c r="D10"/>
  <c r="E10"/>
  <c r="I10"/>
  <c r="J10"/>
  <c r="K10"/>
  <c r="B11"/>
  <c r="N31" s="1"/>
  <c r="D11"/>
  <c r="E11"/>
  <c r="I11"/>
  <c r="J11"/>
  <c r="K11"/>
  <c r="B12"/>
  <c r="D12"/>
  <c r="E12"/>
  <c r="I12"/>
  <c r="J12"/>
  <c r="K12"/>
  <c r="B13"/>
  <c r="D13"/>
  <c r="E13"/>
  <c r="I13"/>
  <c r="J13"/>
  <c r="K13"/>
  <c r="B14"/>
  <c r="D14"/>
  <c r="E14"/>
  <c r="F14"/>
  <c r="G14"/>
  <c r="H14"/>
  <c r="I14"/>
  <c r="I25" s="1"/>
  <c r="J14"/>
  <c r="K14"/>
  <c r="B15"/>
  <c r="D15"/>
  <c r="E15"/>
  <c r="F15"/>
  <c r="G15"/>
  <c r="H15"/>
  <c r="I15"/>
  <c r="J15"/>
  <c r="K15"/>
  <c r="B16"/>
  <c r="D16"/>
  <c r="E16"/>
  <c r="F16"/>
  <c r="G16"/>
  <c r="H16"/>
  <c r="I16"/>
  <c r="J16"/>
  <c r="K16"/>
  <c r="B17"/>
  <c r="D17"/>
  <c r="E17"/>
  <c r="F17"/>
  <c r="G17"/>
  <c r="H17"/>
  <c r="I17"/>
  <c r="J17"/>
  <c r="K17"/>
  <c r="B18"/>
  <c r="D18"/>
  <c r="E18"/>
  <c r="F18"/>
  <c r="G18"/>
  <c r="H18"/>
  <c r="I18"/>
  <c r="J18"/>
  <c r="K18"/>
  <c r="B19"/>
  <c r="D19"/>
  <c r="D27" s="1"/>
  <c r="E19"/>
  <c r="F19"/>
  <c r="G19"/>
  <c r="H19"/>
  <c r="I19"/>
  <c r="J19"/>
  <c r="K19"/>
  <c r="D4"/>
  <c r="E4"/>
  <c r="B4"/>
  <c r="F15" i="82"/>
  <c r="G15"/>
  <c r="H15"/>
  <c r="F16"/>
  <c r="G16"/>
  <c r="H16"/>
  <c r="F17"/>
  <c r="G17"/>
  <c r="H17"/>
  <c r="F18"/>
  <c r="G18"/>
  <c r="H18"/>
  <c r="F19"/>
  <c r="G19"/>
  <c r="H19"/>
  <c r="H14"/>
  <c r="G14"/>
  <c r="F14"/>
  <c r="I5"/>
  <c r="K6"/>
  <c r="K7"/>
  <c r="I8"/>
  <c r="I9"/>
  <c r="K10"/>
  <c r="K11"/>
  <c r="I12"/>
  <c r="I13"/>
  <c r="K14"/>
  <c r="K25" s="1"/>
  <c r="K15"/>
  <c r="I16"/>
  <c r="I17"/>
  <c r="K18"/>
  <c r="K19"/>
  <c r="K27" s="1"/>
  <c r="E5"/>
  <c r="B6"/>
  <c r="E6"/>
  <c r="B7"/>
  <c r="E7"/>
  <c r="Q26" s="1"/>
  <c r="E9"/>
  <c r="B10"/>
  <c r="E10"/>
  <c r="B11"/>
  <c r="E11"/>
  <c r="E13"/>
  <c r="B14"/>
  <c r="B25" s="1"/>
  <c r="E14"/>
  <c r="E25" s="1"/>
  <c r="B15"/>
  <c r="E15"/>
  <c r="E17"/>
  <c r="B18"/>
  <c r="E18"/>
  <c r="B19"/>
  <c r="B27" s="1"/>
  <c r="E19"/>
  <c r="E27" s="1"/>
  <c r="F15" i="81"/>
  <c r="G15"/>
  <c r="H15"/>
  <c r="F16"/>
  <c r="G16"/>
  <c r="H16"/>
  <c r="F17"/>
  <c r="G17"/>
  <c r="H17"/>
  <c r="F18"/>
  <c r="G18"/>
  <c r="H18"/>
  <c r="F19"/>
  <c r="G19"/>
  <c r="H19"/>
  <c r="H14"/>
  <c r="H25" s="1"/>
  <c r="G14"/>
  <c r="G25" s="1"/>
  <c r="F14"/>
  <c r="F25" s="1"/>
  <c r="I5"/>
  <c r="J5"/>
  <c r="K5"/>
  <c r="I6"/>
  <c r="J6"/>
  <c r="K6"/>
  <c r="I7"/>
  <c r="J7"/>
  <c r="S26" s="1"/>
  <c r="K7"/>
  <c r="I8"/>
  <c r="J8"/>
  <c r="K8"/>
  <c r="I9"/>
  <c r="J9"/>
  <c r="K9"/>
  <c r="I10"/>
  <c r="J10"/>
  <c r="K10"/>
  <c r="I11"/>
  <c r="R31" s="1"/>
  <c r="J11"/>
  <c r="S31" s="1"/>
  <c r="K11"/>
  <c r="T31" s="1"/>
  <c r="I12"/>
  <c r="J12"/>
  <c r="K12"/>
  <c r="I13"/>
  <c r="J13"/>
  <c r="K13"/>
  <c r="I14"/>
  <c r="I25" s="1"/>
  <c r="J14"/>
  <c r="K14"/>
  <c r="I15"/>
  <c r="J15"/>
  <c r="K15"/>
  <c r="I16"/>
  <c r="J16"/>
  <c r="K16"/>
  <c r="I17"/>
  <c r="J17"/>
  <c r="K17"/>
  <c r="I18"/>
  <c r="J18"/>
  <c r="K18"/>
  <c r="I19"/>
  <c r="J19"/>
  <c r="J27" s="1"/>
  <c r="K19"/>
  <c r="K27" s="1"/>
  <c r="E5"/>
  <c r="E6"/>
  <c r="E7"/>
  <c r="E8"/>
  <c r="E9"/>
  <c r="E10"/>
  <c r="E11"/>
  <c r="Q31" s="1"/>
  <c r="E12"/>
  <c r="E13"/>
  <c r="E14"/>
  <c r="E15"/>
  <c r="Q35" s="1"/>
  <c r="E16"/>
  <c r="E17"/>
  <c r="E18"/>
  <c r="E19"/>
  <c r="E27" s="1"/>
  <c r="D5"/>
  <c r="D6"/>
  <c r="D7"/>
  <c r="D8"/>
  <c r="D9"/>
  <c r="D10"/>
  <c r="D11"/>
  <c r="P31" s="1"/>
  <c r="D12"/>
  <c r="D13"/>
  <c r="D14"/>
  <c r="D25" s="1"/>
  <c r="D15"/>
  <c r="D16"/>
  <c r="D17"/>
  <c r="D18"/>
  <c r="D19"/>
  <c r="D27" s="1"/>
  <c r="C5"/>
  <c r="C8"/>
  <c r="C9"/>
  <c r="C12"/>
  <c r="C13"/>
  <c r="C16"/>
  <c r="C17"/>
  <c r="B5"/>
  <c r="B6"/>
  <c r="B7"/>
  <c r="B8"/>
  <c r="B9"/>
  <c r="B10"/>
  <c r="B11"/>
  <c r="N31" s="1"/>
  <c r="B12"/>
  <c r="B13"/>
  <c r="B14"/>
  <c r="B15"/>
  <c r="B16"/>
  <c r="B17"/>
  <c r="B18"/>
  <c r="B19"/>
  <c r="B27" s="1"/>
  <c r="D4"/>
  <c r="E4"/>
  <c r="B4"/>
  <c r="A124" i="165"/>
  <c r="A123"/>
  <c r="A122"/>
  <c r="A121"/>
  <c r="A120"/>
  <c r="A119"/>
  <c r="A118"/>
  <c r="A117"/>
  <c r="A116"/>
  <c r="A115"/>
  <c r="A114"/>
  <c r="A113"/>
  <c r="A112"/>
  <c r="A79"/>
  <c r="A78"/>
  <c r="A67"/>
  <c r="A66"/>
  <c r="A33"/>
  <c r="A32"/>
  <c r="A59"/>
  <c r="A58"/>
  <c r="A57"/>
  <c r="A56"/>
  <c r="A55"/>
  <c r="A54"/>
  <c r="A53"/>
  <c r="A52"/>
  <c r="A51"/>
  <c r="A50"/>
  <c r="A49"/>
  <c r="A48"/>
  <c r="A47"/>
  <c r="A46"/>
  <c r="A41"/>
  <c r="A40"/>
  <c r="A39"/>
  <c r="A38"/>
  <c r="A23"/>
  <c r="A22"/>
  <c r="A21"/>
  <c r="A20"/>
  <c r="A19"/>
  <c r="A18"/>
  <c r="A13"/>
  <c r="A12"/>
  <c r="A11"/>
  <c r="A10"/>
  <c r="A9"/>
  <c r="A8"/>
  <c r="A7"/>
  <c r="A6"/>
  <c r="AJ43" i="149"/>
  <c r="AJ16"/>
  <c r="AZ12" i="159"/>
  <c r="AZ18"/>
  <c r="AZ19"/>
  <c r="BI12"/>
  <c r="AT17" i="161"/>
  <c r="AT19"/>
  <c r="F12"/>
  <c r="E12"/>
  <c r="L12"/>
  <c r="K12"/>
  <c r="R12"/>
  <c r="Q12"/>
  <c r="F13"/>
  <c r="E13"/>
  <c r="L13"/>
  <c r="K13"/>
  <c r="R13"/>
  <c r="Q13"/>
  <c r="F14"/>
  <c r="E14"/>
  <c r="L14"/>
  <c r="K14"/>
  <c r="R14"/>
  <c r="Q14"/>
  <c r="F15"/>
  <c r="E15"/>
  <c r="L15"/>
  <c r="K15"/>
  <c r="R15"/>
  <c r="Q15"/>
  <c r="F16"/>
  <c r="E16"/>
  <c r="L16"/>
  <c r="K16"/>
  <c r="R16"/>
  <c r="Q16"/>
  <c r="F17"/>
  <c r="E17"/>
  <c r="L17"/>
  <c r="K17"/>
  <c r="R17"/>
  <c r="Q17"/>
  <c r="F18"/>
  <c r="E18"/>
  <c r="L18"/>
  <c r="K18"/>
  <c r="R18"/>
  <c r="Q18"/>
  <c r="F19"/>
  <c r="E19"/>
  <c r="L19"/>
  <c r="K19"/>
  <c r="R19"/>
  <c r="Q19"/>
  <c r="F20"/>
  <c r="E20"/>
  <c r="L20"/>
  <c r="K20"/>
  <c r="R20"/>
  <c r="Q20"/>
  <c r="F21"/>
  <c r="E21"/>
  <c r="L21"/>
  <c r="K21"/>
  <c r="R21"/>
  <c r="Q21"/>
  <c r="F22"/>
  <c r="E22"/>
  <c r="L22"/>
  <c r="K22"/>
  <c r="R22"/>
  <c r="Q22"/>
  <c r="F23"/>
  <c r="E23"/>
  <c r="L23"/>
  <c r="K23"/>
  <c r="R23"/>
  <c r="Q23"/>
  <c r="F24"/>
  <c r="E24"/>
  <c r="L24"/>
  <c r="K24"/>
  <c r="R24"/>
  <c r="Q24"/>
  <c r="C27"/>
  <c r="AX43" i="162"/>
  <c r="AW43"/>
  <c r="AU43"/>
  <c r="AT43"/>
  <c r="AS43"/>
  <c r="AR43"/>
  <c r="AX42"/>
  <c r="AW42"/>
  <c r="AU42"/>
  <c r="AT42"/>
  <c r="AS42"/>
  <c r="AR42"/>
  <c r="AX41"/>
  <c r="AW41"/>
  <c r="AU41"/>
  <c r="AT41"/>
  <c r="AS41"/>
  <c r="AR41"/>
  <c r="AX31"/>
  <c r="AW31"/>
  <c r="AU31"/>
  <c r="AT31"/>
  <c r="AS31"/>
  <c r="AR31"/>
  <c r="AX28"/>
  <c r="AW28"/>
  <c r="AU28"/>
  <c r="AT28"/>
  <c r="AS28"/>
  <c r="AR28"/>
  <c r="AX27"/>
  <c r="AW27"/>
  <c r="AU27"/>
  <c r="AS27"/>
  <c r="AR27"/>
  <c r="C27"/>
  <c r="AX24"/>
  <c r="AW24"/>
  <c r="AU24"/>
  <c r="AS24"/>
  <c r="AR24"/>
  <c r="Q24"/>
  <c r="R24"/>
  <c r="K24"/>
  <c r="L24"/>
  <c r="E24"/>
  <c r="F24"/>
  <c r="AV23"/>
  <c r="AX23"/>
  <c r="AW23"/>
  <c r="AU23"/>
  <c r="AS23"/>
  <c r="AR23"/>
  <c r="Q23"/>
  <c r="R23"/>
  <c r="K23"/>
  <c r="L23"/>
  <c r="E23"/>
  <c r="F23"/>
  <c r="AV22"/>
  <c r="AX22"/>
  <c r="AW22"/>
  <c r="AU22"/>
  <c r="AT22"/>
  <c r="AS22"/>
  <c r="AR22"/>
  <c r="Q22"/>
  <c r="R22"/>
  <c r="K22"/>
  <c r="L22"/>
  <c r="E22"/>
  <c r="F22"/>
  <c r="AX21"/>
  <c r="AW21"/>
  <c r="AU21"/>
  <c r="AS21"/>
  <c r="AR21"/>
  <c r="Q21"/>
  <c r="R21"/>
  <c r="K21"/>
  <c r="L21"/>
  <c r="E21"/>
  <c r="F21"/>
  <c r="AV21"/>
  <c r="AT21"/>
  <c r="AX20"/>
  <c r="AW20"/>
  <c r="AU20"/>
  <c r="AS20"/>
  <c r="AR20"/>
  <c r="Q20"/>
  <c r="R20"/>
  <c r="K20"/>
  <c r="L20"/>
  <c r="E20"/>
  <c r="F20"/>
  <c r="AV19"/>
  <c r="AT19"/>
  <c r="AX19"/>
  <c r="AW19"/>
  <c r="AU19"/>
  <c r="AS19"/>
  <c r="AR19"/>
  <c r="Q19"/>
  <c r="R19"/>
  <c r="K19"/>
  <c r="L19"/>
  <c r="E19"/>
  <c r="F19"/>
  <c r="AV18"/>
  <c r="AX18"/>
  <c r="AW18"/>
  <c r="AU18"/>
  <c r="AT18"/>
  <c r="AS18"/>
  <c r="AR18"/>
  <c r="Q18"/>
  <c r="R18"/>
  <c r="K18"/>
  <c r="L18"/>
  <c r="E18"/>
  <c r="F18"/>
  <c r="AX17"/>
  <c r="AW17"/>
  <c r="AU17"/>
  <c r="AT17"/>
  <c r="AS17"/>
  <c r="AR17"/>
  <c r="Q17"/>
  <c r="R17"/>
  <c r="K17"/>
  <c r="L17"/>
  <c r="E17"/>
  <c r="F17"/>
  <c r="AV16"/>
  <c r="AX16"/>
  <c r="AW16"/>
  <c r="AU16"/>
  <c r="AT16"/>
  <c r="AS16"/>
  <c r="AR16"/>
  <c r="Q16"/>
  <c r="R16"/>
  <c r="K16"/>
  <c r="L16"/>
  <c r="E16"/>
  <c r="F16"/>
  <c r="AX15"/>
  <c r="AW15"/>
  <c r="AU15"/>
  <c r="AT15"/>
  <c r="AS15"/>
  <c r="AR15"/>
  <c r="Q15"/>
  <c r="R15"/>
  <c r="K15"/>
  <c r="L15"/>
  <c r="E15"/>
  <c r="F15"/>
  <c r="AV15"/>
  <c r="AX14"/>
  <c r="AW14"/>
  <c r="AU14"/>
  <c r="AT14"/>
  <c r="AS14"/>
  <c r="AR14"/>
  <c r="Q14"/>
  <c r="R14"/>
  <c r="K14"/>
  <c r="L14"/>
  <c r="E14"/>
  <c r="F14"/>
  <c r="AV42"/>
  <c r="BG13"/>
  <c r="BF13"/>
  <c r="BE13"/>
  <c r="BD13"/>
  <c r="BC13"/>
  <c r="BB13"/>
  <c r="BA13"/>
  <c r="AX13"/>
  <c r="AW13"/>
  <c r="AU13"/>
  <c r="AS13"/>
  <c r="AR13"/>
  <c r="Q13"/>
  <c r="R13"/>
  <c r="K13"/>
  <c r="L13"/>
  <c r="E13"/>
  <c r="F13"/>
  <c r="AV27"/>
  <c r="AT27"/>
  <c r="BG12"/>
  <c r="BF12"/>
  <c r="BE12"/>
  <c r="BD12"/>
  <c r="BC12"/>
  <c r="BB12"/>
  <c r="BA12"/>
  <c r="AX12"/>
  <c r="AW12"/>
  <c r="AU12"/>
  <c r="AT12"/>
  <c r="AS12"/>
  <c r="AR12"/>
  <c r="Q12"/>
  <c r="R12"/>
  <c r="K12"/>
  <c r="L12"/>
  <c r="E12"/>
  <c r="F12"/>
  <c r="BG11"/>
  <c r="BF11"/>
  <c r="BD11"/>
  <c r="BC11"/>
  <c r="BB11"/>
  <c r="BA11"/>
  <c r="AX11"/>
  <c r="AW11"/>
  <c r="AV11"/>
  <c r="AU11"/>
  <c r="AS11"/>
  <c r="AR11"/>
  <c r="AT11"/>
  <c r="BG10"/>
  <c r="BF10"/>
  <c r="BD10"/>
  <c r="BC10"/>
  <c r="BB10"/>
  <c r="BA10"/>
  <c r="AX43" i="161"/>
  <c r="AW43"/>
  <c r="AV43"/>
  <c r="AU43"/>
  <c r="AT43"/>
  <c r="AS43"/>
  <c r="AR43"/>
  <c r="AX42"/>
  <c r="AW42"/>
  <c r="AV42"/>
  <c r="AU42"/>
  <c r="AT42"/>
  <c r="AS42"/>
  <c r="AR42"/>
  <c r="AX41"/>
  <c r="AW41"/>
  <c r="AV41"/>
  <c r="AU41"/>
  <c r="AT41"/>
  <c r="AS41"/>
  <c r="AR41"/>
  <c r="AX31"/>
  <c r="AW31"/>
  <c r="AV31"/>
  <c r="AU31"/>
  <c r="AT31"/>
  <c r="AS31"/>
  <c r="AR31"/>
  <c r="AX28"/>
  <c r="AW28"/>
  <c r="AV28"/>
  <c r="AU28"/>
  <c r="AT28"/>
  <c r="AS28"/>
  <c r="AR28"/>
  <c r="AX27"/>
  <c r="AW27"/>
  <c r="AV27"/>
  <c r="AU27"/>
  <c r="AT27"/>
  <c r="AS27"/>
  <c r="AR27"/>
  <c r="AX24"/>
  <c r="AW24"/>
  <c r="AU24"/>
  <c r="AS24"/>
  <c r="AR24"/>
  <c r="AV24"/>
  <c r="AX23"/>
  <c r="AW23"/>
  <c r="AU23"/>
  <c r="AS23"/>
  <c r="AR23"/>
  <c r="AX22"/>
  <c r="AW22"/>
  <c r="AU22"/>
  <c r="AS22"/>
  <c r="AR22"/>
  <c r="AX21"/>
  <c r="AW21"/>
  <c r="AU21"/>
  <c r="AS21"/>
  <c r="AR21"/>
  <c r="AX20"/>
  <c r="AW20"/>
  <c r="AU20"/>
  <c r="AS20"/>
  <c r="AR20"/>
  <c r="AX19"/>
  <c r="AW19"/>
  <c r="AU19"/>
  <c r="AS19"/>
  <c r="AR19"/>
  <c r="AV19"/>
  <c r="AT18"/>
  <c r="AX18"/>
  <c r="AW18"/>
  <c r="AU18"/>
  <c r="AS18"/>
  <c r="AR18"/>
  <c r="AV17"/>
  <c r="AX17"/>
  <c r="AW17"/>
  <c r="AU17"/>
  <c r="AS17"/>
  <c r="AR17"/>
  <c r="AX16"/>
  <c r="AW16"/>
  <c r="AV16"/>
  <c r="AU16"/>
  <c r="AT16"/>
  <c r="AS16"/>
  <c r="AR16"/>
  <c r="AX15"/>
  <c r="AW15"/>
  <c r="AV15"/>
  <c r="AU15"/>
  <c r="AT15"/>
  <c r="AS15"/>
  <c r="AR15"/>
  <c r="AX14"/>
  <c r="AW14"/>
  <c r="AV14"/>
  <c r="AU14"/>
  <c r="AT14"/>
  <c r="AS14"/>
  <c r="AR14"/>
  <c r="BG13"/>
  <c r="BF13"/>
  <c r="BE13"/>
  <c r="BD13"/>
  <c r="BC13"/>
  <c r="BB13"/>
  <c r="BA13"/>
  <c r="AX13"/>
  <c r="AW13"/>
  <c r="AV13"/>
  <c r="AU13"/>
  <c r="AS13"/>
  <c r="AR13"/>
  <c r="BG12"/>
  <c r="BF12"/>
  <c r="BE12"/>
  <c r="BD12"/>
  <c r="BB12"/>
  <c r="BA12"/>
  <c r="AX12"/>
  <c r="AW12"/>
  <c r="AV12"/>
  <c r="AU12"/>
  <c r="AS12"/>
  <c r="AR12"/>
  <c r="BG11"/>
  <c r="BF11"/>
  <c r="BD11"/>
  <c r="BB11"/>
  <c r="BA11"/>
  <c r="AX11"/>
  <c r="AW11"/>
  <c r="AV11"/>
  <c r="AU11"/>
  <c r="AS11"/>
  <c r="AR11"/>
  <c r="AT11"/>
  <c r="BG10"/>
  <c r="BF10"/>
  <c r="BE10"/>
  <c r="BD10"/>
  <c r="BC10"/>
  <c r="BB10"/>
  <c r="BA10"/>
  <c r="BD43" i="160"/>
  <c r="BC43"/>
  <c r="BA43"/>
  <c r="AZ43"/>
  <c r="AY43"/>
  <c r="AX43"/>
  <c r="BD42"/>
  <c r="BC42"/>
  <c r="BA42"/>
  <c r="AZ42"/>
  <c r="AY42"/>
  <c r="AX42"/>
  <c r="BD41"/>
  <c r="BC41"/>
  <c r="BA41"/>
  <c r="AZ41"/>
  <c r="AY41"/>
  <c r="AX41"/>
  <c r="BD31"/>
  <c r="BC31"/>
  <c r="BA31"/>
  <c r="AZ31"/>
  <c r="AY31"/>
  <c r="AX31"/>
  <c r="BD28"/>
  <c r="BC28"/>
  <c r="BA28"/>
  <c r="AZ28"/>
  <c r="AY28"/>
  <c r="AX28"/>
  <c r="BD27"/>
  <c r="BC27"/>
  <c r="BA27"/>
  <c r="AY27"/>
  <c r="AX27"/>
  <c r="C27"/>
  <c r="BD24"/>
  <c r="BC24"/>
  <c r="BA24"/>
  <c r="AY24"/>
  <c r="AX24"/>
  <c r="W24"/>
  <c r="X24"/>
  <c r="Q24"/>
  <c r="R24"/>
  <c r="K24"/>
  <c r="L24"/>
  <c r="E24"/>
  <c r="F24"/>
  <c r="BD23"/>
  <c r="BC23"/>
  <c r="BA23"/>
  <c r="AY23"/>
  <c r="AX23"/>
  <c r="W23"/>
  <c r="X23"/>
  <c r="Q23"/>
  <c r="R23"/>
  <c r="K23"/>
  <c r="L23"/>
  <c r="E23"/>
  <c r="F23"/>
  <c r="BD22"/>
  <c r="BC22"/>
  <c r="BA22"/>
  <c r="AZ22"/>
  <c r="AY22"/>
  <c r="AX22"/>
  <c r="W22"/>
  <c r="X22"/>
  <c r="Q22"/>
  <c r="R22"/>
  <c r="K22"/>
  <c r="L22"/>
  <c r="E22"/>
  <c r="F22"/>
  <c r="AZ21"/>
  <c r="BD21"/>
  <c r="BC21"/>
  <c r="BA21"/>
  <c r="AY21"/>
  <c r="AX21"/>
  <c r="W21"/>
  <c r="X21"/>
  <c r="Q21"/>
  <c r="R21"/>
  <c r="K21"/>
  <c r="L21"/>
  <c r="E21"/>
  <c r="F21"/>
  <c r="AZ20"/>
  <c r="BD20"/>
  <c r="BC20"/>
  <c r="BA20"/>
  <c r="AY20"/>
  <c r="AX20"/>
  <c r="W20"/>
  <c r="X20"/>
  <c r="Q20"/>
  <c r="R20"/>
  <c r="K20"/>
  <c r="L20"/>
  <c r="E20"/>
  <c r="F20"/>
  <c r="AZ19"/>
  <c r="BD19"/>
  <c r="BC19"/>
  <c r="BA19"/>
  <c r="AY19"/>
  <c r="AX19"/>
  <c r="W19"/>
  <c r="X19"/>
  <c r="Q19"/>
  <c r="R19"/>
  <c r="K19"/>
  <c r="L19"/>
  <c r="E19"/>
  <c r="F19"/>
  <c r="BD18"/>
  <c r="BC18"/>
  <c r="BA18"/>
  <c r="AZ18"/>
  <c r="AY18"/>
  <c r="AX18"/>
  <c r="W18"/>
  <c r="X18"/>
  <c r="Q18"/>
  <c r="R18"/>
  <c r="K18"/>
  <c r="L18"/>
  <c r="E18"/>
  <c r="F18"/>
  <c r="AZ17"/>
  <c r="BD17"/>
  <c r="BC17"/>
  <c r="BA17"/>
  <c r="AY17"/>
  <c r="AX17"/>
  <c r="W17"/>
  <c r="X17"/>
  <c r="Q17"/>
  <c r="R17"/>
  <c r="K17"/>
  <c r="L17"/>
  <c r="E17"/>
  <c r="F17"/>
  <c r="BD16"/>
  <c r="BC16"/>
  <c r="BA16"/>
  <c r="AZ16"/>
  <c r="AY16"/>
  <c r="AX16"/>
  <c r="W16"/>
  <c r="X16"/>
  <c r="Q16"/>
  <c r="R16"/>
  <c r="K16"/>
  <c r="L16"/>
  <c r="E16"/>
  <c r="F16"/>
  <c r="BD15"/>
  <c r="BC15"/>
  <c r="BA15"/>
  <c r="AZ15"/>
  <c r="AY15"/>
  <c r="AX15"/>
  <c r="W15"/>
  <c r="X15"/>
  <c r="Q15"/>
  <c r="R15"/>
  <c r="K15"/>
  <c r="L15"/>
  <c r="E15"/>
  <c r="F15"/>
  <c r="BD14"/>
  <c r="BC14"/>
  <c r="BA14"/>
  <c r="AZ14"/>
  <c r="AY14"/>
  <c r="AX14"/>
  <c r="W14"/>
  <c r="X14"/>
  <c r="Q14"/>
  <c r="R14"/>
  <c r="K14"/>
  <c r="L14"/>
  <c r="E14"/>
  <c r="F14"/>
  <c r="BM13"/>
  <c r="BL13"/>
  <c r="BK13"/>
  <c r="BJ13"/>
  <c r="BH13"/>
  <c r="BG13"/>
  <c r="BD13"/>
  <c r="BC13"/>
  <c r="BA13"/>
  <c r="AY13"/>
  <c r="AX13"/>
  <c r="W13"/>
  <c r="X28" s="1"/>
  <c r="X13"/>
  <c r="Q13"/>
  <c r="R13"/>
  <c r="K13"/>
  <c r="L28" s="1"/>
  <c r="L13"/>
  <c r="E13"/>
  <c r="F13"/>
  <c r="AZ27"/>
  <c r="BM12"/>
  <c r="BL12"/>
  <c r="BJ12"/>
  <c r="BI12"/>
  <c r="BH12"/>
  <c r="BG12"/>
  <c r="BD12"/>
  <c r="BC12"/>
  <c r="BA12"/>
  <c r="AZ12"/>
  <c r="AY12"/>
  <c r="AX12"/>
  <c r="W12"/>
  <c r="X12"/>
  <c r="Q12"/>
  <c r="R12"/>
  <c r="K12"/>
  <c r="L12"/>
  <c r="BB11" s="1"/>
  <c r="E12"/>
  <c r="F12"/>
  <c r="BM11"/>
  <c r="BL11"/>
  <c r="BJ11"/>
  <c r="BI11"/>
  <c r="BH11"/>
  <c r="BG11"/>
  <c r="BD11"/>
  <c r="BC11"/>
  <c r="BA11"/>
  <c r="AY11"/>
  <c r="AX11"/>
  <c r="BI13"/>
  <c r="BM10"/>
  <c r="BL10"/>
  <c r="BJ10"/>
  <c r="BI10"/>
  <c r="BH10"/>
  <c r="BG10"/>
  <c r="BD43" i="159"/>
  <c r="BC43"/>
  <c r="BB43"/>
  <c r="BA43"/>
  <c r="AZ43"/>
  <c r="AY43"/>
  <c r="AX43"/>
  <c r="BD42"/>
  <c r="BC42"/>
  <c r="BB42"/>
  <c r="BA42"/>
  <c r="AZ42"/>
  <c r="AY42"/>
  <c r="AX42"/>
  <c r="BD41"/>
  <c r="BC41"/>
  <c r="BB41"/>
  <c r="BA41"/>
  <c r="AZ41"/>
  <c r="AY41"/>
  <c r="AX41"/>
  <c r="BD31"/>
  <c r="BC31"/>
  <c r="BB31"/>
  <c r="BA31"/>
  <c r="AZ31"/>
  <c r="AY31"/>
  <c r="AX31"/>
  <c r="BD28"/>
  <c r="BC28"/>
  <c r="BB28"/>
  <c r="BA28"/>
  <c r="AZ28"/>
  <c r="AY28"/>
  <c r="AX28"/>
  <c r="BD27"/>
  <c r="BC27"/>
  <c r="BB27"/>
  <c r="BA27"/>
  <c r="AZ27"/>
  <c r="AY27"/>
  <c r="AX27"/>
  <c r="C27"/>
  <c r="BD24"/>
  <c r="BC24"/>
  <c r="BA24"/>
  <c r="AY24"/>
  <c r="AX24"/>
  <c r="W24"/>
  <c r="X24"/>
  <c r="Q24"/>
  <c r="R24"/>
  <c r="K24"/>
  <c r="L24"/>
  <c r="E24"/>
  <c r="F24"/>
  <c r="BD23"/>
  <c r="BC23"/>
  <c r="BA23"/>
  <c r="AZ23"/>
  <c r="AY23"/>
  <c r="AX23"/>
  <c r="W23"/>
  <c r="X23"/>
  <c r="Q23"/>
  <c r="R23"/>
  <c r="K23"/>
  <c r="L23"/>
  <c r="E23"/>
  <c r="F23"/>
  <c r="BD22"/>
  <c r="BC22"/>
  <c r="BA22"/>
  <c r="AY22"/>
  <c r="AX22"/>
  <c r="W22"/>
  <c r="X22"/>
  <c r="Q22"/>
  <c r="R22"/>
  <c r="K22"/>
  <c r="L22"/>
  <c r="E22"/>
  <c r="F22"/>
  <c r="AZ22"/>
  <c r="BD21"/>
  <c r="BC21"/>
  <c r="BA21"/>
  <c r="AY21"/>
  <c r="AX21"/>
  <c r="W21"/>
  <c r="X21"/>
  <c r="Q21"/>
  <c r="R21"/>
  <c r="K21"/>
  <c r="L21"/>
  <c r="E21"/>
  <c r="F21"/>
  <c r="BD20"/>
  <c r="BC20"/>
  <c r="BA20"/>
  <c r="AY20"/>
  <c r="AX20"/>
  <c r="W20"/>
  <c r="X20"/>
  <c r="Q20"/>
  <c r="R20"/>
  <c r="K20"/>
  <c r="L20"/>
  <c r="E20"/>
  <c r="F20"/>
  <c r="BD19"/>
  <c r="BC19"/>
  <c r="BA19"/>
  <c r="AY19"/>
  <c r="AX19"/>
  <c r="W19"/>
  <c r="X19"/>
  <c r="Q19"/>
  <c r="R19"/>
  <c r="K19"/>
  <c r="L19"/>
  <c r="E19"/>
  <c r="F19"/>
  <c r="BD18"/>
  <c r="BC18"/>
  <c r="BA18"/>
  <c r="AY18"/>
  <c r="AX18"/>
  <c r="W18"/>
  <c r="X18"/>
  <c r="Q18"/>
  <c r="R18"/>
  <c r="K18"/>
  <c r="L18"/>
  <c r="BB17" s="1"/>
  <c r="E18"/>
  <c r="F18"/>
  <c r="BD17"/>
  <c r="BC17"/>
  <c r="BA17"/>
  <c r="AY17"/>
  <c r="AX17"/>
  <c r="W17"/>
  <c r="X17"/>
  <c r="Q17"/>
  <c r="R17"/>
  <c r="K17"/>
  <c r="L17"/>
  <c r="E17"/>
  <c r="F17"/>
  <c r="BD16"/>
  <c r="BC16"/>
  <c r="BB16"/>
  <c r="BA16"/>
  <c r="AZ16"/>
  <c r="AY16"/>
  <c r="AX16"/>
  <c r="W16"/>
  <c r="X16"/>
  <c r="Q16"/>
  <c r="R16"/>
  <c r="K16"/>
  <c r="L16"/>
  <c r="E16"/>
  <c r="F16"/>
  <c r="BD15"/>
  <c r="BC15"/>
  <c r="BB15"/>
  <c r="BA15"/>
  <c r="AZ15"/>
  <c r="AY15"/>
  <c r="AX15"/>
  <c r="W15"/>
  <c r="X15"/>
  <c r="Q15"/>
  <c r="R15"/>
  <c r="K15"/>
  <c r="L15"/>
  <c r="E15"/>
  <c r="F15"/>
  <c r="BD14"/>
  <c r="BC14"/>
  <c r="BB14"/>
  <c r="BA14"/>
  <c r="AZ14"/>
  <c r="AY14"/>
  <c r="AX14"/>
  <c r="W14"/>
  <c r="X14"/>
  <c r="Q14"/>
  <c r="R14"/>
  <c r="K14"/>
  <c r="L14"/>
  <c r="E14"/>
  <c r="F14"/>
  <c r="BM13"/>
  <c r="BL13"/>
  <c r="BK13"/>
  <c r="BJ13"/>
  <c r="BH13"/>
  <c r="BG13"/>
  <c r="BD13"/>
  <c r="BC13"/>
  <c r="BB13"/>
  <c r="BA13"/>
  <c r="AZ13"/>
  <c r="AY13"/>
  <c r="AX13"/>
  <c r="W13"/>
  <c r="X13"/>
  <c r="Q13"/>
  <c r="R13"/>
  <c r="K13"/>
  <c r="L13"/>
  <c r="E13"/>
  <c r="F13"/>
  <c r="BM12"/>
  <c r="BL12"/>
  <c r="BJ12"/>
  <c r="BH12"/>
  <c r="BG12"/>
  <c r="BD12"/>
  <c r="BC12"/>
  <c r="BB12"/>
  <c r="BA12"/>
  <c r="AY12"/>
  <c r="AX12"/>
  <c r="W12"/>
  <c r="X12"/>
  <c r="Q12"/>
  <c r="R12"/>
  <c r="K12"/>
  <c r="L12"/>
  <c r="E12"/>
  <c r="BM11"/>
  <c r="BL11"/>
  <c r="BJ11"/>
  <c r="BH11"/>
  <c r="BG11"/>
  <c r="BD11"/>
  <c r="BC11"/>
  <c r="BB11"/>
  <c r="BA11"/>
  <c r="AY11"/>
  <c r="AX11"/>
  <c r="BI13"/>
  <c r="BM10"/>
  <c r="BL10"/>
  <c r="BK10"/>
  <c r="BJ10"/>
  <c r="BH10"/>
  <c r="BG10"/>
  <c r="L5" i="158"/>
  <c r="M5"/>
  <c r="N5"/>
  <c r="O5"/>
  <c r="S5"/>
  <c r="T5"/>
  <c r="U5"/>
  <c r="L6"/>
  <c r="M6"/>
  <c r="N6"/>
  <c r="O6"/>
  <c r="S6"/>
  <c r="T6"/>
  <c r="U6"/>
  <c r="L7"/>
  <c r="N7"/>
  <c r="S7"/>
  <c r="T7"/>
  <c r="U7"/>
  <c r="L8"/>
  <c r="M8"/>
  <c r="N8"/>
  <c r="O8"/>
  <c r="S8"/>
  <c r="T8"/>
  <c r="U8"/>
  <c r="L9"/>
  <c r="N9"/>
  <c r="S9"/>
  <c r="T9"/>
  <c r="U9"/>
  <c r="L10"/>
  <c r="N10"/>
  <c r="S10"/>
  <c r="T10"/>
  <c r="U10"/>
  <c r="L11"/>
  <c r="N11"/>
  <c r="S11"/>
  <c r="T11"/>
  <c r="U11"/>
  <c r="L12"/>
  <c r="M12"/>
  <c r="N12"/>
  <c r="O12"/>
  <c r="S12"/>
  <c r="T12"/>
  <c r="L13"/>
  <c r="N13"/>
  <c r="S13"/>
  <c r="T13"/>
  <c r="AC13" s="1"/>
  <c r="U13"/>
  <c r="L14"/>
  <c r="N14"/>
  <c r="S14"/>
  <c r="T14"/>
  <c r="U14"/>
  <c r="L15"/>
  <c r="N15"/>
  <c r="S15"/>
  <c r="T15"/>
  <c r="L16"/>
  <c r="N16"/>
  <c r="S16"/>
  <c r="T16"/>
  <c r="AC16" s="1"/>
  <c r="L17"/>
  <c r="N17"/>
  <c r="S17"/>
  <c r="T17"/>
  <c r="AC17" s="1"/>
  <c r="L18"/>
  <c r="M18"/>
  <c r="N18"/>
  <c r="O18"/>
  <c r="P18"/>
  <c r="Q18"/>
  <c r="R18"/>
  <c r="S18"/>
  <c r="T18"/>
  <c r="U18"/>
  <c r="L19"/>
  <c r="M19"/>
  <c r="N19"/>
  <c r="O19"/>
  <c r="P19"/>
  <c r="Q19"/>
  <c r="R19"/>
  <c r="S19"/>
  <c r="T19"/>
  <c r="U19"/>
  <c r="L20"/>
  <c r="M20"/>
  <c r="N20"/>
  <c r="O20"/>
  <c r="P20"/>
  <c r="Q20"/>
  <c r="R20"/>
  <c r="S20"/>
  <c r="T20"/>
  <c r="U20"/>
  <c r="L21"/>
  <c r="M21"/>
  <c r="N21"/>
  <c r="O21"/>
  <c r="AI42" s="1"/>
  <c r="P21"/>
  <c r="Q21"/>
  <c r="R21"/>
  <c r="S21"/>
  <c r="T21"/>
  <c r="U21"/>
  <c r="L22"/>
  <c r="M22"/>
  <c r="N22"/>
  <c r="O22"/>
  <c r="P22"/>
  <c r="Q22"/>
  <c r="R22"/>
  <c r="S22"/>
  <c r="T22"/>
  <c r="U22"/>
  <c r="L23"/>
  <c r="M23"/>
  <c r="AG46" s="1"/>
  <c r="N23"/>
  <c r="AH46" s="1"/>
  <c r="O23"/>
  <c r="P23"/>
  <c r="Q23"/>
  <c r="R23"/>
  <c r="S23"/>
  <c r="T23"/>
  <c r="AK46" s="1"/>
  <c r="U23"/>
  <c r="AL46" s="1"/>
  <c r="L24"/>
  <c r="M24"/>
  <c r="N24"/>
  <c r="O24"/>
  <c r="P24"/>
  <c r="Q24"/>
  <c r="R24"/>
  <c r="S24"/>
  <c r="T24"/>
  <c r="U24"/>
  <c r="L25"/>
  <c r="M25"/>
  <c r="N25"/>
  <c r="O25"/>
  <c r="P25"/>
  <c r="Q25"/>
  <c r="R25"/>
  <c r="S25"/>
  <c r="T25"/>
  <c r="U25"/>
  <c r="L26"/>
  <c r="M26"/>
  <c r="N26"/>
  <c r="O26"/>
  <c r="P26"/>
  <c r="Q26"/>
  <c r="R26"/>
  <c r="S26"/>
  <c r="T26"/>
  <c r="U26"/>
  <c r="L27"/>
  <c r="M27"/>
  <c r="N27"/>
  <c r="O27"/>
  <c r="P27"/>
  <c r="Q27"/>
  <c r="R27"/>
  <c r="S27"/>
  <c r="T27"/>
  <c r="U27"/>
  <c r="L29"/>
  <c r="M29"/>
  <c r="N29"/>
  <c r="O29"/>
  <c r="P29"/>
  <c r="Q29"/>
  <c r="R29"/>
  <c r="S29"/>
  <c r="T29"/>
  <c r="U29"/>
  <c r="L30"/>
  <c r="M30"/>
  <c r="N30"/>
  <c r="O30"/>
  <c r="P30"/>
  <c r="Q30"/>
  <c r="R30"/>
  <c r="S30"/>
  <c r="T30"/>
  <c r="U30"/>
  <c r="L31"/>
  <c r="M31"/>
  <c r="N31"/>
  <c r="O31"/>
  <c r="P31"/>
  <c r="Q31"/>
  <c r="R31"/>
  <c r="S31"/>
  <c r="T31"/>
  <c r="U31"/>
  <c r="L32"/>
  <c r="M32"/>
  <c r="N32"/>
  <c r="AH49" s="1"/>
  <c r="O32"/>
  <c r="AI49" s="1"/>
  <c r="P32"/>
  <c r="Q32"/>
  <c r="R32"/>
  <c r="S32"/>
  <c r="T32"/>
  <c r="AK49" s="1"/>
  <c r="U32"/>
  <c r="L33"/>
  <c r="M33"/>
  <c r="N33"/>
  <c r="O33"/>
  <c r="P33"/>
  <c r="Q33"/>
  <c r="R33"/>
  <c r="S33"/>
  <c r="T33"/>
  <c r="U33"/>
  <c r="L34"/>
  <c r="AG8" s="1"/>
  <c r="AG10" s="1"/>
  <c r="M34"/>
  <c r="N34"/>
  <c r="AI8" s="1"/>
  <c r="AI10" s="1"/>
  <c r="O34"/>
  <c r="AI51" s="1"/>
  <c r="P34"/>
  <c r="Q34"/>
  <c r="R34"/>
  <c r="S34"/>
  <c r="T34"/>
  <c r="U34"/>
  <c r="M28"/>
  <c r="Y28" s="1"/>
  <c r="N28"/>
  <c r="O28"/>
  <c r="P28"/>
  <c r="Q28"/>
  <c r="R28"/>
  <c r="S28"/>
  <c r="T28"/>
  <c r="U28"/>
  <c r="L28"/>
  <c r="B5"/>
  <c r="D5"/>
  <c r="E5"/>
  <c r="I5"/>
  <c r="J5"/>
  <c r="K5"/>
  <c r="B6"/>
  <c r="D6"/>
  <c r="E6"/>
  <c r="I6"/>
  <c r="J6"/>
  <c r="K6"/>
  <c r="B7"/>
  <c r="D7"/>
  <c r="I7"/>
  <c r="J7"/>
  <c r="K7"/>
  <c r="B8"/>
  <c r="C8"/>
  <c r="D8"/>
  <c r="E8"/>
  <c r="I8"/>
  <c r="J8"/>
  <c r="K8"/>
  <c r="B9"/>
  <c r="D9"/>
  <c r="I9"/>
  <c r="J9"/>
  <c r="K9"/>
  <c r="B10"/>
  <c r="D10"/>
  <c r="I10"/>
  <c r="J10"/>
  <c r="K10"/>
  <c r="B11"/>
  <c r="D11"/>
  <c r="I11"/>
  <c r="J11"/>
  <c r="K11"/>
  <c r="B12"/>
  <c r="D12"/>
  <c r="E12"/>
  <c r="J12"/>
  <c r="B13"/>
  <c r="D13"/>
  <c r="I13"/>
  <c r="J13"/>
  <c r="K13"/>
  <c r="B14"/>
  <c r="D14"/>
  <c r="I14"/>
  <c r="J14"/>
  <c r="K14"/>
  <c r="B15"/>
  <c r="D15"/>
  <c r="J15"/>
  <c r="B16"/>
  <c r="D16"/>
  <c r="J16"/>
  <c r="B17"/>
  <c r="D17"/>
  <c r="J17"/>
  <c r="B18"/>
  <c r="D18"/>
  <c r="E18"/>
  <c r="I18"/>
  <c r="J18"/>
  <c r="K18"/>
  <c r="B19"/>
  <c r="D19"/>
  <c r="E19"/>
  <c r="I19"/>
  <c r="J19"/>
  <c r="K19"/>
  <c r="B20"/>
  <c r="C20"/>
  <c r="D20"/>
  <c r="E20"/>
  <c r="I20"/>
  <c r="J20"/>
  <c r="K20"/>
  <c r="B21"/>
  <c r="D21"/>
  <c r="E21"/>
  <c r="I21"/>
  <c r="I37" s="1"/>
  <c r="J21"/>
  <c r="K21"/>
  <c r="B22"/>
  <c r="D22"/>
  <c r="E22"/>
  <c r="I22"/>
  <c r="J22"/>
  <c r="K22"/>
  <c r="B23"/>
  <c r="D23"/>
  <c r="E23"/>
  <c r="I23"/>
  <c r="J23"/>
  <c r="K23"/>
  <c r="B24"/>
  <c r="D24"/>
  <c r="E24"/>
  <c r="I24"/>
  <c r="J24"/>
  <c r="K24"/>
  <c r="B25"/>
  <c r="D25"/>
  <c r="E25"/>
  <c r="I25"/>
  <c r="J25"/>
  <c r="K25"/>
  <c r="B26"/>
  <c r="D26"/>
  <c r="E26"/>
  <c r="J26"/>
  <c r="K26"/>
  <c r="B27"/>
  <c r="D27"/>
  <c r="E27"/>
  <c r="J27"/>
  <c r="K27"/>
  <c r="B29"/>
  <c r="AF23" s="1"/>
  <c r="D29"/>
  <c r="AG23" s="1"/>
  <c r="E29"/>
  <c r="F29"/>
  <c r="G29"/>
  <c r="H29"/>
  <c r="I29"/>
  <c r="J29"/>
  <c r="K29"/>
  <c r="B30"/>
  <c r="AF24" s="1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D32"/>
  <c r="E32"/>
  <c r="F32"/>
  <c r="G32"/>
  <c r="H32"/>
  <c r="I32"/>
  <c r="J32"/>
  <c r="K32"/>
  <c r="D28"/>
  <c r="AG22" s="1"/>
  <c r="E28"/>
  <c r="AH22" s="1"/>
  <c r="F28"/>
  <c r="G28"/>
  <c r="H28"/>
  <c r="I28"/>
  <c r="AI22" s="1"/>
  <c r="J28"/>
  <c r="AJ22" s="1"/>
  <c r="K28"/>
  <c r="AK22" s="1"/>
  <c r="B28"/>
  <c r="AF22" s="1"/>
  <c r="L5" i="157"/>
  <c r="M5"/>
  <c r="N5"/>
  <c r="O5"/>
  <c r="S5"/>
  <c r="T5"/>
  <c r="U5"/>
  <c r="L6"/>
  <c r="M6"/>
  <c r="N6"/>
  <c r="O6"/>
  <c r="S6"/>
  <c r="T6"/>
  <c r="U6"/>
  <c r="L7"/>
  <c r="M7"/>
  <c r="N7"/>
  <c r="O7"/>
  <c r="S7"/>
  <c r="T7"/>
  <c r="U7"/>
  <c r="L8"/>
  <c r="M8"/>
  <c r="N8"/>
  <c r="O8"/>
  <c r="S8"/>
  <c r="T8"/>
  <c r="U8"/>
  <c r="L9"/>
  <c r="M9"/>
  <c r="N9"/>
  <c r="O9"/>
  <c r="S9"/>
  <c r="T9"/>
  <c r="U9"/>
  <c r="L10"/>
  <c r="M10"/>
  <c r="N10"/>
  <c r="O10"/>
  <c r="S10"/>
  <c r="T10"/>
  <c r="U10"/>
  <c r="L11"/>
  <c r="M11"/>
  <c r="N11"/>
  <c r="O11"/>
  <c r="S11"/>
  <c r="T11"/>
  <c r="U11"/>
  <c r="L12"/>
  <c r="M12"/>
  <c r="N12"/>
  <c r="O12"/>
  <c r="S12"/>
  <c r="T12"/>
  <c r="U12"/>
  <c r="L13"/>
  <c r="N13"/>
  <c r="O13"/>
  <c r="T13"/>
  <c r="L14"/>
  <c r="N14"/>
  <c r="O14"/>
  <c r="AA14" s="1"/>
  <c r="T14"/>
  <c r="AC15" s="1"/>
  <c r="L15"/>
  <c r="N15"/>
  <c r="T15"/>
  <c r="L16"/>
  <c r="N16"/>
  <c r="O16"/>
  <c r="T16"/>
  <c r="L17"/>
  <c r="X17" s="1"/>
  <c r="N17"/>
  <c r="O17"/>
  <c r="T17"/>
  <c r="L18"/>
  <c r="X18" s="1"/>
  <c r="M18"/>
  <c r="N18"/>
  <c r="O18"/>
  <c r="P18"/>
  <c r="Q18"/>
  <c r="R18"/>
  <c r="S18"/>
  <c r="T18"/>
  <c r="U18"/>
  <c r="L19"/>
  <c r="M19"/>
  <c r="N19"/>
  <c r="O19"/>
  <c r="P19"/>
  <c r="Q19"/>
  <c r="R19"/>
  <c r="S19"/>
  <c r="T19"/>
  <c r="U19"/>
  <c r="L20"/>
  <c r="M20"/>
  <c r="N20"/>
  <c r="O20"/>
  <c r="P20"/>
  <c r="Q20"/>
  <c r="R20"/>
  <c r="S20"/>
  <c r="T20"/>
  <c r="U20"/>
  <c r="L21"/>
  <c r="M21"/>
  <c r="N21"/>
  <c r="AH34" s="1"/>
  <c r="O21"/>
  <c r="P21"/>
  <c r="Q21"/>
  <c r="R21"/>
  <c r="S21"/>
  <c r="T21"/>
  <c r="U21"/>
  <c r="AM9" s="1"/>
  <c r="L22"/>
  <c r="M22"/>
  <c r="N22"/>
  <c r="O22"/>
  <c r="P22"/>
  <c r="Q22"/>
  <c r="R22"/>
  <c r="S22"/>
  <c r="T22"/>
  <c r="U22"/>
  <c r="L23"/>
  <c r="M23"/>
  <c r="N23"/>
  <c r="O23"/>
  <c r="P23"/>
  <c r="Q23"/>
  <c r="R23"/>
  <c r="S23"/>
  <c r="T23"/>
  <c r="U23"/>
  <c r="L24"/>
  <c r="M24"/>
  <c r="N24"/>
  <c r="O24"/>
  <c r="P24"/>
  <c r="Q24"/>
  <c r="R24"/>
  <c r="S24"/>
  <c r="T24"/>
  <c r="U24"/>
  <c r="L25"/>
  <c r="AF47" s="1"/>
  <c r="M25"/>
  <c r="AG47" s="1"/>
  <c r="N25"/>
  <c r="AH47" s="1"/>
  <c r="O25"/>
  <c r="AI47" s="1"/>
  <c r="P25"/>
  <c r="Q25"/>
  <c r="R25"/>
  <c r="S25"/>
  <c r="T25"/>
  <c r="U25"/>
  <c r="AL47" s="1"/>
  <c r="L26"/>
  <c r="M26"/>
  <c r="N26"/>
  <c r="O26"/>
  <c r="P26"/>
  <c r="Q26"/>
  <c r="R26"/>
  <c r="S26"/>
  <c r="T26"/>
  <c r="U26"/>
  <c r="L27"/>
  <c r="M27"/>
  <c r="N27"/>
  <c r="O27"/>
  <c r="P27"/>
  <c r="Q27"/>
  <c r="R27"/>
  <c r="S27"/>
  <c r="T27"/>
  <c r="U27"/>
  <c r="L29"/>
  <c r="M29"/>
  <c r="N29"/>
  <c r="O29"/>
  <c r="P29"/>
  <c r="Q29"/>
  <c r="R29"/>
  <c r="S29"/>
  <c r="T29"/>
  <c r="U29"/>
  <c r="L30"/>
  <c r="M30"/>
  <c r="N30"/>
  <c r="O30"/>
  <c r="P30"/>
  <c r="Q30"/>
  <c r="R30"/>
  <c r="S30"/>
  <c r="T30"/>
  <c r="U30"/>
  <c r="L31"/>
  <c r="M31"/>
  <c r="N31"/>
  <c r="O31"/>
  <c r="P31"/>
  <c r="Q31"/>
  <c r="R31"/>
  <c r="S31"/>
  <c r="T31"/>
  <c r="U31"/>
  <c r="L32"/>
  <c r="M32"/>
  <c r="AG48" s="1"/>
  <c r="N32"/>
  <c r="AH48" s="1"/>
  <c r="O32"/>
  <c r="P32"/>
  <c r="Q32"/>
  <c r="R32"/>
  <c r="S32"/>
  <c r="T32"/>
  <c r="AK48" s="1"/>
  <c r="U32"/>
  <c r="L33"/>
  <c r="M33"/>
  <c r="N33"/>
  <c r="O33"/>
  <c r="P33"/>
  <c r="Q33"/>
  <c r="R33"/>
  <c r="S33"/>
  <c r="T33"/>
  <c r="U33"/>
  <c r="L34"/>
  <c r="AG8" s="1"/>
  <c r="AG10" s="1"/>
  <c r="M34"/>
  <c r="AG50" s="1"/>
  <c r="N34"/>
  <c r="AH50" s="1"/>
  <c r="O34"/>
  <c r="AI50" s="1"/>
  <c r="P34"/>
  <c r="Q34"/>
  <c r="R34"/>
  <c r="S34"/>
  <c r="AJ50" s="1"/>
  <c r="T34"/>
  <c r="U34"/>
  <c r="M28"/>
  <c r="N28"/>
  <c r="O28"/>
  <c r="P28"/>
  <c r="Q28"/>
  <c r="R28"/>
  <c r="S28"/>
  <c r="T28"/>
  <c r="U28"/>
  <c r="L28"/>
  <c r="K32"/>
  <c r="J32"/>
  <c r="I32"/>
  <c r="H32"/>
  <c r="G32"/>
  <c r="F32"/>
  <c r="E32"/>
  <c r="D32"/>
  <c r="B32"/>
  <c r="K31"/>
  <c r="J31"/>
  <c r="AJ25" s="1"/>
  <c r="I31"/>
  <c r="H31"/>
  <c r="G31"/>
  <c r="F31"/>
  <c r="E31"/>
  <c r="D31"/>
  <c r="B31"/>
  <c r="K30"/>
  <c r="J30"/>
  <c r="I30"/>
  <c r="H30"/>
  <c r="G30"/>
  <c r="F30"/>
  <c r="E30"/>
  <c r="D30"/>
  <c r="B30"/>
  <c r="K29"/>
  <c r="J29"/>
  <c r="I29"/>
  <c r="AI23" s="1"/>
  <c r="H29"/>
  <c r="G29"/>
  <c r="F29"/>
  <c r="E29"/>
  <c r="AH23" s="1"/>
  <c r="D29"/>
  <c r="B29"/>
  <c r="K28"/>
  <c r="J28"/>
  <c r="AJ22" s="1"/>
  <c r="I28"/>
  <c r="H28"/>
  <c r="G28"/>
  <c r="F28"/>
  <c r="E28"/>
  <c r="D28"/>
  <c r="AG22" s="1"/>
  <c r="B28"/>
  <c r="K27"/>
  <c r="J27"/>
  <c r="I27"/>
  <c r="E27"/>
  <c r="D27"/>
  <c r="B27"/>
  <c r="K26"/>
  <c r="J26"/>
  <c r="I26"/>
  <c r="E26"/>
  <c r="D26"/>
  <c r="B26"/>
  <c r="K25"/>
  <c r="J25"/>
  <c r="I25"/>
  <c r="E25"/>
  <c r="D25"/>
  <c r="B25"/>
  <c r="K24"/>
  <c r="J24"/>
  <c r="I24"/>
  <c r="E24"/>
  <c r="D24"/>
  <c r="B24"/>
  <c r="K23"/>
  <c r="J23"/>
  <c r="I23"/>
  <c r="E23"/>
  <c r="D23"/>
  <c r="B23"/>
  <c r="K22"/>
  <c r="J22"/>
  <c r="I22"/>
  <c r="E22"/>
  <c r="D22"/>
  <c r="B22"/>
  <c r="K21"/>
  <c r="J21"/>
  <c r="I21"/>
  <c r="E21"/>
  <c r="D21"/>
  <c r="B21"/>
  <c r="K20"/>
  <c r="J20"/>
  <c r="I20"/>
  <c r="E20"/>
  <c r="D20"/>
  <c r="B20"/>
  <c r="K19"/>
  <c r="J19"/>
  <c r="I19"/>
  <c r="E19"/>
  <c r="D19"/>
  <c r="B19"/>
  <c r="K18"/>
  <c r="J18"/>
  <c r="I18"/>
  <c r="E18"/>
  <c r="D18"/>
  <c r="B18"/>
  <c r="J17"/>
  <c r="E17"/>
  <c r="D17"/>
  <c r="B17"/>
  <c r="J16"/>
  <c r="E16"/>
  <c r="D16"/>
  <c r="B16"/>
  <c r="J15"/>
  <c r="D15"/>
  <c r="B15"/>
  <c r="J14"/>
  <c r="E14"/>
  <c r="D14"/>
  <c r="B14"/>
  <c r="J13"/>
  <c r="E13"/>
  <c r="D13"/>
  <c r="B13"/>
  <c r="K12"/>
  <c r="J12"/>
  <c r="I12"/>
  <c r="E12"/>
  <c r="D12"/>
  <c r="B12"/>
  <c r="K11"/>
  <c r="J11"/>
  <c r="I11"/>
  <c r="E11"/>
  <c r="D11"/>
  <c r="B11"/>
  <c r="K10"/>
  <c r="J10"/>
  <c r="I10"/>
  <c r="E10"/>
  <c r="D10"/>
  <c r="B10"/>
  <c r="K9"/>
  <c r="J9"/>
  <c r="I9"/>
  <c r="E9"/>
  <c r="D9"/>
  <c r="B9"/>
  <c r="K8"/>
  <c r="J8"/>
  <c r="I8"/>
  <c r="E8"/>
  <c r="D8"/>
  <c r="B8"/>
  <c r="K7"/>
  <c r="J7"/>
  <c r="I7"/>
  <c r="E7"/>
  <c r="D7"/>
  <c r="B7"/>
  <c r="K6"/>
  <c r="J6"/>
  <c r="I6"/>
  <c r="E6"/>
  <c r="D6"/>
  <c r="B6"/>
  <c r="K5"/>
  <c r="J5"/>
  <c r="I5"/>
  <c r="E5"/>
  <c r="D5"/>
  <c r="B5"/>
  <c r="AF44" i="158"/>
  <c r="AF38"/>
  <c r="AJ25"/>
  <c r="AB17"/>
  <c r="AH44" i="157"/>
  <c r="D37" i="2"/>
  <c r="E37"/>
  <c r="I37"/>
  <c r="J37"/>
  <c r="K37"/>
  <c r="L39"/>
  <c r="M39"/>
  <c r="N39"/>
  <c r="O39"/>
  <c r="P39"/>
  <c r="Q39"/>
  <c r="R39"/>
  <c r="S39"/>
  <c r="T39"/>
  <c r="U39"/>
  <c r="B11" i="153"/>
  <c r="B12"/>
  <c r="B17"/>
  <c r="B18"/>
  <c r="B19"/>
  <c r="B20"/>
  <c r="B21"/>
  <c r="B22"/>
  <c r="B23"/>
  <c r="B11" i="152"/>
  <c r="B12"/>
  <c r="B17"/>
  <c r="B18"/>
  <c r="B19"/>
  <c r="B20"/>
  <c r="B21"/>
  <c r="B22"/>
  <c r="B23"/>
  <c r="AK37" i="153"/>
  <c r="AJ37"/>
  <c r="AH37"/>
  <c r="AG37"/>
  <c r="AF37"/>
  <c r="AE37"/>
  <c r="AK36"/>
  <c r="AJ36"/>
  <c r="AH36"/>
  <c r="AG36"/>
  <c r="AF36"/>
  <c r="AE36"/>
  <c r="AK35"/>
  <c r="AJ35"/>
  <c r="AH35"/>
  <c r="AG35"/>
  <c r="AF35"/>
  <c r="AE35"/>
  <c r="AK28"/>
  <c r="AJ28"/>
  <c r="AH28"/>
  <c r="AG28"/>
  <c r="AF28"/>
  <c r="AE28"/>
  <c r="AK27"/>
  <c r="AJ27"/>
  <c r="AH27"/>
  <c r="AG27"/>
  <c r="AF27"/>
  <c r="AE27"/>
  <c r="AK26"/>
  <c r="AJ26"/>
  <c r="AH26"/>
  <c r="AF26"/>
  <c r="AE26"/>
  <c r="C26"/>
  <c r="AK23"/>
  <c r="AJ23"/>
  <c r="AH23"/>
  <c r="AG23"/>
  <c r="AF23"/>
  <c r="AE23"/>
  <c r="AG22"/>
  <c r="AK22"/>
  <c r="AJ22"/>
  <c r="AH22"/>
  <c r="AF22"/>
  <c r="AE22"/>
  <c r="AI22"/>
  <c r="AG21"/>
  <c r="AK21"/>
  <c r="AJ21"/>
  <c r="AH21"/>
  <c r="AF21"/>
  <c r="AE21"/>
  <c r="AP11"/>
  <c r="AK20"/>
  <c r="AJ20"/>
  <c r="AH20"/>
  <c r="AF20"/>
  <c r="AE20"/>
  <c r="AK19"/>
  <c r="AJ19"/>
  <c r="AH19"/>
  <c r="AG19"/>
  <c r="AF19"/>
  <c r="AE19"/>
  <c r="AI19"/>
  <c r="AG18"/>
  <c r="AK18"/>
  <c r="AJ18"/>
  <c r="AH18"/>
  <c r="AF18"/>
  <c r="AE18"/>
  <c r="AI18"/>
  <c r="AG17"/>
  <c r="AK17"/>
  <c r="AJ17"/>
  <c r="AH17"/>
  <c r="AF17"/>
  <c r="AE17"/>
  <c r="AG16"/>
  <c r="AK16"/>
  <c r="AJ16"/>
  <c r="AH16"/>
  <c r="AF16"/>
  <c r="AE16"/>
  <c r="AK15"/>
  <c r="AJ15"/>
  <c r="AH15"/>
  <c r="AG15"/>
  <c r="AF15"/>
  <c r="AE15"/>
  <c r="AK14"/>
  <c r="AJ14"/>
  <c r="AH14"/>
  <c r="AG14"/>
  <c r="AF14"/>
  <c r="AE14"/>
  <c r="AK13"/>
  <c r="AJ13"/>
  <c r="AH13"/>
  <c r="AG13"/>
  <c r="AF13"/>
  <c r="AE13"/>
  <c r="AI36"/>
  <c r="AT12"/>
  <c r="AS12"/>
  <c r="AR12"/>
  <c r="AQ12"/>
  <c r="AO12"/>
  <c r="AN12"/>
  <c r="AK12"/>
  <c r="AJ12"/>
  <c r="AH12"/>
  <c r="AG12"/>
  <c r="AF12"/>
  <c r="AE12"/>
  <c r="AG26"/>
  <c r="AT11"/>
  <c r="AS11"/>
  <c r="AQ11"/>
  <c r="AO11"/>
  <c r="AN11"/>
  <c r="AK11"/>
  <c r="AJ11"/>
  <c r="AH11"/>
  <c r="AF11"/>
  <c r="AE11"/>
  <c r="AG11"/>
  <c r="AT10"/>
  <c r="AS10"/>
  <c r="AQ10"/>
  <c r="AO10"/>
  <c r="AN10"/>
  <c r="AK10"/>
  <c r="AJ10"/>
  <c r="AH10"/>
  <c r="AF10"/>
  <c r="AE10"/>
  <c r="AP12"/>
  <c r="AT9"/>
  <c r="AS9"/>
  <c r="AR9"/>
  <c r="AQ9"/>
  <c r="AO9"/>
  <c r="AN9"/>
  <c r="AK37" i="152"/>
  <c r="AJ37"/>
  <c r="AI37"/>
  <c r="AH37"/>
  <c r="AG37"/>
  <c r="AF37"/>
  <c r="AE37"/>
  <c r="AK36"/>
  <c r="AJ36"/>
  <c r="AI36"/>
  <c r="AH36"/>
  <c r="AG36"/>
  <c r="AF36"/>
  <c r="AE36"/>
  <c r="AK35"/>
  <c r="AJ35"/>
  <c r="AI35"/>
  <c r="AH35"/>
  <c r="AG35"/>
  <c r="AF35"/>
  <c r="AE35"/>
  <c r="AK34"/>
  <c r="AJ34"/>
  <c r="AH34"/>
  <c r="AF34"/>
  <c r="AE34"/>
  <c r="AK28"/>
  <c r="AJ28"/>
  <c r="AI28"/>
  <c r="AH28"/>
  <c r="AG28"/>
  <c r="AF28"/>
  <c r="AE28"/>
  <c r="AK27"/>
  <c r="AJ27"/>
  <c r="AI27"/>
  <c r="AH27"/>
  <c r="AG27"/>
  <c r="AF27"/>
  <c r="AE27"/>
  <c r="AK26"/>
  <c r="AJ26"/>
  <c r="AI26"/>
  <c r="AH26"/>
  <c r="AF26"/>
  <c r="AE26"/>
  <c r="C26"/>
  <c r="AK23"/>
  <c r="AJ23"/>
  <c r="AH23"/>
  <c r="AF23"/>
  <c r="AE23"/>
  <c r="AG23"/>
  <c r="AK22"/>
  <c r="AJ22"/>
  <c r="AH22"/>
  <c r="AF22"/>
  <c r="AE22"/>
  <c r="AG21"/>
  <c r="AK21"/>
  <c r="AJ21"/>
  <c r="AH21"/>
  <c r="AF21"/>
  <c r="AE21"/>
  <c r="AI34"/>
  <c r="AG34"/>
  <c r="AK20"/>
  <c r="AJ20"/>
  <c r="AH20"/>
  <c r="AG20"/>
  <c r="AF20"/>
  <c r="AE20"/>
  <c r="AI20"/>
  <c r="AG19"/>
  <c r="AK19"/>
  <c r="AJ19"/>
  <c r="AH19"/>
  <c r="AF19"/>
  <c r="AE19"/>
  <c r="AI19"/>
  <c r="AG18"/>
  <c r="AK18"/>
  <c r="AJ18"/>
  <c r="AH18"/>
  <c r="AF18"/>
  <c r="AE18"/>
  <c r="AG17"/>
  <c r="AK17"/>
  <c r="AJ17"/>
  <c r="AH17"/>
  <c r="AF17"/>
  <c r="AE17"/>
  <c r="AI16"/>
  <c r="AK16"/>
  <c r="AJ16"/>
  <c r="AH16"/>
  <c r="AG16"/>
  <c r="AF16"/>
  <c r="AE16"/>
  <c r="AK15"/>
  <c r="AJ15"/>
  <c r="AI15"/>
  <c r="AH15"/>
  <c r="AG15"/>
  <c r="AF15"/>
  <c r="AE15"/>
  <c r="AK14"/>
  <c r="AJ14"/>
  <c r="AI14"/>
  <c r="AH14"/>
  <c r="AG14"/>
  <c r="AF14"/>
  <c r="AE14"/>
  <c r="AK13"/>
  <c r="AJ13"/>
  <c r="AI13"/>
  <c r="AH13"/>
  <c r="AG13"/>
  <c r="AF13"/>
  <c r="AE13"/>
  <c r="AT12"/>
  <c r="AS12"/>
  <c r="AR12"/>
  <c r="AQ12"/>
  <c r="AP12"/>
  <c r="AO12"/>
  <c r="AN12"/>
  <c r="AK12"/>
  <c r="AJ12"/>
  <c r="AI12"/>
  <c r="AH12"/>
  <c r="AF12"/>
  <c r="AE12"/>
  <c r="AT11"/>
  <c r="AS11"/>
  <c r="AR11"/>
  <c r="AQ11"/>
  <c r="AP11"/>
  <c r="AO11"/>
  <c r="AN11"/>
  <c r="AK11"/>
  <c r="AJ11"/>
  <c r="AI11"/>
  <c r="AH11"/>
  <c r="AG11"/>
  <c r="AF11"/>
  <c r="AE11"/>
  <c r="AT10"/>
  <c r="AS10"/>
  <c r="AR10"/>
  <c r="AQ10"/>
  <c r="AP10"/>
  <c r="AO10"/>
  <c r="AN10"/>
  <c r="AK10"/>
  <c r="AJ10"/>
  <c r="AI10"/>
  <c r="AH10"/>
  <c r="AF10"/>
  <c r="AE10"/>
  <c r="AG10"/>
  <c r="AT9"/>
  <c r="AS9"/>
  <c r="AR9"/>
  <c r="AQ9"/>
  <c r="AP9"/>
  <c r="AO9"/>
  <c r="AN9"/>
  <c r="AJ12" i="149"/>
  <c r="C27" i="147"/>
  <c r="AJ20" i="149"/>
  <c r="AJ22"/>
  <c r="E24"/>
  <c r="F30"/>
  <c r="E23"/>
  <c r="E22"/>
  <c r="E21"/>
  <c r="E20"/>
  <c r="E19"/>
  <c r="E18"/>
  <c r="E13"/>
  <c r="AH27"/>
  <c r="E12"/>
  <c r="E11"/>
  <c r="AQ13"/>
  <c r="E10"/>
  <c r="E9"/>
  <c r="E8"/>
  <c r="E7"/>
  <c r="E6"/>
  <c r="E5"/>
  <c r="E4"/>
  <c r="AL43"/>
  <c r="AK43"/>
  <c r="AI43"/>
  <c r="AH43"/>
  <c r="AG43"/>
  <c r="AF43"/>
  <c r="AL42"/>
  <c r="AK42"/>
  <c r="AI42"/>
  <c r="AH42"/>
  <c r="AG42"/>
  <c r="AF42"/>
  <c r="AL41"/>
  <c r="AK41"/>
  <c r="AI41"/>
  <c r="AH41"/>
  <c r="AG41"/>
  <c r="AF41"/>
  <c r="AL31"/>
  <c r="AK31"/>
  <c r="AI31"/>
  <c r="AH31"/>
  <c r="AG31"/>
  <c r="AF31"/>
  <c r="AL28"/>
  <c r="AK28"/>
  <c r="AI28"/>
  <c r="AH28"/>
  <c r="AG28"/>
  <c r="AF28"/>
  <c r="AL27"/>
  <c r="AK27"/>
  <c r="AI27"/>
  <c r="AG27"/>
  <c r="AF27"/>
  <c r="C27"/>
  <c r="B27"/>
  <c r="AL24"/>
  <c r="AK24"/>
  <c r="AI24"/>
  <c r="AG24"/>
  <c r="AF24"/>
  <c r="AL23"/>
  <c r="AK23"/>
  <c r="AI23"/>
  <c r="AG23"/>
  <c r="AF23"/>
  <c r="AL22"/>
  <c r="AK22"/>
  <c r="AI22"/>
  <c r="AG22"/>
  <c r="AF22"/>
  <c r="AL21"/>
  <c r="AK21"/>
  <c r="AI21"/>
  <c r="AG21"/>
  <c r="AF21"/>
  <c r="AL20"/>
  <c r="AK20"/>
  <c r="AI20"/>
  <c r="AG20"/>
  <c r="AF20"/>
  <c r="AL19"/>
  <c r="AK19"/>
  <c r="AI19"/>
  <c r="AG19"/>
  <c r="AF19"/>
  <c r="AL18"/>
  <c r="AK18"/>
  <c r="AI18"/>
  <c r="AG18"/>
  <c r="AF18"/>
  <c r="AL17"/>
  <c r="AK17"/>
  <c r="AI17"/>
  <c r="AG17"/>
  <c r="AF17"/>
  <c r="AL16"/>
  <c r="AK16"/>
  <c r="AI16"/>
  <c r="AH16"/>
  <c r="AG16"/>
  <c r="AF16"/>
  <c r="AL15"/>
  <c r="AK15"/>
  <c r="AJ15"/>
  <c r="AI15"/>
  <c r="AH15"/>
  <c r="AG15"/>
  <c r="AF15"/>
  <c r="AL14"/>
  <c r="AK14"/>
  <c r="AI14"/>
  <c r="AH14"/>
  <c r="AG14"/>
  <c r="AF14"/>
  <c r="AU13"/>
  <c r="AT13"/>
  <c r="AS13"/>
  <c r="AR13"/>
  <c r="AP13"/>
  <c r="AO13"/>
  <c r="AL13"/>
  <c r="AK13"/>
  <c r="AI13"/>
  <c r="AG13"/>
  <c r="AF13"/>
  <c r="AU12"/>
  <c r="AT12"/>
  <c r="AS12"/>
  <c r="AR12"/>
  <c r="AP12"/>
  <c r="AO12"/>
  <c r="AL12"/>
  <c r="AK12"/>
  <c r="AI12"/>
  <c r="AG12"/>
  <c r="AF12"/>
  <c r="AU11"/>
  <c r="AT11"/>
  <c r="AR11"/>
  <c r="AP11"/>
  <c r="AO11"/>
  <c r="AL11"/>
  <c r="AK11"/>
  <c r="AJ11"/>
  <c r="AI11"/>
  <c r="AG11"/>
  <c r="AF11"/>
  <c r="AU10"/>
  <c r="AT10"/>
  <c r="AR10"/>
  <c r="AP10"/>
  <c r="AO10"/>
  <c r="AS12" i="147"/>
  <c r="AJ24"/>
  <c r="B27"/>
  <c r="AH41"/>
  <c r="AH42"/>
  <c r="F30"/>
  <c r="E5"/>
  <c r="E6"/>
  <c r="E7"/>
  <c r="E8"/>
  <c r="E9"/>
  <c r="E10"/>
  <c r="E11"/>
  <c r="E12"/>
  <c r="E13"/>
  <c r="E18"/>
  <c r="E19"/>
  <c r="E20"/>
  <c r="E21"/>
  <c r="E22"/>
  <c r="E23"/>
  <c r="E24"/>
  <c r="E4"/>
  <c r="AK42"/>
  <c r="AI41"/>
  <c r="AK24"/>
  <c r="AG24"/>
  <c r="AL24"/>
  <c r="AL23"/>
  <c r="AK23"/>
  <c r="AI22"/>
  <c r="AL22"/>
  <c r="AK40"/>
  <c r="AG40"/>
  <c r="AF21"/>
  <c r="AG20"/>
  <c r="AI20"/>
  <c r="AK20"/>
  <c r="AI19"/>
  <c r="AF19"/>
  <c r="AL18"/>
  <c r="AK18"/>
  <c r="AG19"/>
  <c r="AI18"/>
  <c r="AG18"/>
  <c r="AI17"/>
  <c r="AF17"/>
  <c r="AL16"/>
  <c r="AI16"/>
  <c r="AL31"/>
  <c r="AK14"/>
  <c r="AI31"/>
  <c r="AG31"/>
  <c r="AI14"/>
  <c r="AG14"/>
  <c r="AK28"/>
  <c r="AJ43"/>
  <c r="AI28"/>
  <c r="AG28"/>
  <c r="AO11"/>
  <c r="AL13"/>
  <c r="AK13"/>
  <c r="AG13"/>
  <c r="AL12"/>
  <c r="AJ12"/>
  <c r="AF12"/>
  <c r="AT11"/>
  <c r="AP11"/>
  <c r="AU13"/>
  <c r="AT10"/>
  <c r="AS13"/>
  <c r="AI11"/>
  <c r="AP10"/>
  <c r="AU10"/>
  <c r="B17" i="145"/>
  <c r="C17"/>
  <c r="D17"/>
  <c r="E17"/>
  <c r="I17"/>
  <c r="J17"/>
  <c r="K17"/>
  <c r="B18"/>
  <c r="C18"/>
  <c r="D18"/>
  <c r="E18"/>
  <c r="I18"/>
  <c r="J18"/>
  <c r="K18"/>
  <c r="B19"/>
  <c r="C19"/>
  <c r="D19"/>
  <c r="E19"/>
  <c r="I19"/>
  <c r="J19"/>
  <c r="K19"/>
  <c r="B20"/>
  <c r="C20"/>
  <c r="O37" s="1"/>
  <c r="D20"/>
  <c r="E20"/>
  <c r="I20"/>
  <c r="J20"/>
  <c r="K20"/>
  <c r="T37" s="1"/>
  <c r="B21"/>
  <c r="C21"/>
  <c r="D21"/>
  <c r="E21"/>
  <c r="I21"/>
  <c r="J21"/>
  <c r="K21"/>
  <c r="B22"/>
  <c r="C22"/>
  <c r="D22"/>
  <c r="E22"/>
  <c r="I22"/>
  <c r="J22"/>
  <c r="K22"/>
  <c r="B23"/>
  <c r="C23"/>
  <c r="D23"/>
  <c r="E23"/>
  <c r="I23"/>
  <c r="J23"/>
  <c r="K23"/>
  <c r="B24"/>
  <c r="D24"/>
  <c r="E24"/>
  <c r="I24"/>
  <c r="J24"/>
  <c r="K24"/>
  <c r="B25"/>
  <c r="C25"/>
  <c r="D25"/>
  <c r="E25"/>
  <c r="I25"/>
  <c r="J25"/>
  <c r="K25"/>
  <c r="B26"/>
  <c r="C26"/>
  <c r="D26"/>
  <c r="E26"/>
  <c r="I26"/>
  <c r="J26"/>
  <c r="K26"/>
  <c r="B28"/>
  <c r="C28"/>
  <c r="D28"/>
  <c r="E28"/>
  <c r="F28"/>
  <c r="G28"/>
  <c r="H28"/>
  <c r="I28"/>
  <c r="J28"/>
  <c r="K28"/>
  <c r="AC17" s="1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D39" s="1"/>
  <c r="E33"/>
  <c r="E39" s="1"/>
  <c r="F33"/>
  <c r="G33"/>
  <c r="H33"/>
  <c r="I33"/>
  <c r="J33"/>
  <c r="K33"/>
  <c r="K39" s="1"/>
  <c r="C27"/>
  <c r="C37" s="1"/>
  <c r="D27"/>
  <c r="D37" s="1"/>
  <c r="E27"/>
  <c r="E37" s="1"/>
  <c r="F27"/>
  <c r="G27"/>
  <c r="H27"/>
  <c r="I27"/>
  <c r="J27"/>
  <c r="K27"/>
  <c r="K37" s="1"/>
  <c r="B27"/>
  <c r="B17" i="143"/>
  <c r="D17"/>
  <c r="E17"/>
  <c r="B18"/>
  <c r="N17" s="1"/>
  <c r="C18"/>
  <c r="D18"/>
  <c r="E18"/>
  <c r="I18"/>
  <c r="R17" s="1"/>
  <c r="J18"/>
  <c r="K18"/>
  <c r="B19"/>
  <c r="C19"/>
  <c r="D19"/>
  <c r="E19"/>
  <c r="I19"/>
  <c r="J19"/>
  <c r="K19"/>
  <c r="B20"/>
  <c r="C20"/>
  <c r="D20"/>
  <c r="E20"/>
  <c r="I20"/>
  <c r="J20"/>
  <c r="S37" s="1"/>
  <c r="K20"/>
  <c r="B21"/>
  <c r="C21"/>
  <c r="D21"/>
  <c r="E21"/>
  <c r="I21"/>
  <c r="J21"/>
  <c r="K21"/>
  <c r="B22"/>
  <c r="N21" s="1"/>
  <c r="C22"/>
  <c r="D22"/>
  <c r="E22"/>
  <c r="I22"/>
  <c r="R21" s="1"/>
  <c r="J22"/>
  <c r="K22"/>
  <c r="B23"/>
  <c r="C23"/>
  <c r="O22" s="1"/>
  <c r="D23"/>
  <c r="E23"/>
  <c r="I23"/>
  <c r="J23"/>
  <c r="K23"/>
  <c r="B24"/>
  <c r="D24"/>
  <c r="E24"/>
  <c r="I24"/>
  <c r="J24"/>
  <c r="K24"/>
  <c r="B25"/>
  <c r="C25"/>
  <c r="D25"/>
  <c r="E25"/>
  <c r="Q24" s="1"/>
  <c r="I25"/>
  <c r="J25"/>
  <c r="K25"/>
  <c r="B26"/>
  <c r="C26"/>
  <c r="D26"/>
  <c r="E26"/>
  <c r="I26"/>
  <c r="R25" s="1"/>
  <c r="J26"/>
  <c r="K26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D39" s="1"/>
  <c r="E33"/>
  <c r="F33"/>
  <c r="G33"/>
  <c r="H33"/>
  <c r="I33"/>
  <c r="J33"/>
  <c r="K33"/>
  <c r="K39" s="1"/>
  <c r="C27"/>
  <c r="D27"/>
  <c r="D37" s="1"/>
  <c r="E27"/>
  <c r="E37" s="1"/>
  <c r="F27"/>
  <c r="G27"/>
  <c r="H27"/>
  <c r="I27"/>
  <c r="J27"/>
  <c r="K27"/>
  <c r="K37" s="1"/>
  <c r="B27"/>
  <c r="B17" i="142"/>
  <c r="C17"/>
  <c r="D17"/>
  <c r="E17"/>
  <c r="I17"/>
  <c r="J17"/>
  <c r="K17"/>
  <c r="B18"/>
  <c r="C18"/>
  <c r="D18"/>
  <c r="E18"/>
  <c r="I18"/>
  <c r="J18"/>
  <c r="K18"/>
  <c r="B19"/>
  <c r="C19"/>
  <c r="D19"/>
  <c r="E19"/>
  <c r="I19"/>
  <c r="J19"/>
  <c r="S18" s="1"/>
  <c r="K19"/>
  <c r="B20"/>
  <c r="C20"/>
  <c r="D20"/>
  <c r="E20"/>
  <c r="Q37" s="1"/>
  <c r="I20"/>
  <c r="J20"/>
  <c r="K20"/>
  <c r="T37" s="1"/>
  <c r="B21"/>
  <c r="C21"/>
  <c r="D21"/>
  <c r="E21"/>
  <c r="I21"/>
  <c r="J21"/>
  <c r="K21"/>
  <c r="B22"/>
  <c r="C22"/>
  <c r="D22"/>
  <c r="E22"/>
  <c r="I22"/>
  <c r="J22"/>
  <c r="K22"/>
  <c r="B23"/>
  <c r="C23"/>
  <c r="D23"/>
  <c r="E23"/>
  <c r="I23"/>
  <c r="J23"/>
  <c r="K23"/>
  <c r="B24"/>
  <c r="D24"/>
  <c r="E24"/>
  <c r="I24"/>
  <c r="J24"/>
  <c r="K24"/>
  <c r="B25"/>
  <c r="C25"/>
  <c r="D25"/>
  <c r="E25"/>
  <c r="I25"/>
  <c r="J25"/>
  <c r="K25"/>
  <c r="B26"/>
  <c r="C26"/>
  <c r="D26"/>
  <c r="E26"/>
  <c r="I26"/>
  <c r="J26"/>
  <c r="K26"/>
  <c r="B27"/>
  <c r="C27"/>
  <c r="D27"/>
  <c r="E27"/>
  <c r="E37" s="1"/>
  <c r="F27"/>
  <c r="G27"/>
  <c r="H27"/>
  <c r="I27"/>
  <c r="I37" s="1"/>
  <c r="J27"/>
  <c r="J37" s="1"/>
  <c r="K27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Q43" s="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C39" s="1"/>
  <c r="D33"/>
  <c r="E33"/>
  <c r="E39" s="1"/>
  <c r="F33"/>
  <c r="F38" s="1"/>
  <c r="G33"/>
  <c r="G38" s="1"/>
  <c r="H33"/>
  <c r="H38" s="1"/>
  <c r="I33"/>
  <c r="I39" s="1"/>
  <c r="J33"/>
  <c r="K33"/>
  <c r="B17" i="141"/>
  <c r="D37"/>
  <c r="E37"/>
  <c r="F37"/>
  <c r="G37"/>
  <c r="H37"/>
  <c r="J37"/>
  <c r="S42"/>
  <c r="D39"/>
  <c r="J39"/>
  <c r="AC6" i="139"/>
  <c r="Q22"/>
  <c r="T22"/>
  <c r="U22"/>
  <c r="V22"/>
  <c r="W22"/>
  <c r="X22"/>
  <c r="Y22"/>
  <c r="Z22"/>
  <c r="AD22"/>
  <c r="AG22"/>
  <c r="AH22"/>
  <c r="AI22"/>
  <c r="AJ22"/>
  <c r="AK22"/>
  <c r="AL22"/>
  <c r="AM22"/>
  <c r="Y23"/>
  <c r="AD23"/>
  <c r="AG23"/>
  <c r="AL23"/>
  <c r="Y24"/>
  <c r="AD24"/>
  <c r="AG24"/>
  <c r="AL24"/>
  <c r="Q22" i="140"/>
  <c r="T22"/>
  <c r="U22"/>
  <c r="V22"/>
  <c r="W22"/>
  <c r="P7"/>
  <c r="P8"/>
  <c r="P9"/>
  <c r="P10"/>
  <c r="P11"/>
  <c r="P12"/>
  <c r="P13"/>
  <c r="P6"/>
  <c r="AC7"/>
  <c r="AC8"/>
  <c r="AC9"/>
  <c r="AC10"/>
  <c r="AC11"/>
  <c r="AC12"/>
  <c r="AC13"/>
  <c r="AC6"/>
  <c r="X22"/>
  <c r="Y22"/>
  <c r="Z22"/>
  <c r="AD22"/>
  <c r="AG22"/>
  <c r="AH22"/>
  <c r="AI22"/>
  <c r="AJ22"/>
  <c r="AK22"/>
  <c r="AL22"/>
  <c r="AM22"/>
  <c r="Y23"/>
  <c r="AL23"/>
  <c r="Y24"/>
  <c r="AL24"/>
  <c r="P7" i="139"/>
  <c r="P8"/>
  <c r="P9"/>
  <c r="P10"/>
  <c r="P11"/>
  <c r="P12"/>
  <c r="P13"/>
  <c r="P16"/>
  <c r="P6"/>
  <c r="AC7"/>
  <c r="AC8"/>
  <c r="AC9"/>
  <c r="AC10"/>
  <c r="AC11"/>
  <c r="AC12"/>
  <c r="AC13"/>
  <c r="AC15"/>
  <c r="AC16"/>
  <c r="AC17"/>
  <c r="B22"/>
  <c r="B5" i="138"/>
  <c r="Q23" s="1"/>
  <c r="C5"/>
  <c r="R23" s="1"/>
  <c r="D5"/>
  <c r="S23" s="1"/>
  <c r="F5"/>
  <c r="G5"/>
  <c r="H5"/>
  <c r="T23" s="1"/>
  <c r="I5"/>
  <c r="J5"/>
  <c r="K5"/>
  <c r="L5"/>
  <c r="M5"/>
  <c r="N5"/>
  <c r="B6"/>
  <c r="Q24" s="1"/>
  <c r="C6"/>
  <c r="R24" s="1"/>
  <c r="D6"/>
  <c r="S24" s="1"/>
  <c r="G6"/>
  <c r="H6"/>
  <c r="T24" s="1"/>
  <c r="I6"/>
  <c r="J6"/>
  <c r="K6"/>
  <c r="L6"/>
  <c r="U24" s="1"/>
  <c r="M6"/>
  <c r="V24" s="1"/>
  <c r="N6"/>
  <c r="B7"/>
  <c r="D7"/>
  <c r="S8" s="1"/>
  <c r="F7"/>
  <c r="G7"/>
  <c r="H7"/>
  <c r="T25" s="1"/>
  <c r="I7"/>
  <c r="J7"/>
  <c r="K7"/>
  <c r="L7"/>
  <c r="U25" s="1"/>
  <c r="M7"/>
  <c r="V25" s="1"/>
  <c r="N7"/>
  <c r="B8"/>
  <c r="D8"/>
  <c r="S26" s="1"/>
  <c r="F8"/>
  <c r="G8"/>
  <c r="H8"/>
  <c r="I8"/>
  <c r="J8"/>
  <c r="K8"/>
  <c r="L8"/>
  <c r="U26" s="1"/>
  <c r="M8"/>
  <c r="V26" s="1"/>
  <c r="N8"/>
  <c r="W26" s="1"/>
  <c r="B9"/>
  <c r="Q10" s="1"/>
  <c r="D9"/>
  <c r="S10" s="1"/>
  <c r="F9"/>
  <c r="G9"/>
  <c r="H9"/>
  <c r="I9"/>
  <c r="J9"/>
  <c r="K9"/>
  <c r="L9"/>
  <c r="U27" s="1"/>
  <c r="M9"/>
  <c r="V27" s="1"/>
  <c r="N9"/>
  <c r="W27" s="1"/>
  <c r="B10"/>
  <c r="Q28" s="1"/>
  <c r="D10"/>
  <c r="F10"/>
  <c r="G10"/>
  <c r="H10"/>
  <c r="T11" s="1"/>
  <c r="I10"/>
  <c r="J10"/>
  <c r="K10"/>
  <c r="L10"/>
  <c r="U11" s="1"/>
  <c r="M10"/>
  <c r="V28" s="1"/>
  <c r="N10"/>
  <c r="B11"/>
  <c r="D11"/>
  <c r="S29" s="1"/>
  <c r="F11"/>
  <c r="G11"/>
  <c r="H11"/>
  <c r="T29" s="1"/>
  <c r="I11"/>
  <c r="J11"/>
  <c r="K11"/>
  <c r="L11"/>
  <c r="M11"/>
  <c r="V29" s="1"/>
  <c r="N11"/>
  <c r="W29" s="1"/>
  <c r="B12"/>
  <c r="D12"/>
  <c r="S30" s="1"/>
  <c r="F12"/>
  <c r="G12"/>
  <c r="H12"/>
  <c r="T30" s="1"/>
  <c r="I12"/>
  <c r="J12"/>
  <c r="K12"/>
  <c r="L12"/>
  <c r="M12"/>
  <c r="V30" s="1"/>
  <c r="N12"/>
  <c r="W13" s="1"/>
  <c r="B13"/>
  <c r="Q31" s="1"/>
  <c r="D13"/>
  <c r="S31" s="1"/>
  <c r="F13"/>
  <c r="G13"/>
  <c r="H13"/>
  <c r="I13"/>
  <c r="J13"/>
  <c r="K13"/>
  <c r="L13"/>
  <c r="U14" s="1"/>
  <c r="M13"/>
  <c r="V14" s="1"/>
  <c r="N13"/>
  <c r="B14"/>
  <c r="Q32" s="1"/>
  <c r="D14"/>
  <c r="S32" s="1"/>
  <c r="F14"/>
  <c r="G14"/>
  <c r="H14"/>
  <c r="T15" s="1"/>
  <c r="I14"/>
  <c r="J14"/>
  <c r="K14"/>
  <c r="L14"/>
  <c r="U32" s="1"/>
  <c r="M14"/>
  <c r="V32" s="1"/>
  <c r="N14"/>
  <c r="W32" s="1"/>
  <c r="B15"/>
  <c r="D15"/>
  <c r="S16" s="1"/>
  <c r="F15"/>
  <c r="G15"/>
  <c r="H15"/>
  <c r="T33" s="1"/>
  <c r="I15"/>
  <c r="J15"/>
  <c r="K15"/>
  <c r="L15"/>
  <c r="U33" s="1"/>
  <c r="M15"/>
  <c r="N15"/>
  <c r="W33" s="1"/>
  <c r="B16"/>
  <c r="D16"/>
  <c r="F16"/>
  <c r="G16"/>
  <c r="H16"/>
  <c r="I16"/>
  <c r="J16"/>
  <c r="K16"/>
  <c r="K21" s="1"/>
  <c r="L16"/>
  <c r="M16"/>
  <c r="N16"/>
  <c r="N21" s="1"/>
  <c r="D4"/>
  <c r="S22" s="1"/>
  <c r="F4"/>
  <c r="F20" s="1"/>
  <c r="G4"/>
  <c r="H4"/>
  <c r="I4"/>
  <c r="J4"/>
  <c r="K4"/>
  <c r="K20" s="1"/>
  <c r="L4"/>
  <c r="U22" s="1"/>
  <c r="M4"/>
  <c r="V22" s="1"/>
  <c r="N4"/>
  <c r="B4"/>
  <c r="B22" s="1"/>
  <c r="B5" i="137"/>
  <c r="Q23" s="1"/>
  <c r="D5"/>
  <c r="S22" s="1"/>
  <c r="E5"/>
  <c r="G5"/>
  <c r="H5"/>
  <c r="I5"/>
  <c r="T22" s="1"/>
  <c r="J5"/>
  <c r="K5"/>
  <c r="L5"/>
  <c r="M5"/>
  <c r="U5" s="1"/>
  <c r="N5"/>
  <c r="V5" s="1"/>
  <c r="B6"/>
  <c r="D6"/>
  <c r="S23" s="1"/>
  <c r="E6"/>
  <c r="G6"/>
  <c r="H6"/>
  <c r="I6"/>
  <c r="T6" s="1"/>
  <c r="J6"/>
  <c r="K6"/>
  <c r="L6"/>
  <c r="M6"/>
  <c r="U23" s="1"/>
  <c r="N6"/>
  <c r="V23" s="1"/>
  <c r="B7"/>
  <c r="D7"/>
  <c r="S24" s="1"/>
  <c r="E7"/>
  <c r="G7"/>
  <c r="H7"/>
  <c r="I7"/>
  <c r="J7"/>
  <c r="K7"/>
  <c r="L7"/>
  <c r="M7"/>
  <c r="U24" s="1"/>
  <c r="N7"/>
  <c r="V24" s="1"/>
  <c r="B8"/>
  <c r="D8"/>
  <c r="S25" s="1"/>
  <c r="E8"/>
  <c r="G8"/>
  <c r="H8"/>
  <c r="I8"/>
  <c r="T25" s="1"/>
  <c r="J8"/>
  <c r="K8"/>
  <c r="L8"/>
  <c r="M8"/>
  <c r="U25" s="1"/>
  <c r="N8"/>
  <c r="V8" s="1"/>
  <c r="B9"/>
  <c r="Q10" s="1"/>
  <c r="D9"/>
  <c r="S26" s="1"/>
  <c r="E9"/>
  <c r="G9"/>
  <c r="H9"/>
  <c r="I9"/>
  <c r="J9"/>
  <c r="K9"/>
  <c r="L9"/>
  <c r="M9"/>
  <c r="N9"/>
  <c r="B10"/>
  <c r="D10"/>
  <c r="S27" s="1"/>
  <c r="E10"/>
  <c r="G10"/>
  <c r="H10"/>
  <c r="I10"/>
  <c r="T10" s="1"/>
  <c r="J10"/>
  <c r="K10"/>
  <c r="L10"/>
  <c r="M10"/>
  <c r="U10" s="1"/>
  <c r="N10"/>
  <c r="B11"/>
  <c r="D11"/>
  <c r="E11"/>
  <c r="G11"/>
  <c r="H11"/>
  <c r="I11"/>
  <c r="T28" s="1"/>
  <c r="J11"/>
  <c r="K11"/>
  <c r="L11"/>
  <c r="M11"/>
  <c r="N11"/>
  <c r="V28" s="1"/>
  <c r="B12"/>
  <c r="D12"/>
  <c r="S29" s="1"/>
  <c r="E12"/>
  <c r="G12"/>
  <c r="H12"/>
  <c r="I12"/>
  <c r="J12"/>
  <c r="K12"/>
  <c r="L12"/>
  <c r="M12"/>
  <c r="U29" s="1"/>
  <c r="N12"/>
  <c r="V29" s="1"/>
  <c r="B13"/>
  <c r="Q14" s="1"/>
  <c r="D13"/>
  <c r="S30" s="1"/>
  <c r="E13"/>
  <c r="G13"/>
  <c r="H13"/>
  <c r="I13"/>
  <c r="J13"/>
  <c r="K13"/>
  <c r="L13"/>
  <c r="M13"/>
  <c r="N13"/>
  <c r="B14"/>
  <c r="D14"/>
  <c r="S31" s="1"/>
  <c r="E14"/>
  <c r="G14"/>
  <c r="H14"/>
  <c r="I14"/>
  <c r="T14" s="1"/>
  <c r="J14"/>
  <c r="K14"/>
  <c r="L14"/>
  <c r="M14"/>
  <c r="U31" s="1"/>
  <c r="N14"/>
  <c r="B15"/>
  <c r="D15"/>
  <c r="S15" s="1"/>
  <c r="E15"/>
  <c r="G15"/>
  <c r="H15"/>
  <c r="I15"/>
  <c r="T32" s="1"/>
  <c r="J15"/>
  <c r="K15"/>
  <c r="L15"/>
  <c r="M15"/>
  <c r="U32" s="1"/>
  <c r="N15"/>
  <c r="V32" s="1"/>
  <c r="B16"/>
  <c r="D16"/>
  <c r="S33" s="1"/>
  <c r="E16"/>
  <c r="E21" s="1"/>
  <c r="G16"/>
  <c r="G21" s="1"/>
  <c r="H16"/>
  <c r="I16"/>
  <c r="T33" s="1"/>
  <c r="J16"/>
  <c r="J22" s="1"/>
  <c r="K16"/>
  <c r="K21" s="1"/>
  <c r="L16"/>
  <c r="M16"/>
  <c r="U33" s="1"/>
  <c r="N16"/>
  <c r="V16" s="1"/>
  <c r="D4"/>
  <c r="G4"/>
  <c r="H4"/>
  <c r="H22" s="1"/>
  <c r="I4"/>
  <c r="J4"/>
  <c r="J20" s="1"/>
  <c r="K4"/>
  <c r="L4"/>
  <c r="L22" s="1"/>
  <c r="M4"/>
  <c r="N4"/>
  <c r="B4"/>
  <c r="B22" s="1"/>
  <c r="BE30" i="140"/>
  <c r="BD30"/>
  <c r="BC30"/>
  <c r="BB30"/>
  <c r="BA30"/>
  <c r="AY30"/>
  <c r="BE29"/>
  <c r="BD29"/>
  <c r="BC29"/>
  <c r="BB29"/>
  <c r="BA29"/>
  <c r="AY29"/>
  <c r="BE28"/>
  <c r="BD28"/>
  <c r="BC28"/>
  <c r="BB28"/>
  <c r="BA28"/>
  <c r="AY28"/>
  <c r="BE27"/>
  <c r="BD27"/>
  <c r="BC27"/>
  <c r="BB27"/>
  <c r="BA27"/>
  <c r="AY27"/>
  <c r="BE26"/>
  <c r="BD26"/>
  <c r="BC26"/>
  <c r="BB26"/>
  <c r="BA26"/>
  <c r="AY26"/>
  <c r="BE25"/>
  <c r="BD25"/>
  <c r="BC25"/>
  <c r="BB25"/>
  <c r="BA25"/>
  <c r="AY25"/>
  <c r="BE24"/>
  <c r="BD24"/>
  <c r="BC24"/>
  <c r="BB24"/>
  <c r="BA24"/>
  <c r="AY24"/>
  <c r="N24"/>
  <c r="M24"/>
  <c r="L24"/>
  <c r="K24"/>
  <c r="J24"/>
  <c r="I24"/>
  <c r="H24"/>
  <c r="G24"/>
  <c r="F24"/>
  <c r="D24"/>
  <c r="B24"/>
  <c r="BE23"/>
  <c r="BD23"/>
  <c r="BC23"/>
  <c r="BB23"/>
  <c r="BA23"/>
  <c r="AZ23"/>
  <c r="AY23"/>
  <c r="N23"/>
  <c r="M23"/>
  <c r="L23"/>
  <c r="K23"/>
  <c r="J23"/>
  <c r="I23"/>
  <c r="H23"/>
  <c r="G23"/>
  <c r="F23"/>
  <c r="D23"/>
  <c r="B23"/>
  <c r="BE22"/>
  <c r="BD22"/>
  <c r="BC22"/>
  <c r="BB22"/>
  <c r="BA22"/>
  <c r="AZ22"/>
  <c r="AY22"/>
  <c r="N22"/>
  <c r="M22"/>
  <c r="L22"/>
  <c r="K22"/>
  <c r="J22"/>
  <c r="I22"/>
  <c r="H22"/>
  <c r="G22"/>
  <c r="F22"/>
  <c r="D22"/>
  <c r="B22"/>
  <c r="BE18"/>
  <c r="BD18"/>
  <c r="BC18"/>
  <c r="BB18"/>
  <c r="BA18"/>
  <c r="AY18"/>
  <c r="C18"/>
  <c r="BE17"/>
  <c r="BD17"/>
  <c r="BC17"/>
  <c r="BB17"/>
  <c r="BA17"/>
  <c r="AY17"/>
  <c r="C17"/>
  <c r="BE16"/>
  <c r="BD16"/>
  <c r="BC16"/>
  <c r="BB16"/>
  <c r="BA16"/>
  <c r="AY16"/>
  <c r="C16"/>
  <c r="BE15"/>
  <c r="BD15"/>
  <c r="BC15"/>
  <c r="BB15"/>
  <c r="BA15"/>
  <c r="AY15"/>
  <c r="C15"/>
  <c r="BE14"/>
  <c r="BD14"/>
  <c r="BC14"/>
  <c r="BB14"/>
  <c r="BA14"/>
  <c r="AY14"/>
  <c r="C14"/>
  <c r="BE13"/>
  <c r="BD13"/>
  <c r="BC13"/>
  <c r="BB13"/>
  <c r="BA13"/>
  <c r="AY13"/>
  <c r="C13"/>
  <c r="BE12"/>
  <c r="BD12"/>
  <c r="BC12"/>
  <c r="BB12"/>
  <c r="BA12"/>
  <c r="AY12"/>
  <c r="C12"/>
  <c r="BE11"/>
  <c r="BD11"/>
  <c r="BC11"/>
  <c r="BB11"/>
  <c r="BA11"/>
  <c r="AY11"/>
  <c r="C11"/>
  <c r="AZ29" s="1"/>
  <c r="BE10"/>
  <c r="BD10"/>
  <c r="BC10"/>
  <c r="BB10"/>
  <c r="BA10"/>
  <c r="AY10"/>
  <c r="C10"/>
  <c r="BE9"/>
  <c r="BD9"/>
  <c r="BC9"/>
  <c r="BB9"/>
  <c r="BA9"/>
  <c r="AY9"/>
  <c r="C9"/>
  <c r="BE8"/>
  <c r="BD8"/>
  <c r="BC8"/>
  <c r="BB8"/>
  <c r="BA8"/>
  <c r="AY8"/>
  <c r="C8"/>
  <c r="BE7"/>
  <c r="BD7"/>
  <c r="BC7"/>
  <c r="BB7"/>
  <c r="BA7"/>
  <c r="AY7"/>
  <c r="C7"/>
  <c r="AZ25" s="1"/>
  <c r="BE6"/>
  <c r="BD6"/>
  <c r="BC6"/>
  <c r="BB6"/>
  <c r="BA6"/>
  <c r="AZ6"/>
  <c r="AY6"/>
  <c r="C6"/>
  <c r="AZ7" s="1"/>
  <c r="AY30" i="139"/>
  <c r="AX30"/>
  <c r="AW30"/>
  <c r="AV30"/>
  <c r="AU30"/>
  <c r="AS30"/>
  <c r="AY29"/>
  <c r="AX29"/>
  <c r="AW29"/>
  <c r="AV29"/>
  <c r="AU29"/>
  <c r="AS29"/>
  <c r="AY28"/>
  <c r="AX28"/>
  <c r="AW28"/>
  <c r="AV28"/>
  <c r="AU28"/>
  <c r="AS28"/>
  <c r="AY27"/>
  <c r="AX27"/>
  <c r="AW27"/>
  <c r="AV27"/>
  <c r="AU27"/>
  <c r="AS27"/>
  <c r="AY26"/>
  <c r="AX26"/>
  <c r="AW26"/>
  <c r="AV26"/>
  <c r="AU26"/>
  <c r="AS26"/>
  <c r="AY25"/>
  <c r="AX25"/>
  <c r="AW25"/>
  <c r="AV25"/>
  <c r="AU25"/>
  <c r="AS25"/>
  <c r="AY24"/>
  <c r="AX24"/>
  <c r="AW24"/>
  <c r="AV24"/>
  <c r="AU24"/>
  <c r="AS24"/>
  <c r="N24"/>
  <c r="M24"/>
  <c r="L24"/>
  <c r="K24"/>
  <c r="J24"/>
  <c r="I24"/>
  <c r="H24"/>
  <c r="G24"/>
  <c r="D24"/>
  <c r="B24"/>
  <c r="AY23"/>
  <c r="AX23"/>
  <c r="AW23"/>
  <c r="AV23"/>
  <c r="AU23"/>
  <c r="AT23"/>
  <c r="AS23"/>
  <c r="N23"/>
  <c r="M23"/>
  <c r="L23"/>
  <c r="K23"/>
  <c r="J23"/>
  <c r="I23"/>
  <c r="H23"/>
  <c r="G23"/>
  <c r="E23"/>
  <c r="D23"/>
  <c r="B23"/>
  <c r="AY22"/>
  <c r="AX22"/>
  <c r="AW22"/>
  <c r="AV22"/>
  <c r="AU22"/>
  <c r="AT22"/>
  <c r="AS22"/>
  <c r="N22"/>
  <c r="M22"/>
  <c r="L22"/>
  <c r="K22"/>
  <c r="J22"/>
  <c r="I22"/>
  <c r="H22"/>
  <c r="G22"/>
  <c r="D22"/>
  <c r="AY18"/>
  <c r="AX18"/>
  <c r="AW18"/>
  <c r="AV18"/>
  <c r="AU18"/>
  <c r="AS18"/>
  <c r="C18"/>
  <c r="AY17"/>
  <c r="AX17"/>
  <c r="AW17"/>
  <c r="AV17"/>
  <c r="AU17"/>
  <c r="AS17"/>
  <c r="C17"/>
  <c r="AY16"/>
  <c r="AX16"/>
  <c r="AW16"/>
  <c r="AV16"/>
  <c r="AU16"/>
  <c r="AS16"/>
  <c r="C16"/>
  <c r="AY15"/>
  <c r="AX15"/>
  <c r="AW15"/>
  <c r="AV15"/>
  <c r="AU15"/>
  <c r="AS15"/>
  <c r="C15"/>
  <c r="AY14"/>
  <c r="AX14"/>
  <c r="AW14"/>
  <c r="AV14"/>
  <c r="AU14"/>
  <c r="AS14"/>
  <c r="C14"/>
  <c r="AY13"/>
  <c r="AX13"/>
  <c r="AW13"/>
  <c r="AV13"/>
  <c r="AU13"/>
  <c r="AS13"/>
  <c r="C13"/>
  <c r="AY12"/>
  <c r="AX12"/>
  <c r="AW12"/>
  <c r="AV12"/>
  <c r="AU12"/>
  <c r="AS12"/>
  <c r="C12"/>
  <c r="AY11"/>
  <c r="AX11"/>
  <c r="AW11"/>
  <c r="AV11"/>
  <c r="AU11"/>
  <c r="AS11"/>
  <c r="C11"/>
  <c r="AY10"/>
  <c r="AX10"/>
  <c r="AW10"/>
  <c r="AV10"/>
  <c r="AU10"/>
  <c r="AS10"/>
  <c r="C10"/>
  <c r="AY9"/>
  <c r="AX9"/>
  <c r="AW9"/>
  <c r="AV9"/>
  <c r="AU9"/>
  <c r="AS9"/>
  <c r="C9"/>
  <c r="AT27" s="1"/>
  <c r="AY8"/>
  <c r="AX8"/>
  <c r="AW8"/>
  <c r="AV8"/>
  <c r="AU8"/>
  <c r="AS8"/>
  <c r="C8"/>
  <c r="AY7"/>
  <c r="AX7"/>
  <c r="AW7"/>
  <c r="AV7"/>
  <c r="AU7"/>
  <c r="AS7"/>
  <c r="C7"/>
  <c r="AY6"/>
  <c r="AX6"/>
  <c r="AW6"/>
  <c r="AV6"/>
  <c r="AU6"/>
  <c r="AT6"/>
  <c r="AS6"/>
  <c r="C6"/>
  <c r="AT7" s="1"/>
  <c r="Q33" i="138"/>
  <c r="U31"/>
  <c r="T31"/>
  <c r="U30"/>
  <c r="Q30"/>
  <c r="U29"/>
  <c r="Q29"/>
  <c r="W28"/>
  <c r="T28"/>
  <c r="S28"/>
  <c r="T27"/>
  <c r="Q27"/>
  <c r="T26"/>
  <c r="Q26"/>
  <c r="W25"/>
  <c r="Q25"/>
  <c r="W23"/>
  <c r="V23"/>
  <c r="W21"/>
  <c r="V21"/>
  <c r="U21"/>
  <c r="T21"/>
  <c r="S21"/>
  <c r="R21"/>
  <c r="Q21"/>
  <c r="J21"/>
  <c r="G21"/>
  <c r="W20"/>
  <c r="V20"/>
  <c r="U20"/>
  <c r="T20"/>
  <c r="S20"/>
  <c r="R20"/>
  <c r="Q20"/>
  <c r="G20"/>
  <c r="U15"/>
  <c r="T14"/>
  <c r="Q14"/>
  <c r="U13"/>
  <c r="Q13"/>
  <c r="T12"/>
  <c r="W11"/>
  <c r="S11"/>
  <c r="Q9"/>
  <c r="S7"/>
  <c r="Q7"/>
  <c r="W4"/>
  <c r="V4"/>
  <c r="U4"/>
  <c r="T4"/>
  <c r="S4"/>
  <c r="R4"/>
  <c r="Q4"/>
  <c r="W33" i="137"/>
  <c r="Q33"/>
  <c r="W32"/>
  <c r="Q32"/>
  <c r="W31"/>
  <c r="W30"/>
  <c r="Q30"/>
  <c r="W29"/>
  <c r="Q29"/>
  <c r="W28"/>
  <c r="W27"/>
  <c r="Q27"/>
  <c r="W26"/>
  <c r="Q26"/>
  <c r="W25"/>
  <c r="V25"/>
  <c r="Q25"/>
  <c r="W24"/>
  <c r="Q24"/>
  <c r="W23"/>
  <c r="W22"/>
  <c r="V22"/>
  <c r="W21"/>
  <c r="V21"/>
  <c r="U21"/>
  <c r="T21"/>
  <c r="S21"/>
  <c r="R21"/>
  <c r="Q21"/>
  <c r="W20"/>
  <c r="V20"/>
  <c r="U20"/>
  <c r="T20"/>
  <c r="S20"/>
  <c r="R20"/>
  <c r="Q20"/>
  <c r="W16"/>
  <c r="W15"/>
  <c r="W14"/>
  <c r="W13"/>
  <c r="Q13"/>
  <c r="W12"/>
  <c r="W11"/>
  <c r="W10"/>
  <c r="W9"/>
  <c r="S9"/>
  <c r="Q9"/>
  <c r="W8"/>
  <c r="W7"/>
  <c r="W6"/>
  <c r="W5"/>
  <c r="W4"/>
  <c r="V4"/>
  <c r="U4"/>
  <c r="T4"/>
  <c r="S4"/>
  <c r="R4"/>
  <c r="Q4"/>
  <c r="D6" i="136"/>
  <c r="G6"/>
  <c r="H6"/>
  <c r="K6"/>
  <c r="B7"/>
  <c r="Q26" s="1"/>
  <c r="F7"/>
  <c r="G7"/>
  <c r="J7"/>
  <c r="K7"/>
  <c r="N7"/>
  <c r="E8"/>
  <c r="I8"/>
  <c r="M8"/>
  <c r="D10"/>
  <c r="G10"/>
  <c r="H10"/>
  <c r="K10"/>
  <c r="B11"/>
  <c r="F11"/>
  <c r="G11"/>
  <c r="J11"/>
  <c r="K11"/>
  <c r="N11"/>
  <c r="E12"/>
  <c r="I12"/>
  <c r="M12"/>
  <c r="D14"/>
  <c r="G14"/>
  <c r="H14"/>
  <c r="K14"/>
  <c r="B15"/>
  <c r="F15"/>
  <c r="G15"/>
  <c r="J15"/>
  <c r="K15"/>
  <c r="N15"/>
  <c r="E16"/>
  <c r="I16"/>
  <c r="M16"/>
  <c r="D18"/>
  <c r="G18"/>
  <c r="H18"/>
  <c r="K18"/>
  <c r="B19"/>
  <c r="F19"/>
  <c r="G19"/>
  <c r="J19"/>
  <c r="K19"/>
  <c r="N19"/>
  <c r="F4"/>
  <c r="J4"/>
  <c r="N4"/>
  <c r="B5" i="135"/>
  <c r="C5"/>
  <c r="D5"/>
  <c r="E5"/>
  <c r="F5"/>
  <c r="G5"/>
  <c r="H5"/>
  <c r="I5"/>
  <c r="J5"/>
  <c r="K5"/>
  <c r="L5"/>
  <c r="M5"/>
  <c r="N5"/>
  <c r="B6"/>
  <c r="C6"/>
  <c r="D6"/>
  <c r="E6"/>
  <c r="F6"/>
  <c r="G6"/>
  <c r="H6"/>
  <c r="I6"/>
  <c r="J6"/>
  <c r="K6"/>
  <c r="L6"/>
  <c r="M6"/>
  <c r="N6"/>
  <c r="B7"/>
  <c r="Q26" s="1"/>
  <c r="D7"/>
  <c r="E7"/>
  <c r="F7"/>
  <c r="G7"/>
  <c r="H7"/>
  <c r="I7"/>
  <c r="J7"/>
  <c r="K7"/>
  <c r="L7"/>
  <c r="U26" s="1"/>
  <c r="M7"/>
  <c r="N7"/>
  <c r="N24" s="1"/>
  <c r="B8"/>
  <c r="D8"/>
  <c r="E8"/>
  <c r="F8"/>
  <c r="G8"/>
  <c r="H8"/>
  <c r="I8"/>
  <c r="J8"/>
  <c r="K8"/>
  <c r="L8"/>
  <c r="M8"/>
  <c r="V27" s="1"/>
  <c r="N8"/>
  <c r="B9"/>
  <c r="C9"/>
  <c r="D9"/>
  <c r="E9"/>
  <c r="F9"/>
  <c r="G9"/>
  <c r="H9"/>
  <c r="I9"/>
  <c r="J9"/>
  <c r="K9"/>
  <c r="L9"/>
  <c r="U10" s="1"/>
  <c r="M9"/>
  <c r="N9"/>
  <c r="B10"/>
  <c r="C10"/>
  <c r="D10"/>
  <c r="S29" s="1"/>
  <c r="E10"/>
  <c r="F10"/>
  <c r="G10"/>
  <c r="H10"/>
  <c r="T29" s="1"/>
  <c r="I10"/>
  <c r="J10"/>
  <c r="K10"/>
  <c r="L10"/>
  <c r="U29" s="1"/>
  <c r="M10"/>
  <c r="N10"/>
  <c r="B11"/>
  <c r="D11"/>
  <c r="E11"/>
  <c r="F11"/>
  <c r="G11"/>
  <c r="H11"/>
  <c r="I11"/>
  <c r="J11"/>
  <c r="K11"/>
  <c r="L11"/>
  <c r="M11"/>
  <c r="N11"/>
  <c r="B12"/>
  <c r="D12"/>
  <c r="E12"/>
  <c r="F12"/>
  <c r="G12"/>
  <c r="H12"/>
  <c r="I12"/>
  <c r="J12"/>
  <c r="K12"/>
  <c r="L12"/>
  <c r="U14" s="1"/>
  <c r="M12"/>
  <c r="N12"/>
  <c r="B13"/>
  <c r="C13"/>
  <c r="D13"/>
  <c r="E13"/>
  <c r="F13"/>
  <c r="G13"/>
  <c r="H13"/>
  <c r="I13"/>
  <c r="J13"/>
  <c r="K13"/>
  <c r="L13"/>
  <c r="M13"/>
  <c r="N13"/>
  <c r="B14"/>
  <c r="B25" s="1"/>
  <c r="C14"/>
  <c r="D14"/>
  <c r="S32" s="1"/>
  <c r="E14"/>
  <c r="F14"/>
  <c r="G14"/>
  <c r="H14"/>
  <c r="H25" s="1"/>
  <c r="I14"/>
  <c r="J14"/>
  <c r="K14"/>
  <c r="L14"/>
  <c r="M14"/>
  <c r="N14"/>
  <c r="N25" s="1"/>
  <c r="B15"/>
  <c r="Q33" s="1"/>
  <c r="D15"/>
  <c r="E15"/>
  <c r="F15"/>
  <c r="G15"/>
  <c r="H15"/>
  <c r="I15"/>
  <c r="J15"/>
  <c r="K15"/>
  <c r="L15"/>
  <c r="U33" s="1"/>
  <c r="M15"/>
  <c r="V33" s="1"/>
  <c r="N15"/>
  <c r="W33" s="1"/>
  <c r="B16"/>
  <c r="D16"/>
  <c r="E16"/>
  <c r="F16"/>
  <c r="G16"/>
  <c r="H16"/>
  <c r="I16"/>
  <c r="J16"/>
  <c r="K16"/>
  <c r="L16"/>
  <c r="M16"/>
  <c r="V34" s="1"/>
  <c r="N16"/>
  <c r="B17"/>
  <c r="C17"/>
  <c r="D17"/>
  <c r="E17"/>
  <c r="F17"/>
  <c r="G17"/>
  <c r="H17"/>
  <c r="I17"/>
  <c r="J17"/>
  <c r="K17"/>
  <c r="L17"/>
  <c r="M17"/>
  <c r="N17"/>
  <c r="B18"/>
  <c r="C18"/>
  <c r="D18"/>
  <c r="E18"/>
  <c r="F18"/>
  <c r="G18"/>
  <c r="H18"/>
  <c r="T36" s="1"/>
  <c r="I18"/>
  <c r="J18"/>
  <c r="K18"/>
  <c r="L18"/>
  <c r="M18"/>
  <c r="V36" s="1"/>
  <c r="N18"/>
  <c r="B19"/>
  <c r="D19"/>
  <c r="E19"/>
  <c r="F19"/>
  <c r="G19"/>
  <c r="H19"/>
  <c r="T37" s="1"/>
  <c r="I19"/>
  <c r="J19"/>
  <c r="K19"/>
  <c r="L19"/>
  <c r="M19"/>
  <c r="N19"/>
  <c r="D4"/>
  <c r="E4"/>
  <c r="F4"/>
  <c r="G4"/>
  <c r="H4"/>
  <c r="I4"/>
  <c r="J4"/>
  <c r="K4"/>
  <c r="L4"/>
  <c r="L24" s="1"/>
  <c r="M4"/>
  <c r="N4"/>
  <c r="B4"/>
  <c r="U32"/>
  <c r="N27"/>
  <c r="W16"/>
  <c r="T9"/>
  <c r="B5" i="134"/>
  <c r="D5"/>
  <c r="E5"/>
  <c r="I5"/>
  <c r="J5"/>
  <c r="K5"/>
  <c r="B6"/>
  <c r="D6"/>
  <c r="E6"/>
  <c r="I6"/>
  <c r="J6"/>
  <c r="K6"/>
  <c r="B7"/>
  <c r="D7"/>
  <c r="E7"/>
  <c r="I7"/>
  <c r="J7"/>
  <c r="K7"/>
  <c r="B8"/>
  <c r="D8"/>
  <c r="E8"/>
  <c r="I8"/>
  <c r="J8"/>
  <c r="S9" s="1"/>
  <c r="K8"/>
  <c r="B9"/>
  <c r="D9"/>
  <c r="E9"/>
  <c r="I9"/>
  <c r="J9"/>
  <c r="K9"/>
  <c r="B10"/>
  <c r="D10"/>
  <c r="E10"/>
  <c r="I10"/>
  <c r="J10"/>
  <c r="K10"/>
  <c r="B11"/>
  <c r="N30" s="1"/>
  <c r="D11"/>
  <c r="P30" s="1"/>
  <c r="E11"/>
  <c r="Q30" s="1"/>
  <c r="I11"/>
  <c r="R30" s="1"/>
  <c r="J11"/>
  <c r="S30" s="1"/>
  <c r="K11"/>
  <c r="T30" s="1"/>
  <c r="B12"/>
  <c r="N31" s="1"/>
  <c r="D12"/>
  <c r="P31" s="1"/>
  <c r="E12"/>
  <c r="Q31" s="1"/>
  <c r="I12"/>
  <c r="J12"/>
  <c r="S31" s="1"/>
  <c r="K12"/>
  <c r="T31" s="1"/>
  <c r="B13"/>
  <c r="D13"/>
  <c r="E13"/>
  <c r="I13"/>
  <c r="J13"/>
  <c r="K13"/>
  <c r="B14"/>
  <c r="D14"/>
  <c r="E14"/>
  <c r="F14"/>
  <c r="G14"/>
  <c r="H14"/>
  <c r="I14"/>
  <c r="J14"/>
  <c r="K14"/>
  <c r="B15"/>
  <c r="D15"/>
  <c r="P34" s="1"/>
  <c r="E15"/>
  <c r="F15"/>
  <c r="G15"/>
  <c r="H15"/>
  <c r="I15"/>
  <c r="R34" s="1"/>
  <c r="J15"/>
  <c r="S34" s="1"/>
  <c r="K15"/>
  <c r="B16"/>
  <c r="N35" s="1"/>
  <c r="D16"/>
  <c r="P35" s="1"/>
  <c r="E16"/>
  <c r="Q35" s="1"/>
  <c r="F16"/>
  <c r="G16"/>
  <c r="H16"/>
  <c r="I16"/>
  <c r="J16"/>
  <c r="K16"/>
  <c r="T35" s="1"/>
  <c r="B17"/>
  <c r="N36" s="1"/>
  <c r="D17"/>
  <c r="P36" s="1"/>
  <c r="E17"/>
  <c r="Q36" s="1"/>
  <c r="F17"/>
  <c r="G17"/>
  <c r="H17"/>
  <c r="I17"/>
  <c r="R36" s="1"/>
  <c r="J17"/>
  <c r="S36" s="1"/>
  <c r="K17"/>
  <c r="B18"/>
  <c r="N37" s="1"/>
  <c r="D18"/>
  <c r="E18"/>
  <c r="F18"/>
  <c r="G18"/>
  <c r="H18"/>
  <c r="I18"/>
  <c r="J18"/>
  <c r="S37" s="1"/>
  <c r="K18"/>
  <c r="T37" s="1"/>
  <c r="B19"/>
  <c r="D19"/>
  <c r="P38" s="1"/>
  <c r="E19"/>
  <c r="Q38" s="1"/>
  <c r="F19"/>
  <c r="G19"/>
  <c r="H19"/>
  <c r="I19"/>
  <c r="R38" s="1"/>
  <c r="J19"/>
  <c r="S38" s="1"/>
  <c r="K19"/>
  <c r="T38" s="1"/>
  <c r="B20"/>
  <c r="B27" s="1"/>
  <c r="D20"/>
  <c r="D27" s="1"/>
  <c r="E20"/>
  <c r="E27" s="1"/>
  <c r="F20"/>
  <c r="G20"/>
  <c r="H20"/>
  <c r="I20"/>
  <c r="J20"/>
  <c r="K20"/>
  <c r="D4"/>
  <c r="E4"/>
  <c r="I4"/>
  <c r="J4"/>
  <c r="K4"/>
  <c r="B4"/>
  <c r="B5" i="133"/>
  <c r="D5"/>
  <c r="E5"/>
  <c r="I5"/>
  <c r="J5"/>
  <c r="K5"/>
  <c r="B6"/>
  <c r="D6"/>
  <c r="E6"/>
  <c r="I6"/>
  <c r="J6"/>
  <c r="K6"/>
  <c r="B7"/>
  <c r="D7"/>
  <c r="E7"/>
  <c r="I7"/>
  <c r="J7"/>
  <c r="K7"/>
  <c r="B8"/>
  <c r="N9" s="1"/>
  <c r="D8"/>
  <c r="E8"/>
  <c r="I8"/>
  <c r="J8"/>
  <c r="K8"/>
  <c r="B9"/>
  <c r="D9"/>
  <c r="P9" s="1"/>
  <c r="E9"/>
  <c r="I9"/>
  <c r="Q9" s="1"/>
  <c r="J9"/>
  <c r="K9"/>
  <c r="B10"/>
  <c r="D10"/>
  <c r="E10"/>
  <c r="I10"/>
  <c r="J10"/>
  <c r="K10"/>
  <c r="B11"/>
  <c r="N30" s="1"/>
  <c r="D11"/>
  <c r="E11"/>
  <c r="I11"/>
  <c r="J11"/>
  <c r="K11"/>
  <c r="B12"/>
  <c r="D12"/>
  <c r="P30" s="1"/>
  <c r="E12"/>
  <c r="I12"/>
  <c r="J12"/>
  <c r="K12"/>
  <c r="B13"/>
  <c r="D13"/>
  <c r="E13"/>
  <c r="I13"/>
  <c r="J13"/>
  <c r="K13"/>
  <c r="B14"/>
  <c r="D14"/>
  <c r="E14"/>
  <c r="F14"/>
  <c r="G14"/>
  <c r="H14"/>
  <c r="I14"/>
  <c r="J14"/>
  <c r="K14"/>
  <c r="B15"/>
  <c r="N34" s="1"/>
  <c r="D15"/>
  <c r="P33" s="1"/>
  <c r="E15"/>
  <c r="F15"/>
  <c r="G15"/>
  <c r="H15"/>
  <c r="I15"/>
  <c r="Q33" s="1"/>
  <c r="J15"/>
  <c r="K15"/>
  <c r="B16"/>
  <c r="N35" s="1"/>
  <c r="D16"/>
  <c r="P34" s="1"/>
  <c r="E16"/>
  <c r="F16"/>
  <c r="G16"/>
  <c r="H16"/>
  <c r="I16"/>
  <c r="J16"/>
  <c r="K16"/>
  <c r="B17"/>
  <c r="N36" s="1"/>
  <c r="D17"/>
  <c r="P35" s="1"/>
  <c r="E17"/>
  <c r="F17"/>
  <c r="G17"/>
  <c r="H17"/>
  <c r="I17"/>
  <c r="Q35" s="1"/>
  <c r="J17"/>
  <c r="K17"/>
  <c r="B18"/>
  <c r="N37" s="1"/>
  <c r="D18"/>
  <c r="P36" s="1"/>
  <c r="E18"/>
  <c r="F18"/>
  <c r="G18"/>
  <c r="H18"/>
  <c r="I18"/>
  <c r="Q36" s="1"/>
  <c r="J18"/>
  <c r="K18"/>
  <c r="B19"/>
  <c r="N38" s="1"/>
  <c r="D19"/>
  <c r="P37" s="1"/>
  <c r="E19"/>
  <c r="F19"/>
  <c r="G19"/>
  <c r="H19"/>
  <c r="I19"/>
  <c r="J19"/>
  <c r="K19"/>
  <c r="S19" s="1"/>
  <c r="B20"/>
  <c r="B27" s="1"/>
  <c r="D20"/>
  <c r="D27" s="1"/>
  <c r="E20"/>
  <c r="E27" s="1"/>
  <c r="F20"/>
  <c r="G20"/>
  <c r="H20"/>
  <c r="I20"/>
  <c r="I27" s="1"/>
  <c r="J20"/>
  <c r="K20"/>
  <c r="D4"/>
  <c r="E4"/>
  <c r="B4"/>
  <c r="S35" i="134"/>
  <c r="T26"/>
  <c r="S26"/>
  <c r="R26"/>
  <c r="Q26"/>
  <c r="P26"/>
  <c r="O26"/>
  <c r="N26"/>
  <c r="T25"/>
  <c r="S25"/>
  <c r="R25"/>
  <c r="Q25"/>
  <c r="P25"/>
  <c r="O25"/>
  <c r="N25"/>
  <c r="T8"/>
  <c r="S8"/>
  <c r="R8"/>
  <c r="Q8"/>
  <c r="P8"/>
  <c r="O8"/>
  <c r="N8"/>
  <c r="T38" i="133"/>
  <c r="T37"/>
  <c r="T36"/>
  <c r="S36"/>
  <c r="R36"/>
  <c r="T35"/>
  <c r="S35"/>
  <c r="R35"/>
  <c r="T34"/>
  <c r="S34"/>
  <c r="R34"/>
  <c r="T33"/>
  <c r="S33"/>
  <c r="R33"/>
  <c r="T32"/>
  <c r="S32"/>
  <c r="R32"/>
  <c r="T31"/>
  <c r="S31"/>
  <c r="R31"/>
  <c r="T30"/>
  <c r="S30"/>
  <c r="R30"/>
  <c r="T26"/>
  <c r="S26"/>
  <c r="R26"/>
  <c r="Q26"/>
  <c r="P26"/>
  <c r="O26"/>
  <c r="N26"/>
  <c r="T25"/>
  <c r="S25"/>
  <c r="R25"/>
  <c r="Q25"/>
  <c r="P25"/>
  <c r="O25"/>
  <c r="N25"/>
  <c r="T20"/>
  <c r="T19"/>
  <c r="T18"/>
  <c r="S18"/>
  <c r="R18"/>
  <c r="T17"/>
  <c r="S17"/>
  <c r="R17"/>
  <c r="T16"/>
  <c r="S16"/>
  <c r="R16"/>
  <c r="T15"/>
  <c r="S15"/>
  <c r="R15"/>
  <c r="T14"/>
  <c r="S14"/>
  <c r="R14"/>
  <c r="T13"/>
  <c r="S13"/>
  <c r="R13"/>
  <c r="T12"/>
  <c r="S12"/>
  <c r="R12"/>
  <c r="T11"/>
  <c r="S11"/>
  <c r="R11"/>
  <c r="T10"/>
  <c r="S10"/>
  <c r="R10"/>
  <c r="T9"/>
  <c r="S9"/>
  <c r="R9"/>
  <c r="T8"/>
  <c r="S8"/>
  <c r="R8"/>
  <c r="Q8"/>
  <c r="P8"/>
  <c r="O8"/>
  <c r="N8"/>
  <c r="C5" i="132"/>
  <c r="C5" i="134" s="1"/>
  <c r="C6" i="132"/>
  <c r="C6" i="134" s="1"/>
  <c r="C7" i="132"/>
  <c r="C8"/>
  <c r="O9" s="1"/>
  <c r="C9"/>
  <c r="C9" i="134" s="1"/>
  <c r="C10" i="132"/>
  <c r="C10" i="167" s="1"/>
  <c r="C11" i="132"/>
  <c r="C12"/>
  <c r="C12" i="167" s="1"/>
  <c r="C13" i="132"/>
  <c r="C13" i="134" s="1"/>
  <c r="C14" i="132"/>
  <c r="C15"/>
  <c r="C16"/>
  <c r="C16" i="134" s="1"/>
  <c r="C17" i="132"/>
  <c r="C17" i="134" s="1"/>
  <c r="O36" s="1"/>
  <c r="C18" i="132"/>
  <c r="C18" i="167" s="1"/>
  <c r="C19" i="132"/>
  <c r="C20"/>
  <c r="C4"/>
  <c r="C4" i="134" s="1"/>
  <c r="D24" i="132"/>
  <c r="E24"/>
  <c r="I24"/>
  <c r="J24"/>
  <c r="K24"/>
  <c r="D26"/>
  <c r="E26"/>
  <c r="I26"/>
  <c r="J26"/>
  <c r="K26"/>
  <c r="B26"/>
  <c r="D24" i="131"/>
  <c r="E24"/>
  <c r="D26"/>
  <c r="E26"/>
  <c r="I26"/>
  <c r="J26"/>
  <c r="K26"/>
  <c r="B26"/>
  <c r="B24"/>
  <c r="C5"/>
  <c r="C5" i="166" s="1"/>
  <c r="C6" i="131"/>
  <c r="C6" i="166" s="1"/>
  <c r="C7" i="131"/>
  <c r="C8"/>
  <c r="C8" i="133" s="1"/>
  <c r="C9" i="131"/>
  <c r="C9" i="166" s="1"/>
  <c r="C10" i="131"/>
  <c r="C10" i="166" s="1"/>
  <c r="C11" i="131"/>
  <c r="O31" s="1"/>
  <c r="C12"/>
  <c r="C12" i="133" s="1"/>
  <c r="O31" s="1"/>
  <c r="C13" i="131"/>
  <c r="C13" i="166" s="1"/>
  <c r="C14" i="131"/>
  <c r="C15"/>
  <c r="O35" s="1"/>
  <c r="C16"/>
  <c r="C16" i="166" s="1"/>
  <c r="C17" i="131"/>
  <c r="C17" i="133" s="1"/>
  <c r="C18" i="131"/>
  <c r="C18" i="166" s="1"/>
  <c r="C19" i="131"/>
  <c r="O39" s="1"/>
  <c r="C20"/>
  <c r="B24" i="132"/>
  <c r="T39"/>
  <c r="S39"/>
  <c r="R39"/>
  <c r="Q39"/>
  <c r="P39"/>
  <c r="N39"/>
  <c r="T38"/>
  <c r="S38"/>
  <c r="R38"/>
  <c r="Q38"/>
  <c r="P38"/>
  <c r="N38"/>
  <c r="T37"/>
  <c r="S37"/>
  <c r="R37"/>
  <c r="Q37"/>
  <c r="P37"/>
  <c r="N37"/>
  <c r="T36"/>
  <c r="S36"/>
  <c r="R36"/>
  <c r="Q36"/>
  <c r="P36"/>
  <c r="N36"/>
  <c r="T35"/>
  <c r="S35"/>
  <c r="R35"/>
  <c r="Q35"/>
  <c r="P35"/>
  <c r="N35"/>
  <c r="T34"/>
  <c r="S34"/>
  <c r="R34"/>
  <c r="Q34"/>
  <c r="P34"/>
  <c r="N34"/>
  <c r="T33"/>
  <c r="S33"/>
  <c r="R33"/>
  <c r="Q33"/>
  <c r="P33"/>
  <c r="N33"/>
  <c r="T32"/>
  <c r="S32"/>
  <c r="R32"/>
  <c r="Q32"/>
  <c r="P32"/>
  <c r="N32"/>
  <c r="T31"/>
  <c r="S31"/>
  <c r="R31"/>
  <c r="Q31"/>
  <c r="P31"/>
  <c r="N31"/>
  <c r="T26"/>
  <c r="S26"/>
  <c r="R26"/>
  <c r="Q26"/>
  <c r="P26"/>
  <c r="O26"/>
  <c r="N26"/>
  <c r="T25"/>
  <c r="S25"/>
  <c r="R25"/>
  <c r="Q25"/>
  <c r="P25"/>
  <c r="O25"/>
  <c r="N25"/>
  <c r="T20"/>
  <c r="S20"/>
  <c r="R20"/>
  <c r="Q20"/>
  <c r="P20"/>
  <c r="N20"/>
  <c r="T19"/>
  <c r="S19"/>
  <c r="R19"/>
  <c r="Q19"/>
  <c r="P19"/>
  <c r="N19"/>
  <c r="T18"/>
  <c r="S18"/>
  <c r="R18"/>
  <c r="Q18"/>
  <c r="P18"/>
  <c r="N18"/>
  <c r="T17"/>
  <c r="S17"/>
  <c r="R17"/>
  <c r="Q17"/>
  <c r="P17"/>
  <c r="N17"/>
  <c r="T16"/>
  <c r="S16"/>
  <c r="R16"/>
  <c r="Q16"/>
  <c r="P16"/>
  <c r="N16"/>
  <c r="T15"/>
  <c r="S15"/>
  <c r="R15"/>
  <c r="Q15"/>
  <c r="P15"/>
  <c r="N15"/>
  <c r="T14"/>
  <c r="S14"/>
  <c r="R14"/>
  <c r="Q14"/>
  <c r="P14"/>
  <c r="N14"/>
  <c r="T13"/>
  <c r="S13"/>
  <c r="R13"/>
  <c r="Q13"/>
  <c r="P13"/>
  <c r="N13"/>
  <c r="O33"/>
  <c r="T12"/>
  <c r="S12"/>
  <c r="R12"/>
  <c r="Q12"/>
  <c r="P12"/>
  <c r="N12"/>
  <c r="T11"/>
  <c r="S11"/>
  <c r="R11"/>
  <c r="Q11"/>
  <c r="P11"/>
  <c r="N11"/>
  <c r="T10"/>
  <c r="S10"/>
  <c r="R10"/>
  <c r="Q10"/>
  <c r="P10"/>
  <c r="N10"/>
  <c r="T9"/>
  <c r="S9"/>
  <c r="R9"/>
  <c r="Q9"/>
  <c r="P9"/>
  <c r="N9"/>
  <c r="T8"/>
  <c r="S8"/>
  <c r="R8"/>
  <c r="Q8"/>
  <c r="P8"/>
  <c r="O8"/>
  <c r="N8"/>
  <c r="T39" i="131"/>
  <c r="S39"/>
  <c r="R39"/>
  <c r="Q39"/>
  <c r="P39"/>
  <c r="N39"/>
  <c r="T38"/>
  <c r="S38"/>
  <c r="R38"/>
  <c r="Q38"/>
  <c r="P38"/>
  <c r="N38"/>
  <c r="T37"/>
  <c r="S37"/>
  <c r="R37"/>
  <c r="Q37"/>
  <c r="P37"/>
  <c r="N37"/>
  <c r="T36"/>
  <c r="S36"/>
  <c r="R36"/>
  <c r="Q36"/>
  <c r="P36"/>
  <c r="N36"/>
  <c r="T35"/>
  <c r="S35"/>
  <c r="R35"/>
  <c r="Q35"/>
  <c r="P35"/>
  <c r="N35"/>
  <c r="T34"/>
  <c r="S34"/>
  <c r="R34"/>
  <c r="Q34"/>
  <c r="P34"/>
  <c r="N34"/>
  <c r="T33"/>
  <c r="S33"/>
  <c r="R33"/>
  <c r="Q33"/>
  <c r="P33"/>
  <c r="N33"/>
  <c r="T32"/>
  <c r="S32"/>
  <c r="R32"/>
  <c r="Q32"/>
  <c r="P32"/>
  <c r="N32"/>
  <c r="T31"/>
  <c r="S31"/>
  <c r="R31"/>
  <c r="Q31"/>
  <c r="P31"/>
  <c r="N31"/>
  <c r="T26"/>
  <c r="S26"/>
  <c r="R26"/>
  <c r="Q26"/>
  <c r="P26"/>
  <c r="O26"/>
  <c r="N26"/>
  <c r="T25"/>
  <c r="S25"/>
  <c r="R25"/>
  <c r="Q25"/>
  <c r="P25"/>
  <c r="O25"/>
  <c r="N25"/>
  <c r="T20"/>
  <c r="S20"/>
  <c r="R20"/>
  <c r="Q20"/>
  <c r="P20"/>
  <c r="N20"/>
  <c r="T19"/>
  <c r="S19"/>
  <c r="R19"/>
  <c r="Q19"/>
  <c r="P19"/>
  <c r="N19"/>
  <c r="T18"/>
  <c r="S18"/>
  <c r="R18"/>
  <c r="Q18"/>
  <c r="P18"/>
  <c r="N18"/>
  <c r="T17"/>
  <c r="S17"/>
  <c r="R17"/>
  <c r="Q17"/>
  <c r="P17"/>
  <c r="N17"/>
  <c r="T16"/>
  <c r="S16"/>
  <c r="R16"/>
  <c r="Q16"/>
  <c r="P16"/>
  <c r="N16"/>
  <c r="T15"/>
  <c r="S15"/>
  <c r="R15"/>
  <c r="Q15"/>
  <c r="P15"/>
  <c r="N15"/>
  <c r="T14"/>
  <c r="S14"/>
  <c r="R14"/>
  <c r="Q14"/>
  <c r="P14"/>
  <c r="N14"/>
  <c r="T13"/>
  <c r="S13"/>
  <c r="R13"/>
  <c r="Q13"/>
  <c r="P13"/>
  <c r="N13"/>
  <c r="T12"/>
  <c r="S12"/>
  <c r="R12"/>
  <c r="Q12"/>
  <c r="P12"/>
  <c r="N12"/>
  <c r="T11"/>
  <c r="S11"/>
  <c r="R11"/>
  <c r="Q11"/>
  <c r="P11"/>
  <c r="N11"/>
  <c r="T10"/>
  <c r="S10"/>
  <c r="R10"/>
  <c r="Q10"/>
  <c r="P10"/>
  <c r="N10"/>
  <c r="T9"/>
  <c r="S9"/>
  <c r="R9"/>
  <c r="Q9"/>
  <c r="P9"/>
  <c r="N9"/>
  <c r="T8"/>
  <c r="S8"/>
  <c r="R8"/>
  <c r="Q8"/>
  <c r="P8"/>
  <c r="O8"/>
  <c r="N8"/>
  <c r="K31" i="130"/>
  <c r="J31"/>
  <c r="I31"/>
  <c r="H31"/>
  <c r="G31"/>
  <c r="F31"/>
  <c r="E31"/>
  <c r="D31"/>
  <c r="B31"/>
  <c r="K30"/>
  <c r="J30"/>
  <c r="I30"/>
  <c r="H30"/>
  <c r="G30"/>
  <c r="F30"/>
  <c r="E30"/>
  <c r="D30"/>
  <c r="B30"/>
  <c r="K29"/>
  <c r="J29"/>
  <c r="I29"/>
  <c r="H29"/>
  <c r="G29"/>
  <c r="F29"/>
  <c r="E29"/>
  <c r="D29"/>
  <c r="B29"/>
  <c r="K28"/>
  <c r="J28"/>
  <c r="I28"/>
  <c r="AA18" s="1"/>
  <c r="H28"/>
  <c r="G28"/>
  <c r="F28"/>
  <c r="E28"/>
  <c r="Z18" s="1"/>
  <c r="D28"/>
  <c r="Y18" s="1"/>
  <c r="B28"/>
  <c r="K27"/>
  <c r="J27"/>
  <c r="I27"/>
  <c r="H27"/>
  <c r="G27"/>
  <c r="F27"/>
  <c r="E27"/>
  <c r="D27"/>
  <c r="B27"/>
  <c r="K26"/>
  <c r="J26"/>
  <c r="E26"/>
  <c r="D26"/>
  <c r="B26"/>
  <c r="K25"/>
  <c r="J25"/>
  <c r="E25"/>
  <c r="D25"/>
  <c r="B25"/>
  <c r="K24"/>
  <c r="J24"/>
  <c r="I24"/>
  <c r="R24" s="1"/>
  <c r="E24"/>
  <c r="D24"/>
  <c r="B24"/>
  <c r="K23"/>
  <c r="J23"/>
  <c r="I23"/>
  <c r="E23"/>
  <c r="D23"/>
  <c r="B23"/>
  <c r="K22"/>
  <c r="J22"/>
  <c r="I22"/>
  <c r="E22"/>
  <c r="D22"/>
  <c r="B22"/>
  <c r="K21"/>
  <c r="J21"/>
  <c r="I21"/>
  <c r="E21"/>
  <c r="D21"/>
  <c r="B21"/>
  <c r="K20"/>
  <c r="T45" s="1"/>
  <c r="J20"/>
  <c r="I20"/>
  <c r="E20"/>
  <c r="Q45" s="1"/>
  <c r="D20"/>
  <c r="P45" s="1"/>
  <c r="B20"/>
  <c r="N37" s="1"/>
  <c r="K19"/>
  <c r="J19"/>
  <c r="I19"/>
  <c r="E19"/>
  <c r="D19"/>
  <c r="B19"/>
  <c r="K18"/>
  <c r="J18"/>
  <c r="I18"/>
  <c r="E18"/>
  <c r="D18"/>
  <c r="B18"/>
  <c r="K17"/>
  <c r="J17"/>
  <c r="I17"/>
  <c r="AA19" s="1"/>
  <c r="E17"/>
  <c r="Z19" s="1"/>
  <c r="D17"/>
  <c r="Y19" s="1"/>
  <c r="B17"/>
  <c r="W19" s="1"/>
  <c r="J16"/>
  <c r="D16"/>
  <c r="B16"/>
  <c r="J15"/>
  <c r="D15"/>
  <c r="B15"/>
  <c r="J14"/>
  <c r="D14"/>
  <c r="B14"/>
  <c r="K13"/>
  <c r="J13"/>
  <c r="I13"/>
  <c r="D13"/>
  <c r="B13"/>
  <c r="K12"/>
  <c r="J12"/>
  <c r="I12"/>
  <c r="D12"/>
  <c r="B12"/>
  <c r="J11"/>
  <c r="E11"/>
  <c r="D11"/>
  <c r="B11"/>
  <c r="K10"/>
  <c r="J10"/>
  <c r="I10"/>
  <c r="D10"/>
  <c r="B10"/>
  <c r="K9"/>
  <c r="J9"/>
  <c r="I9"/>
  <c r="D9"/>
  <c r="B9"/>
  <c r="K8"/>
  <c r="J8"/>
  <c r="I8"/>
  <c r="D8"/>
  <c r="B8"/>
  <c r="K7"/>
  <c r="J7"/>
  <c r="I7"/>
  <c r="E7"/>
  <c r="D7"/>
  <c r="B7"/>
  <c r="K6"/>
  <c r="J6"/>
  <c r="I6"/>
  <c r="D6"/>
  <c r="B6"/>
  <c r="K5"/>
  <c r="J5"/>
  <c r="I5"/>
  <c r="E5"/>
  <c r="D5"/>
  <c r="B5"/>
  <c r="K4"/>
  <c r="J4"/>
  <c r="I4"/>
  <c r="E4"/>
  <c r="D4"/>
  <c r="B4"/>
  <c r="K31" i="129"/>
  <c r="J31"/>
  <c r="I31"/>
  <c r="H31"/>
  <c r="G31"/>
  <c r="F31"/>
  <c r="E31"/>
  <c r="D31"/>
  <c r="B31"/>
  <c r="K30"/>
  <c r="J30"/>
  <c r="I30"/>
  <c r="H30"/>
  <c r="G30"/>
  <c r="F30"/>
  <c r="E30"/>
  <c r="D30"/>
  <c r="B30"/>
  <c r="K29"/>
  <c r="J29"/>
  <c r="I29"/>
  <c r="H29"/>
  <c r="G29"/>
  <c r="F29"/>
  <c r="E29"/>
  <c r="D29"/>
  <c r="B29"/>
  <c r="K28"/>
  <c r="J28"/>
  <c r="I28"/>
  <c r="AA18" s="1"/>
  <c r="H28"/>
  <c r="G28"/>
  <c r="F28"/>
  <c r="E28"/>
  <c r="D28"/>
  <c r="B28"/>
  <c r="K27"/>
  <c r="K37" s="1"/>
  <c r="J27"/>
  <c r="J37" s="1"/>
  <c r="I27"/>
  <c r="H27"/>
  <c r="G27"/>
  <c r="F27"/>
  <c r="E27"/>
  <c r="D27"/>
  <c r="B27"/>
  <c r="B37" s="1"/>
  <c r="K26"/>
  <c r="J26"/>
  <c r="I26"/>
  <c r="E26"/>
  <c r="D26"/>
  <c r="B26"/>
  <c r="K25"/>
  <c r="J25"/>
  <c r="I25"/>
  <c r="E25"/>
  <c r="D25"/>
  <c r="B25"/>
  <c r="K24"/>
  <c r="J24"/>
  <c r="I24"/>
  <c r="E24"/>
  <c r="D24"/>
  <c r="B24"/>
  <c r="K23"/>
  <c r="J23"/>
  <c r="I23"/>
  <c r="E23"/>
  <c r="D23"/>
  <c r="B23"/>
  <c r="K22"/>
  <c r="J22"/>
  <c r="I22"/>
  <c r="E22"/>
  <c r="D22"/>
  <c r="B22"/>
  <c r="K21"/>
  <c r="J21"/>
  <c r="I21"/>
  <c r="E21"/>
  <c r="D21"/>
  <c r="B21"/>
  <c r="K20"/>
  <c r="T37" s="1"/>
  <c r="J20"/>
  <c r="S44" s="1"/>
  <c r="I20"/>
  <c r="R45" s="1"/>
  <c r="E20"/>
  <c r="D20"/>
  <c r="P37" s="1"/>
  <c r="B20"/>
  <c r="N37" s="1"/>
  <c r="K19"/>
  <c r="J19"/>
  <c r="I19"/>
  <c r="E19"/>
  <c r="D19"/>
  <c r="B19"/>
  <c r="K18"/>
  <c r="J18"/>
  <c r="I18"/>
  <c r="E18"/>
  <c r="D18"/>
  <c r="B18"/>
  <c r="K17"/>
  <c r="J17"/>
  <c r="I17"/>
  <c r="AA19" s="1"/>
  <c r="E17"/>
  <c r="Z19" s="1"/>
  <c r="D17"/>
  <c r="B17"/>
  <c r="W19" s="1"/>
  <c r="J16"/>
  <c r="E16"/>
  <c r="D16"/>
  <c r="B16"/>
  <c r="J15"/>
  <c r="E15"/>
  <c r="D15"/>
  <c r="B15"/>
  <c r="J14"/>
  <c r="D14"/>
  <c r="B14"/>
  <c r="J13"/>
  <c r="E13"/>
  <c r="D13"/>
  <c r="B13"/>
  <c r="J12"/>
  <c r="E12"/>
  <c r="D12"/>
  <c r="B12"/>
  <c r="K11"/>
  <c r="J11"/>
  <c r="I11"/>
  <c r="E11"/>
  <c r="D11"/>
  <c r="B11"/>
  <c r="K10"/>
  <c r="J10"/>
  <c r="I10"/>
  <c r="E10"/>
  <c r="D10"/>
  <c r="B10"/>
  <c r="K9"/>
  <c r="J9"/>
  <c r="I9"/>
  <c r="E9"/>
  <c r="D9"/>
  <c r="B9"/>
  <c r="K8"/>
  <c r="J8"/>
  <c r="I8"/>
  <c r="E8"/>
  <c r="D8"/>
  <c r="B8"/>
  <c r="K7"/>
  <c r="J7"/>
  <c r="I7"/>
  <c r="E7"/>
  <c r="D7"/>
  <c r="B7"/>
  <c r="K6"/>
  <c r="J6"/>
  <c r="I6"/>
  <c r="E6"/>
  <c r="D6"/>
  <c r="B6"/>
  <c r="K5"/>
  <c r="J5"/>
  <c r="I5"/>
  <c r="E5"/>
  <c r="D5"/>
  <c r="B5"/>
  <c r="K4"/>
  <c r="J4"/>
  <c r="I4"/>
  <c r="E4"/>
  <c r="D4"/>
  <c r="B4"/>
  <c r="R32" i="130"/>
  <c r="S32"/>
  <c r="T32"/>
  <c r="Q32" i="129"/>
  <c r="R32"/>
  <c r="N32"/>
  <c r="B6" i="128"/>
  <c r="D6"/>
  <c r="E6"/>
  <c r="I6"/>
  <c r="J6"/>
  <c r="K6"/>
  <c r="L6"/>
  <c r="M6"/>
  <c r="N6"/>
  <c r="O6"/>
  <c r="S6"/>
  <c r="T6"/>
  <c r="U6"/>
  <c r="B7"/>
  <c r="D7"/>
  <c r="I7"/>
  <c r="J7"/>
  <c r="K7"/>
  <c r="L7"/>
  <c r="X7" s="1"/>
  <c r="N7"/>
  <c r="S7"/>
  <c r="T7"/>
  <c r="U7"/>
  <c r="B8"/>
  <c r="D8"/>
  <c r="E8"/>
  <c r="I8"/>
  <c r="J8"/>
  <c r="K8"/>
  <c r="L8"/>
  <c r="M8"/>
  <c r="N8"/>
  <c r="O8"/>
  <c r="S8"/>
  <c r="T8"/>
  <c r="U8"/>
  <c r="B9"/>
  <c r="D9"/>
  <c r="I9"/>
  <c r="J9"/>
  <c r="K9"/>
  <c r="L9"/>
  <c r="N9"/>
  <c r="S9"/>
  <c r="T9"/>
  <c r="U9"/>
  <c r="B10"/>
  <c r="D10"/>
  <c r="I10"/>
  <c r="J10"/>
  <c r="K10"/>
  <c r="L10"/>
  <c r="N10"/>
  <c r="S10"/>
  <c r="T10"/>
  <c r="U10"/>
  <c r="B11"/>
  <c r="D11"/>
  <c r="I11"/>
  <c r="J11"/>
  <c r="K11"/>
  <c r="L11"/>
  <c r="N11"/>
  <c r="S11"/>
  <c r="T11"/>
  <c r="U11"/>
  <c r="B12"/>
  <c r="D12"/>
  <c r="E12"/>
  <c r="J12"/>
  <c r="L12"/>
  <c r="M12"/>
  <c r="N12"/>
  <c r="O12"/>
  <c r="S12"/>
  <c r="T12"/>
  <c r="B13"/>
  <c r="D13"/>
  <c r="I13"/>
  <c r="J13"/>
  <c r="K13"/>
  <c r="L13"/>
  <c r="N13"/>
  <c r="S13"/>
  <c r="T13"/>
  <c r="U13"/>
  <c r="B14"/>
  <c r="D14"/>
  <c r="I14"/>
  <c r="J14"/>
  <c r="K14"/>
  <c r="L14"/>
  <c r="N14"/>
  <c r="S14"/>
  <c r="T14"/>
  <c r="U14"/>
  <c r="B15"/>
  <c r="D15"/>
  <c r="J15"/>
  <c r="L15"/>
  <c r="X15" s="1"/>
  <c r="N15"/>
  <c r="Z15" s="1"/>
  <c r="S15"/>
  <c r="T15"/>
  <c r="AC15" s="1"/>
  <c r="B16"/>
  <c r="D16"/>
  <c r="J16"/>
  <c r="L16"/>
  <c r="N16"/>
  <c r="S16"/>
  <c r="T16"/>
  <c r="B17"/>
  <c r="D17"/>
  <c r="J17"/>
  <c r="L17"/>
  <c r="N17"/>
  <c r="S17"/>
  <c r="T17"/>
  <c r="B18"/>
  <c r="D18"/>
  <c r="E18"/>
  <c r="I18"/>
  <c r="J18"/>
  <c r="K18"/>
  <c r="L18"/>
  <c r="M18"/>
  <c r="N18"/>
  <c r="O18"/>
  <c r="P18"/>
  <c r="Q18"/>
  <c r="R18"/>
  <c r="S18"/>
  <c r="T18"/>
  <c r="U18"/>
  <c r="B19"/>
  <c r="D19"/>
  <c r="E19"/>
  <c r="I19"/>
  <c r="J19"/>
  <c r="K19"/>
  <c r="L19"/>
  <c r="X19" s="1"/>
  <c r="M19"/>
  <c r="N19"/>
  <c r="O19"/>
  <c r="AA19" s="1"/>
  <c r="P19"/>
  <c r="Q19"/>
  <c r="R19"/>
  <c r="S19"/>
  <c r="AB19" s="1"/>
  <c r="T19"/>
  <c r="AC19" s="1"/>
  <c r="U19"/>
  <c r="B20"/>
  <c r="D20"/>
  <c r="E20"/>
  <c r="I20"/>
  <c r="J20"/>
  <c r="K20"/>
  <c r="L20"/>
  <c r="M20"/>
  <c r="N20"/>
  <c r="O20"/>
  <c r="AA20" s="1"/>
  <c r="P20"/>
  <c r="Q20"/>
  <c r="R20"/>
  <c r="S20"/>
  <c r="AB20" s="1"/>
  <c r="T20"/>
  <c r="U20"/>
  <c r="B21"/>
  <c r="D21"/>
  <c r="E21"/>
  <c r="I21"/>
  <c r="J21"/>
  <c r="K21"/>
  <c r="L21"/>
  <c r="M21"/>
  <c r="N21"/>
  <c r="AH44" s="1"/>
  <c r="O21"/>
  <c r="P21"/>
  <c r="Q21"/>
  <c r="R21"/>
  <c r="S21"/>
  <c r="T21"/>
  <c r="U21"/>
  <c r="B22"/>
  <c r="D22"/>
  <c r="E22"/>
  <c r="I22"/>
  <c r="J22"/>
  <c r="K22"/>
  <c r="L22"/>
  <c r="X22" s="1"/>
  <c r="M22"/>
  <c r="Y22" s="1"/>
  <c r="N22"/>
  <c r="O22"/>
  <c r="P22"/>
  <c r="Q22"/>
  <c r="R22"/>
  <c r="S22"/>
  <c r="T22"/>
  <c r="AC22" s="1"/>
  <c r="U22"/>
  <c r="AD22" s="1"/>
  <c r="B23"/>
  <c r="D23"/>
  <c r="E23"/>
  <c r="I23"/>
  <c r="J23"/>
  <c r="K23"/>
  <c r="L23"/>
  <c r="X23" s="1"/>
  <c r="M23"/>
  <c r="AG46" s="1"/>
  <c r="N23"/>
  <c r="O23"/>
  <c r="AA23" s="1"/>
  <c r="P23"/>
  <c r="Q23"/>
  <c r="R23"/>
  <c r="S23"/>
  <c r="T23"/>
  <c r="U23"/>
  <c r="AL46" s="1"/>
  <c r="B24"/>
  <c r="D24"/>
  <c r="E24"/>
  <c r="I24"/>
  <c r="J24"/>
  <c r="K24"/>
  <c r="L24"/>
  <c r="M24"/>
  <c r="AG47" s="1"/>
  <c r="N24"/>
  <c r="O24"/>
  <c r="P24"/>
  <c r="Q24"/>
  <c r="R24"/>
  <c r="S24"/>
  <c r="T24"/>
  <c r="AK47" s="1"/>
  <c r="U24"/>
  <c r="AL47" s="1"/>
  <c r="B25"/>
  <c r="D25"/>
  <c r="E25"/>
  <c r="I25"/>
  <c r="J25"/>
  <c r="K25"/>
  <c r="L25"/>
  <c r="M25"/>
  <c r="Y25" s="1"/>
  <c r="N25"/>
  <c r="Z25" s="1"/>
  <c r="O25"/>
  <c r="P25"/>
  <c r="Q25"/>
  <c r="R25"/>
  <c r="S25"/>
  <c r="T25"/>
  <c r="U25"/>
  <c r="B26"/>
  <c r="D26"/>
  <c r="E26"/>
  <c r="J26"/>
  <c r="K26"/>
  <c r="L26"/>
  <c r="M26"/>
  <c r="N26"/>
  <c r="O26"/>
  <c r="P26"/>
  <c r="Q26"/>
  <c r="R26"/>
  <c r="S26"/>
  <c r="T26"/>
  <c r="U26"/>
  <c r="B27"/>
  <c r="D27"/>
  <c r="E27"/>
  <c r="J27"/>
  <c r="K27"/>
  <c r="L27"/>
  <c r="M27"/>
  <c r="N27"/>
  <c r="O27"/>
  <c r="P27"/>
  <c r="Q27"/>
  <c r="R27"/>
  <c r="S27"/>
  <c r="T27"/>
  <c r="U27"/>
  <c r="B28"/>
  <c r="D28"/>
  <c r="D38" s="1"/>
  <c r="E28"/>
  <c r="E38" s="1"/>
  <c r="F28"/>
  <c r="F38" s="1"/>
  <c r="G28"/>
  <c r="G38" s="1"/>
  <c r="H28"/>
  <c r="H38" s="1"/>
  <c r="I28"/>
  <c r="I38" s="1"/>
  <c r="J28"/>
  <c r="K28"/>
  <c r="K38" s="1"/>
  <c r="L28"/>
  <c r="L38" s="1"/>
  <c r="M28"/>
  <c r="M38" s="1"/>
  <c r="N28"/>
  <c r="O28"/>
  <c r="O38" s="1"/>
  <c r="P28"/>
  <c r="P38" s="1"/>
  <c r="Q28"/>
  <c r="Q38" s="1"/>
  <c r="R28"/>
  <c r="S28"/>
  <c r="S38" s="1"/>
  <c r="T28"/>
  <c r="T38" s="1"/>
  <c r="U28"/>
  <c r="U38" s="1"/>
  <c r="B29"/>
  <c r="D29"/>
  <c r="E29"/>
  <c r="F29"/>
  <c r="G29"/>
  <c r="H29"/>
  <c r="I29"/>
  <c r="J29"/>
  <c r="K29"/>
  <c r="L29"/>
  <c r="M29"/>
  <c r="AH6" s="1"/>
  <c r="N29"/>
  <c r="O29"/>
  <c r="P29"/>
  <c r="Q29"/>
  <c r="R29"/>
  <c r="S29"/>
  <c r="T29"/>
  <c r="U29"/>
  <c r="AM6" s="1"/>
  <c r="B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B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B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L33"/>
  <c r="M33"/>
  <c r="N33"/>
  <c r="O33"/>
  <c r="P33"/>
  <c r="Q33"/>
  <c r="R33"/>
  <c r="S33"/>
  <c r="T33"/>
  <c r="U33"/>
  <c r="L34"/>
  <c r="L39" s="1"/>
  <c r="M34"/>
  <c r="M39" s="1"/>
  <c r="N34"/>
  <c r="O34"/>
  <c r="O39" s="1"/>
  <c r="P34"/>
  <c r="P39" s="1"/>
  <c r="Q34"/>
  <c r="Q39" s="1"/>
  <c r="R34"/>
  <c r="R39" s="1"/>
  <c r="S34"/>
  <c r="S39" s="1"/>
  <c r="T34"/>
  <c r="U34"/>
  <c r="M5"/>
  <c r="N5"/>
  <c r="O5"/>
  <c r="S5"/>
  <c r="T5"/>
  <c r="U5"/>
  <c r="L5"/>
  <c r="D5"/>
  <c r="E5"/>
  <c r="I5"/>
  <c r="J5"/>
  <c r="K5"/>
  <c r="B5"/>
  <c r="L6" i="127"/>
  <c r="M6"/>
  <c r="N6"/>
  <c r="O6"/>
  <c r="S6"/>
  <c r="T6"/>
  <c r="U6"/>
  <c r="L7"/>
  <c r="M7"/>
  <c r="N7"/>
  <c r="O7"/>
  <c r="S7"/>
  <c r="T7"/>
  <c r="U7"/>
  <c r="L8"/>
  <c r="M8"/>
  <c r="N8"/>
  <c r="O8"/>
  <c r="S8"/>
  <c r="T8"/>
  <c r="U8"/>
  <c r="L9"/>
  <c r="M9"/>
  <c r="N9"/>
  <c r="O9"/>
  <c r="S9"/>
  <c r="T9"/>
  <c r="U9"/>
  <c r="L10"/>
  <c r="M10"/>
  <c r="N10"/>
  <c r="O10"/>
  <c r="S10"/>
  <c r="T10"/>
  <c r="U10"/>
  <c r="L11"/>
  <c r="M11"/>
  <c r="N11"/>
  <c r="O11"/>
  <c r="S11"/>
  <c r="T11"/>
  <c r="U11"/>
  <c r="L12"/>
  <c r="M12"/>
  <c r="N12"/>
  <c r="O12"/>
  <c r="S12"/>
  <c r="T12"/>
  <c r="U12"/>
  <c r="L13"/>
  <c r="N13"/>
  <c r="O13"/>
  <c r="T13"/>
  <c r="L14"/>
  <c r="N14"/>
  <c r="Z14" s="1"/>
  <c r="O14"/>
  <c r="T14"/>
  <c r="L15"/>
  <c r="X15" s="1"/>
  <c r="N15"/>
  <c r="Z15" s="1"/>
  <c r="T15"/>
  <c r="L16"/>
  <c r="N16"/>
  <c r="O16"/>
  <c r="T16"/>
  <c r="AC16" s="1"/>
  <c r="L17"/>
  <c r="N17"/>
  <c r="O17"/>
  <c r="AA17" s="1"/>
  <c r="T17"/>
  <c r="L18"/>
  <c r="M18"/>
  <c r="N18"/>
  <c r="O18"/>
  <c r="P18"/>
  <c r="Q18"/>
  <c r="R18"/>
  <c r="S18"/>
  <c r="T18"/>
  <c r="U18"/>
  <c r="L19"/>
  <c r="M19"/>
  <c r="N19"/>
  <c r="O19"/>
  <c r="P19"/>
  <c r="Q19"/>
  <c r="R19"/>
  <c r="S19"/>
  <c r="T19"/>
  <c r="U19"/>
  <c r="L20"/>
  <c r="M20"/>
  <c r="N20"/>
  <c r="O20"/>
  <c r="P20"/>
  <c r="Q20"/>
  <c r="R20"/>
  <c r="S20"/>
  <c r="T20"/>
  <c r="U20"/>
  <c r="L21"/>
  <c r="M21"/>
  <c r="N21"/>
  <c r="O21"/>
  <c r="P21"/>
  <c r="Q21"/>
  <c r="R21"/>
  <c r="S21"/>
  <c r="T21"/>
  <c r="U21"/>
  <c r="L22"/>
  <c r="M22"/>
  <c r="N22"/>
  <c r="O22"/>
  <c r="P22"/>
  <c r="Q22"/>
  <c r="R22"/>
  <c r="S22"/>
  <c r="T22"/>
  <c r="U22"/>
  <c r="L23"/>
  <c r="M23"/>
  <c r="N23"/>
  <c r="O23"/>
  <c r="P23"/>
  <c r="Q23"/>
  <c r="R23"/>
  <c r="S23"/>
  <c r="T23"/>
  <c r="U23"/>
  <c r="L24"/>
  <c r="M24"/>
  <c r="N24"/>
  <c r="O24"/>
  <c r="P24"/>
  <c r="Q24"/>
  <c r="R24"/>
  <c r="S24"/>
  <c r="T24"/>
  <c r="U24"/>
  <c r="L25"/>
  <c r="AF47" s="1"/>
  <c r="M25"/>
  <c r="AG47" s="1"/>
  <c r="N25"/>
  <c r="AH47" s="1"/>
  <c r="O25"/>
  <c r="AI47" s="1"/>
  <c r="P25"/>
  <c r="Q25"/>
  <c r="R25"/>
  <c r="S25"/>
  <c r="AJ47" s="1"/>
  <c r="T25"/>
  <c r="U25"/>
  <c r="AL47" s="1"/>
  <c r="L26"/>
  <c r="M26"/>
  <c r="N26"/>
  <c r="O26"/>
  <c r="P26"/>
  <c r="Q26"/>
  <c r="R26"/>
  <c r="S26"/>
  <c r="T26"/>
  <c r="U26"/>
  <c r="L27"/>
  <c r="M27"/>
  <c r="N27"/>
  <c r="O27"/>
  <c r="P27"/>
  <c r="Q27"/>
  <c r="R27"/>
  <c r="S27"/>
  <c r="T27"/>
  <c r="U27"/>
  <c r="L28"/>
  <c r="M28"/>
  <c r="N28"/>
  <c r="N38" s="1"/>
  <c r="O28"/>
  <c r="O38" s="1"/>
  <c r="P28"/>
  <c r="Q28"/>
  <c r="R28"/>
  <c r="R38" s="1"/>
  <c r="S28"/>
  <c r="S38" s="1"/>
  <c r="T28"/>
  <c r="U28"/>
  <c r="L29"/>
  <c r="M29"/>
  <c r="N29"/>
  <c r="AI6" s="1"/>
  <c r="O29"/>
  <c r="AJ6" s="1"/>
  <c r="P29"/>
  <c r="Q29"/>
  <c r="R29"/>
  <c r="S29"/>
  <c r="T29"/>
  <c r="U29"/>
  <c r="L30"/>
  <c r="M30"/>
  <c r="N30"/>
  <c r="O30"/>
  <c r="P30"/>
  <c r="Q30"/>
  <c r="R30"/>
  <c r="S30"/>
  <c r="T30"/>
  <c r="U30"/>
  <c r="L31"/>
  <c r="M31"/>
  <c r="N31"/>
  <c r="O31"/>
  <c r="P31"/>
  <c r="Q31"/>
  <c r="R31"/>
  <c r="S31"/>
  <c r="T31"/>
  <c r="U31"/>
  <c r="L32"/>
  <c r="M32"/>
  <c r="N32"/>
  <c r="O32"/>
  <c r="P32"/>
  <c r="Q32"/>
  <c r="R32"/>
  <c r="S32"/>
  <c r="T32"/>
  <c r="U32"/>
  <c r="L33"/>
  <c r="AF49" s="1"/>
  <c r="M33"/>
  <c r="AG49" s="1"/>
  <c r="N33"/>
  <c r="AH49" s="1"/>
  <c r="O33"/>
  <c r="AI49" s="1"/>
  <c r="P33"/>
  <c r="Q33"/>
  <c r="R33"/>
  <c r="S33"/>
  <c r="T33"/>
  <c r="AK49" s="1"/>
  <c r="U33"/>
  <c r="AL49" s="1"/>
  <c r="L34"/>
  <c r="M34"/>
  <c r="N34"/>
  <c r="N39" s="1"/>
  <c r="O34"/>
  <c r="P34"/>
  <c r="P39" s="1"/>
  <c r="Q34"/>
  <c r="Q39" s="1"/>
  <c r="R34"/>
  <c r="R39" s="1"/>
  <c r="S34"/>
  <c r="S39" s="1"/>
  <c r="T34"/>
  <c r="U34"/>
  <c r="M5"/>
  <c r="N5"/>
  <c r="O5"/>
  <c r="S5"/>
  <c r="T5"/>
  <c r="U5"/>
  <c r="L5"/>
  <c r="K32"/>
  <c r="J32"/>
  <c r="I32"/>
  <c r="H32"/>
  <c r="G32"/>
  <c r="F32"/>
  <c r="E32"/>
  <c r="D32"/>
  <c r="B32"/>
  <c r="K31"/>
  <c r="J31"/>
  <c r="I31"/>
  <c r="H31"/>
  <c r="G31"/>
  <c r="F31"/>
  <c r="E31"/>
  <c r="D31"/>
  <c r="B31"/>
  <c r="K30"/>
  <c r="J30"/>
  <c r="I30"/>
  <c r="H30"/>
  <c r="G30"/>
  <c r="F30"/>
  <c r="E30"/>
  <c r="D30"/>
  <c r="B30"/>
  <c r="K29"/>
  <c r="J29"/>
  <c r="I29"/>
  <c r="H29"/>
  <c r="G29"/>
  <c r="F29"/>
  <c r="E29"/>
  <c r="D29"/>
  <c r="B29"/>
  <c r="K28"/>
  <c r="J28"/>
  <c r="J38" s="1"/>
  <c r="I28"/>
  <c r="I38" s="1"/>
  <c r="H28"/>
  <c r="G28"/>
  <c r="F28"/>
  <c r="E28"/>
  <c r="E38" s="1"/>
  <c r="D28"/>
  <c r="B28"/>
  <c r="K27"/>
  <c r="J27"/>
  <c r="I27"/>
  <c r="E27"/>
  <c r="D27"/>
  <c r="B27"/>
  <c r="K26"/>
  <c r="J26"/>
  <c r="I26"/>
  <c r="E26"/>
  <c r="D26"/>
  <c r="B26"/>
  <c r="K25"/>
  <c r="J25"/>
  <c r="I25"/>
  <c r="E25"/>
  <c r="D25"/>
  <c r="B25"/>
  <c r="K24"/>
  <c r="J24"/>
  <c r="I24"/>
  <c r="E24"/>
  <c r="D24"/>
  <c r="B24"/>
  <c r="K23"/>
  <c r="J23"/>
  <c r="I23"/>
  <c r="E23"/>
  <c r="D23"/>
  <c r="B23"/>
  <c r="K22"/>
  <c r="J22"/>
  <c r="I22"/>
  <c r="E22"/>
  <c r="D22"/>
  <c r="B22"/>
  <c r="K21"/>
  <c r="J21"/>
  <c r="I21"/>
  <c r="E21"/>
  <c r="D21"/>
  <c r="B21"/>
  <c r="K20"/>
  <c r="J20"/>
  <c r="I20"/>
  <c r="E20"/>
  <c r="D20"/>
  <c r="B20"/>
  <c r="K19"/>
  <c r="J19"/>
  <c r="I19"/>
  <c r="E19"/>
  <c r="D19"/>
  <c r="B19"/>
  <c r="K18"/>
  <c r="J18"/>
  <c r="I18"/>
  <c r="E18"/>
  <c r="D18"/>
  <c r="B18"/>
  <c r="J17"/>
  <c r="E17"/>
  <c r="D17"/>
  <c r="B17"/>
  <c r="J16"/>
  <c r="E16"/>
  <c r="D16"/>
  <c r="B16"/>
  <c r="J15"/>
  <c r="D15"/>
  <c r="B15"/>
  <c r="J14"/>
  <c r="E14"/>
  <c r="D14"/>
  <c r="B14"/>
  <c r="J13"/>
  <c r="E13"/>
  <c r="D13"/>
  <c r="B13"/>
  <c r="K12"/>
  <c r="J12"/>
  <c r="I12"/>
  <c r="E12"/>
  <c r="D12"/>
  <c r="B12"/>
  <c r="K11"/>
  <c r="J11"/>
  <c r="I11"/>
  <c r="E11"/>
  <c r="D11"/>
  <c r="B11"/>
  <c r="K10"/>
  <c r="J10"/>
  <c r="I10"/>
  <c r="E10"/>
  <c r="D10"/>
  <c r="B10"/>
  <c r="K9"/>
  <c r="J9"/>
  <c r="I9"/>
  <c r="E9"/>
  <c r="D9"/>
  <c r="B9"/>
  <c r="K8"/>
  <c r="J8"/>
  <c r="I8"/>
  <c r="E8"/>
  <c r="D8"/>
  <c r="B8"/>
  <c r="K7"/>
  <c r="J7"/>
  <c r="I7"/>
  <c r="E7"/>
  <c r="D7"/>
  <c r="B7"/>
  <c r="K6"/>
  <c r="J6"/>
  <c r="I6"/>
  <c r="E6"/>
  <c r="D6"/>
  <c r="B6"/>
  <c r="K5"/>
  <c r="J5"/>
  <c r="I5"/>
  <c r="E5"/>
  <c r="D5"/>
  <c r="B5"/>
  <c r="D20" i="126"/>
  <c r="F20"/>
  <c r="G20"/>
  <c r="H20"/>
  <c r="I20"/>
  <c r="J20"/>
  <c r="K20"/>
  <c r="L20"/>
  <c r="M20"/>
  <c r="N20"/>
  <c r="D21"/>
  <c r="F21"/>
  <c r="G21"/>
  <c r="H21"/>
  <c r="I21"/>
  <c r="J21"/>
  <c r="K21"/>
  <c r="L21"/>
  <c r="M21"/>
  <c r="N21"/>
  <c r="C22"/>
  <c r="D22"/>
  <c r="F22"/>
  <c r="G22"/>
  <c r="H22"/>
  <c r="I22"/>
  <c r="J22"/>
  <c r="K22"/>
  <c r="L22"/>
  <c r="M22"/>
  <c r="N22"/>
  <c r="B22"/>
  <c r="B21"/>
  <c r="B20"/>
  <c r="C5"/>
  <c r="C6"/>
  <c r="C7"/>
  <c r="C7" i="138" s="1"/>
  <c r="C8" i="126"/>
  <c r="C8" i="138" s="1"/>
  <c r="R9" s="1"/>
  <c r="C9" i="126"/>
  <c r="C9" i="138" s="1"/>
  <c r="R27" s="1"/>
  <c r="C10" i="126"/>
  <c r="C20" s="1"/>
  <c r="C11"/>
  <c r="C11" i="138" s="1"/>
  <c r="C12" i="126"/>
  <c r="C12" i="138" s="1"/>
  <c r="C13" i="126"/>
  <c r="C13" i="138" s="1"/>
  <c r="R31" s="1"/>
  <c r="C14" i="126"/>
  <c r="C14" i="138" s="1"/>
  <c r="R32" s="1"/>
  <c r="C15" i="126"/>
  <c r="C15" i="138" s="1"/>
  <c r="C16" i="126"/>
  <c r="C16" i="138" s="1"/>
  <c r="C4" i="126"/>
  <c r="C4" i="138" s="1"/>
  <c r="D20" i="125"/>
  <c r="G20"/>
  <c r="H20"/>
  <c r="I20"/>
  <c r="J20"/>
  <c r="K20"/>
  <c r="L20"/>
  <c r="M20"/>
  <c r="N20"/>
  <c r="D21"/>
  <c r="E21"/>
  <c r="G21"/>
  <c r="H21"/>
  <c r="I21"/>
  <c r="J21"/>
  <c r="K21"/>
  <c r="L21"/>
  <c r="M21"/>
  <c r="N21"/>
  <c r="D22"/>
  <c r="G22"/>
  <c r="H22"/>
  <c r="I22"/>
  <c r="J22"/>
  <c r="K22"/>
  <c r="L22"/>
  <c r="M22"/>
  <c r="N22"/>
  <c r="B22"/>
  <c r="B21"/>
  <c r="B20"/>
  <c r="G25" i="79"/>
  <c r="H25"/>
  <c r="I25"/>
  <c r="J25"/>
  <c r="K25"/>
  <c r="D26"/>
  <c r="G26"/>
  <c r="I26"/>
  <c r="J26"/>
  <c r="K26"/>
  <c r="N26"/>
  <c r="B26"/>
  <c r="D25" i="77"/>
  <c r="G25"/>
  <c r="H25"/>
  <c r="I25"/>
  <c r="J25"/>
  <c r="K25"/>
  <c r="L25"/>
  <c r="M25"/>
  <c r="N25"/>
  <c r="D26"/>
  <c r="G26"/>
  <c r="H26"/>
  <c r="I26"/>
  <c r="J26"/>
  <c r="K26"/>
  <c r="L26"/>
  <c r="M26"/>
  <c r="N26"/>
  <c r="B26"/>
  <c r="B25"/>
  <c r="B38" i="4"/>
  <c r="B38" i="3"/>
  <c r="L39" i="1"/>
  <c r="M39"/>
  <c r="N39"/>
  <c r="O39"/>
  <c r="P39"/>
  <c r="Q39"/>
  <c r="R39"/>
  <c r="S39"/>
  <c r="T39"/>
  <c r="U39"/>
  <c r="C5" i="125"/>
  <c r="R23" s="1"/>
  <c r="C6"/>
  <c r="R24" s="1"/>
  <c r="C7"/>
  <c r="R25" s="1"/>
  <c r="C8"/>
  <c r="R26" s="1"/>
  <c r="C9"/>
  <c r="C9" i="137" s="1"/>
  <c r="R27" s="1"/>
  <c r="C10" i="125"/>
  <c r="C10" i="137" s="1"/>
  <c r="C11" i="125"/>
  <c r="C12"/>
  <c r="C12" i="137" s="1"/>
  <c r="C13" i="125"/>
  <c r="R31" s="1"/>
  <c r="C14"/>
  <c r="C14" i="137" s="1"/>
  <c r="C15" i="125"/>
  <c r="C15" i="137" s="1"/>
  <c r="C16" i="125"/>
  <c r="C16" i="137" s="1"/>
  <c r="C21" s="1"/>
  <c r="C4" i="125"/>
  <c r="R6" s="1"/>
  <c r="U33" i="126"/>
  <c r="Q33"/>
  <c r="W31"/>
  <c r="V31"/>
  <c r="S31"/>
  <c r="U29"/>
  <c r="Q29"/>
  <c r="W27"/>
  <c r="V27"/>
  <c r="S27"/>
  <c r="U25"/>
  <c r="Q25"/>
  <c r="W23"/>
  <c r="V23"/>
  <c r="S23"/>
  <c r="U15"/>
  <c r="Q15"/>
  <c r="W16"/>
  <c r="V33"/>
  <c r="S16"/>
  <c r="W14"/>
  <c r="S14"/>
  <c r="V15"/>
  <c r="U32"/>
  <c r="Q32"/>
  <c r="U13"/>
  <c r="Q13"/>
  <c r="W15"/>
  <c r="U31"/>
  <c r="T31"/>
  <c r="S15"/>
  <c r="Q31"/>
  <c r="W12"/>
  <c r="S12"/>
  <c r="W30"/>
  <c r="V13"/>
  <c r="U14"/>
  <c r="T30"/>
  <c r="S30"/>
  <c r="Q30"/>
  <c r="U11"/>
  <c r="Q11"/>
  <c r="W29"/>
  <c r="V29"/>
  <c r="T12"/>
  <c r="S29"/>
  <c r="W10"/>
  <c r="S10"/>
  <c r="V11"/>
  <c r="U28"/>
  <c r="Q28"/>
  <c r="U9"/>
  <c r="Q9"/>
  <c r="W11"/>
  <c r="U27"/>
  <c r="T27"/>
  <c r="S11"/>
  <c r="Q27"/>
  <c r="W8"/>
  <c r="S8"/>
  <c r="W26"/>
  <c r="V9"/>
  <c r="U10"/>
  <c r="T26"/>
  <c r="S26"/>
  <c r="Q26"/>
  <c r="U7"/>
  <c r="Q7"/>
  <c r="W25"/>
  <c r="V25"/>
  <c r="T8"/>
  <c r="S25"/>
  <c r="W6"/>
  <c r="S6"/>
  <c r="V7"/>
  <c r="U24"/>
  <c r="Q24"/>
  <c r="U5"/>
  <c r="Q5"/>
  <c r="W7"/>
  <c r="U23"/>
  <c r="T23"/>
  <c r="S7"/>
  <c r="Q23"/>
  <c r="W4"/>
  <c r="S4"/>
  <c r="W22"/>
  <c r="V5"/>
  <c r="U6"/>
  <c r="T22"/>
  <c r="S22"/>
  <c r="Q22"/>
  <c r="W32"/>
  <c r="V21"/>
  <c r="U21"/>
  <c r="T4"/>
  <c r="S24"/>
  <c r="Q21"/>
  <c r="W20"/>
  <c r="U20"/>
  <c r="T20"/>
  <c r="S20"/>
  <c r="Q4"/>
  <c r="W33" i="125"/>
  <c r="V33"/>
  <c r="U33"/>
  <c r="T33"/>
  <c r="S33"/>
  <c r="Q33"/>
  <c r="W32"/>
  <c r="V32"/>
  <c r="U32"/>
  <c r="T32"/>
  <c r="S32"/>
  <c r="Q32"/>
  <c r="W31"/>
  <c r="V31"/>
  <c r="U31"/>
  <c r="T31"/>
  <c r="S31"/>
  <c r="Q31"/>
  <c r="W30"/>
  <c r="V30"/>
  <c r="U30"/>
  <c r="T30"/>
  <c r="S30"/>
  <c r="Q30"/>
  <c r="W29"/>
  <c r="V29"/>
  <c r="U29"/>
  <c r="T29"/>
  <c r="S29"/>
  <c r="Q29"/>
  <c r="W28"/>
  <c r="V28"/>
  <c r="U28"/>
  <c r="T28"/>
  <c r="S28"/>
  <c r="Q28"/>
  <c r="W27"/>
  <c r="V27"/>
  <c r="U27"/>
  <c r="T27"/>
  <c r="S27"/>
  <c r="Q27"/>
  <c r="W26"/>
  <c r="V26"/>
  <c r="U26"/>
  <c r="T26"/>
  <c r="S26"/>
  <c r="Q26"/>
  <c r="W25"/>
  <c r="V25"/>
  <c r="U25"/>
  <c r="T25"/>
  <c r="S25"/>
  <c r="Q25"/>
  <c r="W24"/>
  <c r="V24"/>
  <c r="U24"/>
  <c r="T24"/>
  <c r="S24"/>
  <c r="Q24"/>
  <c r="W23"/>
  <c r="V23"/>
  <c r="U23"/>
  <c r="T23"/>
  <c r="S23"/>
  <c r="Q23"/>
  <c r="W22"/>
  <c r="V22"/>
  <c r="U22"/>
  <c r="T22"/>
  <c r="S22"/>
  <c r="Q22"/>
  <c r="W21"/>
  <c r="V21"/>
  <c r="U21"/>
  <c r="T21"/>
  <c r="S21"/>
  <c r="Q21"/>
  <c r="W20"/>
  <c r="V20"/>
  <c r="U20"/>
  <c r="T20"/>
  <c r="S20"/>
  <c r="Q20"/>
  <c r="W16"/>
  <c r="V16"/>
  <c r="U16"/>
  <c r="T16"/>
  <c r="S16"/>
  <c r="Q16"/>
  <c r="W15"/>
  <c r="V15"/>
  <c r="U15"/>
  <c r="T15"/>
  <c r="S15"/>
  <c r="Q15"/>
  <c r="W14"/>
  <c r="V14"/>
  <c r="U14"/>
  <c r="T14"/>
  <c r="S14"/>
  <c r="Q14"/>
  <c r="W13"/>
  <c r="V13"/>
  <c r="U13"/>
  <c r="T13"/>
  <c r="S13"/>
  <c r="Q13"/>
  <c r="W12"/>
  <c r="V12"/>
  <c r="U12"/>
  <c r="T12"/>
  <c r="S12"/>
  <c r="Q12"/>
  <c r="W11"/>
  <c r="V11"/>
  <c r="U11"/>
  <c r="T11"/>
  <c r="S11"/>
  <c r="Q11"/>
  <c r="W10"/>
  <c r="V10"/>
  <c r="U10"/>
  <c r="T10"/>
  <c r="S10"/>
  <c r="Q10"/>
  <c r="W9"/>
  <c r="V9"/>
  <c r="U9"/>
  <c r="T9"/>
  <c r="S9"/>
  <c r="Q9"/>
  <c r="W8"/>
  <c r="V8"/>
  <c r="U8"/>
  <c r="T8"/>
  <c r="S8"/>
  <c r="Q8"/>
  <c r="W7"/>
  <c r="V7"/>
  <c r="U7"/>
  <c r="T7"/>
  <c r="S7"/>
  <c r="Q7"/>
  <c r="W6"/>
  <c r="V6"/>
  <c r="U6"/>
  <c r="T6"/>
  <c r="S6"/>
  <c r="Q6"/>
  <c r="W5"/>
  <c r="V5"/>
  <c r="U5"/>
  <c r="T5"/>
  <c r="S5"/>
  <c r="Q5"/>
  <c r="W4"/>
  <c r="V4"/>
  <c r="U4"/>
  <c r="T4"/>
  <c r="S4"/>
  <c r="R4"/>
  <c r="Q4"/>
  <c r="R20"/>
  <c r="G24" i="79"/>
  <c r="I24"/>
  <c r="J24"/>
  <c r="K24"/>
  <c r="N24"/>
  <c r="G27"/>
  <c r="I27"/>
  <c r="J27"/>
  <c r="K27"/>
  <c r="N27"/>
  <c r="G24" i="77"/>
  <c r="H24"/>
  <c r="I24"/>
  <c r="J24"/>
  <c r="K24"/>
  <c r="L24"/>
  <c r="M24"/>
  <c r="N24"/>
  <c r="G27"/>
  <c r="H27"/>
  <c r="I27"/>
  <c r="J27"/>
  <c r="K27"/>
  <c r="L27"/>
  <c r="M27"/>
  <c r="N27"/>
  <c r="L65" i="124"/>
  <c r="L62"/>
  <c r="L61"/>
  <c r="O60" i="123"/>
  <c r="O61"/>
  <c r="O62"/>
  <c r="O65"/>
  <c r="B37" i="1"/>
  <c r="D37"/>
  <c r="E37"/>
  <c r="I37"/>
  <c r="J37"/>
  <c r="K37"/>
  <c r="L37"/>
  <c r="M37"/>
  <c r="O37"/>
  <c r="S37"/>
  <c r="T37"/>
  <c r="U37"/>
  <c r="N37"/>
  <c r="B5" i="6"/>
  <c r="B5" i="164" s="1"/>
  <c r="C5" i="6"/>
  <c r="D5"/>
  <c r="E5"/>
  <c r="I5"/>
  <c r="I5" i="164" s="1"/>
  <c r="J5" i="6"/>
  <c r="K5"/>
  <c r="B6"/>
  <c r="C6"/>
  <c r="D6"/>
  <c r="E6"/>
  <c r="I6"/>
  <c r="J6"/>
  <c r="K6"/>
  <c r="B7"/>
  <c r="B7" i="164" s="1"/>
  <c r="C7" i="6"/>
  <c r="D7"/>
  <c r="E7"/>
  <c r="I7"/>
  <c r="J7"/>
  <c r="K7"/>
  <c r="B8"/>
  <c r="B8" i="164" s="1"/>
  <c r="C8" i="6"/>
  <c r="D8"/>
  <c r="E8"/>
  <c r="I8"/>
  <c r="J8"/>
  <c r="K8"/>
  <c r="B9"/>
  <c r="B9" i="164" s="1"/>
  <c r="C9" i="6"/>
  <c r="D9"/>
  <c r="E9"/>
  <c r="I9"/>
  <c r="I9" i="164" s="1"/>
  <c r="J9" i="6"/>
  <c r="K9"/>
  <c r="B10"/>
  <c r="C10"/>
  <c r="D10"/>
  <c r="E10"/>
  <c r="I10"/>
  <c r="J10"/>
  <c r="K10"/>
  <c r="B11"/>
  <c r="B11" i="164" s="1"/>
  <c r="N31" s="1"/>
  <c r="C11" i="6"/>
  <c r="D11"/>
  <c r="E11"/>
  <c r="I11"/>
  <c r="J11"/>
  <c r="K11"/>
  <c r="B12"/>
  <c r="B12" i="164" s="1"/>
  <c r="C12" i="6"/>
  <c r="D12"/>
  <c r="E12"/>
  <c r="I12"/>
  <c r="J12"/>
  <c r="K12"/>
  <c r="B13"/>
  <c r="C13"/>
  <c r="D13"/>
  <c r="E13"/>
  <c r="I13"/>
  <c r="J13"/>
  <c r="K13"/>
  <c r="B14"/>
  <c r="C14"/>
  <c r="D14"/>
  <c r="E14"/>
  <c r="F14"/>
  <c r="G14"/>
  <c r="H14"/>
  <c r="H14" i="169" s="1"/>
  <c r="I14" i="6"/>
  <c r="J14"/>
  <c r="J25" s="1"/>
  <c r="K14"/>
  <c r="K25" s="1"/>
  <c r="B15"/>
  <c r="B15" i="164" s="1"/>
  <c r="C15" i="6"/>
  <c r="D15"/>
  <c r="E15"/>
  <c r="F15"/>
  <c r="G15"/>
  <c r="H15"/>
  <c r="I15"/>
  <c r="J15"/>
  <c r="K15"/>
  <c r="B16"/>
  <c r="C16"/>
  <c r="C16" i="169" s="1"/>
  <c r="D16" i="6"/>
  <c r="D16" i="169" s="1"/>
  <c r="E16" i="6"/>
  <c r="E16" i="169" s="1"/>
  <c r="F16" i="6"/>
  <c r="G16"/>
  <c r="G16" i="169" s="1"/>
  <c r="H16" i="6"/>
  <c r="H16" i="169" s="1"/>
  <c r="I16" i="6"/>
  <c r="I16" i="169" s="1"/>
  <c r="J16" i="6"/>
  <c r="K16"/>
  <c r="K16" i="169" s="1"/>
  <c r="B17" i="6"/>
  <c r="B17" i="164" s="1"/>
  <c r="C17" i="6"/>
  <c r="D17"/>
  <c r="E17"/>
  <c r="F17"/>
  <c r="F17" i="164" s="1"/>
  <c r="G17" i="6"/>
  <c r="H17"/>
  <c r="I17"/>
  <c r="J17"/>
  <c r="J17" i="164" s="1"/>
  <c r="K17" i="6"/>
  <c r="B18"/>
  <c r="C18"/>
  <c r="C18" i="169" s="1"/>
  <c r="D18" i="6"/>
  <c r="E18"/>
  <c r="E18" i="169" s="1"/>
  <c r="F18" i="6"/>
  <c r="G18"/>
  <c r="G18" i="169" s="1"/>
  <c r="H18" i="6"/>
  <c r="H18" i="169" s="1"/>
  <c r="I18" i="6"/>
  <c r="R35" s="1"/>
  <c r="J18"/>
  <c r="K18"/>
  <c r="K18" i="169" s="1"/>
  <c r="B19" i="6"/>
  <c r="C19"/>
  <c r="D19"/>
  <c r="E19"/>
  <c r="F19"/>
  <c r="G19"/>
  <c r="H19"/>
  <c r="I19"/>
  <c r="J19"/>
  <c r="J19" i="164" s="1"/>
  <c r="K19" i="6"/>
  <c r="B20"/>
  <c r="C20"/>
  <c r="D20"/>
  <c r="E20"/>
  <c r="F20"/>
  <c r="G20"/>
  <c r="H20"/>
  <c r="I20"/>
  <c r="J20"/>
  <c r="J27" s="1"/>
  <c r="K20"/>
  <c r="I4"/>
  <c r="J4"/>
  <c r="K4"/>
  <c r="C4"/>
  <c r="D4"/>
  <c r="D4" i="169" s="1"/>
  <c r="E4" i="6"/>
  <c r="E4" i="169" s="1"/>
  <c r="B4" i="6"/>
  <c r="B5" i="5"/>
  <c r="C5"/>
  <c r="D5"/>
  <c r="E5"/>
  <c r="I5"/>
  <c r="J5"/>
  <c r="K5"/>
  <c r="B6"/>
  <c r="C6"/>
  <c r="D6"/>
  <c r="E6"/>
  <c r="I6"/>
  <c r="J6"/>
  <c r="K6"/>
  <c r="B7"/>
  <c r="C7"/>
  <c r="D7"/>
  <c r="E7"/>
  <c r="I7"/>
  <c r="R26" s="1"/>
  <c r="J7"/>
  <c r="K7"/>
  <c r="B8"/>
  <c r="C8"/>
  <c r="D8"/>
  <c r="E8"/>
  <c r="I8"/>
  <c r="J8"/>
  <c r="K8"/>
  <c r="B9"/>
  <c r="C9"/>
  <c r="D9"/>
  <c r="E9"/>
  <c r="I9"/>
  <c r="J9"/>
  <c r="K9"/>
  <c r="B10"/>
  <c r="C10"/>
  <c r="D10"/>
  <c r="E10"/>
  <c r="I10"/>
  <c r="I10" i="163" s="1"/>
  <c r="J10" i="5"/>
  <c r="K10"/>
  <c r="B11"/>
  <c r="C11"/>
  <c r="D11"/>
  <c r="E11"/>
  <c r="I11"/>
  <c r="J11"/>
  <c r="K11"/>
  <c r="B12"/>
  <c r="C12"/>
  <c r="D12"/>
  <c r="E12"/>
  <c r="I12"/>
  <c r="J12"/>
  <c r="K12"/>
  <c r="B13"/>
  <c r="C13"/>
  <c r="D13"/>
  <c r="E13"/>
  <c r="I13"/>
  <c r="J13"/>
  <c r="K13"/>
  <c r="B14"/>
  <c r="C14"/>
  <c r="D14"/>
  <c r="E14"/>
  <c r="E25" s="1"/>
  <c r="F14" i="163"/>
  <c r="G14" i="168"/>
  <c r="H14"/>
  <c r="I14" i="5"/>
  <c r="J14"/>
  <c r="K14"/>
  <c r="K25" s="1"/>
  <c r="B15"/>
  <c r="C15"/>
  <c r="D15"/>
  <c r="E15"/>
  <c r="F15"/>
  <c r="G15"/>
  <c r="H15"/>
  <c r="I15"/>
  <c r="J15"/>
  <c r="K15"/>
  <c r="B16"/>
  <c r="B16" i="163" s="1"/>
  <c r="C16" i="5"/>
  <c r="D16"/>
  <c r="D16" i="168" s="1"/>
  <c r="E16" i="5"/>
  <c r="E16" i="168" s="1"/>
  <c r="F16" i="5"/>
  <c r="G16"/>
  <c r="H16"/>
  <c r="H16" i="168" s="1"/>
  <c r="I16" i="5"/>
  <c r="R34" s="1"/>
  <c r="J16"/>
  <c r="J16" i="163" s="1"/>
  <c r="K16" i="5"/>
  <c r="T34" s="1"/>
  <c r="B17"/>
  <c r="C17"/>
  <c r="D17"/>
  <c r="E17"/>
  <c r="F17"/>
  <c r="G17"/>
  <c r="H17"/>
  <c r="I17"/>
  <c r="J17"/>
  <c r="K17"/>
  <c r="B18"/>
  <c r="B18" i="163" s="1"/>
  <c r="C18" i="5"/>
  <c r="C18" i="168" s="1"/>
  <c r="D18" i="5"/>
  <c r="D18" i="168" s="1"/>
  <c r="E18" i="5"/>
  <c r="E18" i="168" s="1"/>
  <c r="F18" i="5"/>
  <c r="G18"/>
  <c r="H18"/>
  <c r="H18" i="168" s="1"/>
  <c r="I18" i="5"/>
  <c r="R36" s="1"/>
  <c r="J18"/>
  <c r="J18" i="163" s="1"/>
  <c r="K18" i="5"/>
  <c r="T36" s="1"/>
  <c r="B19"/>
  <c r="C19"/>
  <c r="D19"/>
  <c r="E19"/>
  <c r="F19"/>
  <c r="G19"/>
  <c r="H19"/>
  <c r="I19"/>
  <c r="J19"/>
  <c r="K19"/>
  <c r="B20"/>
  <c r="C20"/>
  <c r="D20"/>
  <c r="E20"/>
  <c r="F20"/>
  <c r="F26" s="1"/>
  <c r="G20"/>
  <c r="G26" s="1"/>
  <c r="H20"/>
  <c r="H26" s="1"/>
  <c r="I20"/>
  <c r="J20"/>
  <c r="K20"/>
  <c r="D4"/>
  <c r="E4"/>
  <c r="E4" i="168" s="1"/>
  <c r="B4" i="5"/>
  <c r="B4" i="163" s="1"/>
  <c r="B36" i="4"/>
  <c r="AL55" i="1"/>
  <c r="AK55"/>
  <c r="AJ55"/>
  <c r="AI55"/>
  <c r="AH55"/>
  <c r="AG55"/>
  <c r="AF55"/>
  <c r="AL54"/>
  <c r="AK54"/>
  <c r="AJ54"/>
  <c r="AI54"/>
  <c r="AH54"/>
  <c r="AG54"/>
  <c r="AF54"/>
  <c r="AL53"/>
  <c r="AK53"/>
  <c r="AJ53"/>
  <c r="AI53"/>
  <c r="AH53"/>
  <c r="AG53"/>
  <c r="AF53"/>
  <c r="AL52"/>
  <c r="AK52"/>
  <c r="AJ52"/>
  <c r="AI52"/>
  <c r="AH52"/>
  <c r="AG52"/>
  <c r="AF52"/>
  <c r="AL51"/>
  <c r="AK51"/>
  <c r="AJ51"/>
  <c r="AI51"/>
  <c r="AH51"/>
  <c r="AG51"/>
  <c r="AF51"/>
  <c r="AL50"/>
  <c r="AK50"/>
  <c r="AJ50"/>
  <c r="AI50"/>
  <c r="AH50"/>
  <c r="AG50"/>
  <c r="AF50"/>
  <c r="AL49"/>
  <c r="AK49"/>
  <c r="AJ49"/>
  <c r="AI49"/>
  <c r="AH49"/>
  <c r="AG49"/>
  <c r="AF49"/>
  <c r="AL48"/>
  <c r="AK48"/>
  <c r="AJ48"/>
  <c r="AI48"/>
  <c r="AH48"/>
  <c r="AG48"/>
  <c r="AF48"/>
  <c r="AL46"/>
  <c r="AK46"/>
  <c r="AJ46"/>
  <c r="AI46"/>
  <c r="AH46"/>
  <c r="AG46"/>
  <c r="AF46"/>
  <c r="AL45"/>
  <c r="AK45"/>
  <c r="AJ45"/>
  <c r="AI45"/>
  <c r="AH45"/>
  <c r="AG45"/>
  <c r="AF45"/>
  <c r="AL44"/>
  <c r="AK44"/>
  <c r="AJ44"/>
  <c r="AI44"/>
  <c r="AH44"/>
  <c r="AG44"/>
  <c r="AF44"/>
  <c r="AL43"/>
  <c r="AK43"/>
  <c r="AJ43"/>
  <c r="AI43"/>
  <c r="AH43"/>
  <c r="AG43"/>
  <c r="AF43"/>
  <c r="AK42"/>
  <c r="AI42"/>
  <c r="AH42"/>
  <c r="AF42"/>
  <c r="C6"/>
  <c r="C5" i="130" s="1"/>
  <c r="C8" i="1"/>
  <c r="C7" i="130" s="1"/>
  <c r="C18" i="1"/>
  <c r="C18" i="128" s="1"/>
  <c r="C19" i="1"/>
  <c r="C20"/>
  <c r="C20" i="128" s="1"/>
  <c r="C21" i="1"/>
  <c r="C20" i="130" s="1"/>
  <c r="C22" i="1"/>
  <c r="C21" i="130" s="1"/>
  <c r="C23" i="1"/>
  <c r="C25"/>
  <c r="O24" i="130" s="1"/>
  <c r="C28" i="1"/>
  <c r="C28" i="128" s="1"/>
  <c r="C29" i="1"/>
  <c r="C29" i="128" s="1"/>
  <c r="C30" i="1"/>
  <c r="C30" i="128" s="1"/>
  <c r="C31" i="1"/>
  <c r="C31" i="128" s="1"/>
  <c r="C32" i="1"/>
  <c r="C32" i="128" s="1"/>
  <c r="C5" i="1"/>
  <c r="B37" i="2"/>
  <c r="C6"/>
  <c r="C6" i="127" s="1"/>
  <c r="C7" i="2"/>
  <c r="C6" i="129" s="1"/>
  <c r="C8" i="2"/>
  <c r="C7" i="129" s="1"/>
  <c r="C9" i="2"/>
  <c r="C8" i="129" s="1"/>
  <c r="C10" i="2"/>
  <c r="C9" i="129" s="1"/>
  <c r="C11" i="2"/>
  <c r="C10" i="129" s="1"/>
  <c r="C12" i="2"/>
  <c r="C11" i="129" s="1"/>
  <c r="C18" i="2"/>
  <c r="C17" i="129" s="1"/>
  <c r="C19" i="2"/>
  <c r="C19" i="127" s="1"/>
  <c r="C20" i="2"/>
  <c r="C19" i="129" s="1"/>
  <c r="C21" i="2"/>
  <c r="C21" i="127" s="1"/>
  <c r="C22" i="2"/>
  <c r="C21" i="129" s="1"/>
  <c r="C23" i="2"/>
  <c r="C22" i="129" s="1"/>
  <c r="C23"/>
  <c r="C25" i="2"/>
  <c r="C25" i="127" s="1"/>
  <c r="C26" i="2"/>
  <c r="C25" i="129" s="1"/>
  <c r="C27" i="2"/>
  <c r="C26" i="129" s="1"/>
  <c r="C28" i="2"/>
  <c r="C27" i="129" s="1"/>
  <c r="C29" i="2"/>
  <c r="C28" i="129" s="1"/>
  <c r="X18" s="1"/>
  <c r="C30" i="2"/>
  <c r="C29" i="129" s="1"/>
  <c r="C31" i="2"/>
  <c r="C30" i="129" s="1"/>
  <c r="C32" i="2"/>
  <c r="C31" i="129" s="1"/>
  <c r="C5" i="2"/>
  <c r="C4" i="129" s="1"/>
  <c r="N19" i="79"/>
  <c r="M19"/>
  <c r="J19" i="82" s="1"/>
  <c r="L19" i="79"/>
  <c r="U38" s="1"/>
  <c r="H19"/>
  <c r="H19" i="136" s="1"/>
  <c r="D19" i="79"/>
  <c r="N18"/>
  <c r="N18" i="136" s="1"/>
  <c r="M18" i="79"/>
  <c r="V19" s="1"/>
  <c r="L18"/>
  <c r="I18" i="82" s="1"/>
  <c r="H18" i="79"/>
  <c r="D18"/>
  <c r="N17"/>
  <c r="K17" i="82" s="1"/>
  <c r="M17" i="79"/>
  <c r="J17" i="82" s="1"/>
  <c r="L17" i="79"/>
  <c r="H17"/>
  <c r="D17"/>
  <c r="D17" i="82" s="1"/>
  <c r="N16" i="79"/>
  <c r="K16" i="82" s="1"/>
  <c r="M16" i="79"/>
  <c r="J16" i="82" s="1"/>
  <c r="L16" i="79"/>
  <c r="H16"/>
  <c r="H16" i="136" s="1"/>
  <c r="D16" i="79"/>
  <c r="D16" i="82" s="1"/>
  <c r="N15" i="79"/>
  <c r="M15"/>
  <c r="J15" i="82" s="1"/>
  <c r="L15" i="79"/>
  <c r="U16" s="1"/>
  <c r="H15"/>
  <c r="C15" s="1"/>
  <c r="D15"/>
  <c r="D15" i="82" s="1"/>
  <c r="N14" i="79"/>
  <c r="N14" i="136" s="1"/>
  <c r="M14" i="79"/>
  <c r="M25" s="1"/>
  <c r="L14"/>
  <c r="I14" i="82" s="1"/>
  <c r="H14" i="79"/>
  <c r="D14"/>
  <c r="D25" s="1"/>
  <c r="N13"/>
  <c r="W14" s="1"/>
  <c r="M13"/>
  <c r="J13" i="82" s="1"/>
  <c r="L13" i="79"/>
  <c r="H13"/>
  <c r="D13"/>
  <c r="D13" i="82" s="1"/>
  <c r="N12" i="79"/>
  <c r="K12" i="82" s="1"/>
  <c r="M12" i="79"/>
  <c r="J12" i="82" s="1"/>
  <c r="L12" i="79"/>
  <c r="L12" i="136" s="1"/>
  <c r="H12" i="79"/>
  <c r="H12" i="136" s="1"/>
  <c r="D12" i="79"/>
  <c r="D12" i="82" s="1"/>
  <c r="N11" i="79"/>
  <c r="M11"/>
  <c r="L11"/>
  <c r="H11"/>
  <c r="H11" i="136" s="1"/>
  <c r="D11" i="79"/>
  <c r="D11" i="82" s="1"/>
  <c r="N10" i="79"/>
  <c r="M10"/>
  <c r="J10" i="82" s="1"/>
  <c r="L10" i="79"/>
  <c r="I10" i="82" s="1"/>
  <c r="H10" i="79"/>
  <c r="D10"/>
  <c r="N9"/>
  <c r="K9" i="82" s="1"/>
  <c r="M9" i="79"/>
  <c r="J9" i="82" s="1"/>
  <c r="L9" i="79"/>
  <c r="H9"/>
  <c r="D9"/>
  <c r="D9" i="82" s="1"/>
  <c r="N8" i="79"/>
  <c r="K8" i="82" s="1"/>
  <c r="M8" i="79"/>
  <c r="J8" i="82" s="1"/>
  <c r="L8" i="79"/>
  <c r="L8" i="136" s="1"/>
  <c r="H8" i="79"/>
  <c r="T27" s="1"/>
  <c r="D8"/>
  <c r="D8" i="82" s="1"/>
  <c r="N7" i="79"/>
  <c r="M7"/>
  <c r="L7"/>
  <c r="U29" s="1"/>
  <c r="H7"/>
  <c r="C7" s="1"/>
  <c r="D7"/>
  <c r="N6"/>
  <c r="N6" i="136" s="1"/>
  <c r="M6" i="79"/>
  <c r="V25" s="1"/>
  <c r="L6"/>
  <c r="I6" i="82" s="1"/>
  <c r="H6" i="79"/>
  <c r="D6"/>
  <c r="N5"/>
  <c r="W7" s="1"/>
  <c r="M5"/>
  <c r="J5" i="82" s="1"/>
  <c r="L5" i="79"/>
  <c r="H5"/>
  <c r="D5"/>
  <c r="D5" i="82" s="1"/>
  <c r="N4" i="79"/>
  <c r="K4" i="82" s="1"/>
  <c r="M4" i="79"/>
  <c r="M4" i="136" s="1"/>
  <c r="L4" i="79"/>
  <c r="I4" i="82" s="1"/>
  <c r="H4" i="79"/>
  <c r="E4" i="82" s="1"/>
  <c r="D4" i="79"/>
  <c r="D4" i="136" s="1"/>
  <c r="B19" i="79"/>
  <c r="B18"/>
  <c r="E18" i="136" s="1"/>
  <c r="B17" i="79"/>
  <c r="G17" i="136" s="1"/>
  <c r="B16" i="79"/>
  <c r="B16" i="82" s="1"/>
  <c r="B15" i="79"/>
  <c r="B14"/>
  <c r="B14" i="136" s="1"/>
  <c r="B13" i="79"/>
  <c r="G13" i="136" s="1"/>
  <c r="B12" i="79"/>
  <c r="B12" i="82" s="1"/>
  <c r="B11" i="79"/>
  <c r="Q12" s="1"/>
  <c r="B10"/>
  <c r="B10" i="136" s="1"/>
  <c r="B9" i="79"/>
  <c r="G9" i="136" s="1"/>
  <c r="B8" i="79"/>
  <c r="B8" i="82" s="1"/>
  <c r="B7" i="79"/>
  <c r="Q8" s="1"/>
  <c r="B6"/>
  <c r="B6" i="136" s="1"/>
  <c r="B5" i="79"/>
  <c r="G5" i="136" s="1"/>
  <c r="B4" i="79"/>
  <c r="B4" i="82" s="1"/>
  <c r="C19" i="77"/>
  <c r="C5"/>
  <c r="C6"/>
  <c r="C6" i="81" s="1"/>
  <c r="C7" i="77"/>
  <c r="C7" i="81" s="1"/>
  <c r="O26" s="1"/>
  <c r="C8" i="77"/>
  <c r="C8" i="135" s="1"/>
  <c r="C9" i="77"/>
  <c r="R11" s="1"/>
  <c r="C10"/>
  <c r="C10" i="81" s="1"/>
  <c r="C11" i="77"/>
  <c r="C11" i="81" s="1"/>
  <c r="C12" i="77"/>
  <c r="C12" i="135" s="1"/>
  <c r="C13" i="77"/>
  <c r="C14"/>
  <c r="C14" i="81" s="1"/>
  <c r="C25" s="1"/>
  <c r="C15" i="77"/>
  <c r="R34" s="1"/>
  <c r="C16"/>
  <c r="C16" i="135" s="1"/>
  <c r="C17" i="77"/>
  <c r="C18"/>
  <c r="C18" i="81" s="1"/>
  <c r="C4" i="77"/>
  <c r="R26"/>
  <c r="C8" i="79"/>
  <c r="C16"/>
  <c r="C16" i="82" s="1"/>
  <c r="W18" i="79"/>
  <c r="V17"/>
  <c r="Q16"/>
  <c r="T31"/>
  <c r="U28"/>
  <c r="U8"/>
  <c r="R9" i="77"/>
  <c r="B24" i="79"/>
  <c r="V38"/>
  <c r="T38"/>
  <c r="Q38"/>
  <c r="Q35"/>
  <c r="V34"/>
  <c r="S34"/>
  <c r="Q33"/>
  <c r="U31"/>
  <c r="T30"/>
  <c r="V27"/>
  <c r="U27"/>
  <c r="T26"/>
  <c r="U18"/>
  <c r="U13"/>
  <c r="Q6"/>
  <c r="S24" i="77"/>
  <c r="T24"/>
  <c r="U24"/>
  <c r="V24"/>
  <c r="W24"/>
  <c r="S25"/>
  <c r="T25"/>
  <c r="U25"/>
  <c r="V25"/>
  <c r="W25"/>
  <c r="S26"/>
  <c r="T26"/>
  <c r="U26"/>
  <c r="V26"/>
  <c r="W26"/>
  <c r="S27"/>
  <c r="T27"/>
  <c r="U27"/>
  <c r="V27"/>
  <c r="W27"/>
  <c r="S28"/>
  <c r="T28"/>
  <c r="U28"/>
  <c r="V28"/>
  <c r="W28"/>
  <c r="S29"/>
  <c r="T29"/>
  <c r="U29"/>
  <c r="V29"/>
  <c r="W29"/>
  <c r="S30"/>
  <c r="T30"/>
  <c r="U30"/>
  <c r="V30"/>
  <c r="W30"/>
  <c r="S31"/>
  <c r="T31"/>
  <c r="U31"/>
  <c r="V31"/>
  <c r="W31"/>
  <c r="S32"/>
  <c r="T32"/>
  <c r="U32"/>
  <c r="V32"/>
  <c r="W32"/>
  <c r="S33"/>
  <c r="T33"/>
  <c r="U33"/>
  <c r="V33"/>
  <c r="W33"/>
  <c r="S34"/>
  <c r="T34"/>
  <c r="U34"/>
  <c r="V34"/>
  <c r="W34"/>
  <c r="S35"/>
  <c r="T35"/>
  <c r="U35"/>
  <c r="V35"/>
  <c r="W35"/>
  <c r="S36"/>
  <c r="T36"/>
  <c r="U36"/>
  <c r="V36"/>
  <c r="W36"/>
  <c r="S37"/>
  <c r="T37"/>
  <c r="U37"/>
  <c r="V37"/>
  <c r="W37"/>
  <c r="S38"/>
  <c r="T38"/>
  <c r="U38"/>
  <c r="V38"/>
  <c r="W38"/>
  <c r="S6"/>
  <c r="T6"/>
  <c r="U6"/>
  <c r="V6"/>
  <c r="W6"/>
  <c r="S7"/>
  <c r="T7"/>
  <c r="U7"/>
  <c r="V7"/>
  <c r="W7"/>
  <c r="S8"/>
  <c r="T8"/>
  <c r="U8"/>
  <c r="V8"/>
  <c r="W8"/>
  <c r="S9"/>
  <c r="T9"/>
  <c r="U9"/>
  <c r="V9"/>
  <c r="W9"/>
  <c r="R10"/>
  <c r="S10"/>
  <c r="T10"/>
  <c r="U10"/>
  <c r="V10"/>
  <c r="W10"/>
  <c r="S11"/>
  <c r="T11"/>
  <c r="U11"/>
  <c r="V11"/>
  <c r="W11"/>
  <c r="S12"/>
  <c r="T12"/>
  <c r="U12"/>
  <c r="V12"/>
  <c r="W12"/>
  <c r="S13"/>
  <c r="T13"/>
  <c r="U13"/>
  <c r="V13"/>
  <c r="W13"/>
  <c r="S14"/>
  <c r="T14"/>
  <c r="U14"/>
  <c r="V14"/>
  <c r="W14"/>
  <c r="S15"/>
  <c r="T15"/>
  <c r="U15"/>
  <c r="V15"/>
  <c r="W15"/>
  <c r="S16"/>
  <c r="T16"/>
  <c r="U16"/>
  <c r="V16"/>
  <c r="W16"/>
  <c r="S17"/>
  <c r="T17"/>
  <c r="U17"/>
  <c r="V17"/>
  <c r="W17"/>
  <c r="S18"/>
  <c r="T18"/>
  <c r="U18"/>
  <c r="V18"/>
  <c r="W18"/>
  <c r="S19"/>
  <c r="T19"/>
  <c r="U19"/>
  <c r="V19"/>
  <c r="W19"/>
  <c r="S20"/>
  <c r="T20"/>
  <c r="U20"/>
  <c r="V20"/>
  <c r="W20"/>
  <c r="Q6"/>
  <c r="D24"/>
  <c r="D27"/>
  <c r="B27"/>
  <c r="Q38"/>
  <c r="Q37"/>
  <c r="Q36"/>
  <c r="Q35"/>
  <c r="Q34"/>
  <c r="Q33"/>
  <c r="Q32"/>
  <c r="Q31"/>
  <c r="Q30"/>
  <c r="Q29"/>
  <c r="Q28"/>
  <c r="Q27"/>
  <c r="Q26"/>
  <c r="Q25"/>
  <c r="Q24"/>
  <c r="B24"/>
  <c r="Q20"/>
  <c r="Q19"/>
  <c r="Q18"/>
  <c r="Q17"/>
  <c r="Q16"/>
  <c r="Q15"/>
  <c r="Q14"/>
  <c r="Q13"/>
  <c r="Q12"/>
  <c r="Q11"/>
  <c r="Q10"/>
  <c r="Q9"/>
  <c r="Q8"/>
  <c r="Q7"/>
  <c r="X16" i="4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16" i="3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W19" i="4"/>
  <c r="W19" i="3"/>
  <c r="W18" i="4"/>
  <c r="W18" i="3"/>
  <c r="W17" i="4"/>
  <c r="W17" i="3"/>
  <c r="W16" i="4"/>
  <c r="W16" i="3"/>
  <c r="Q36" i="4"/>
  <c r="R36"/>
  <c r="S36"/>
  <c r="T36"/>
  <c r="Q37"/>
  <c r="R37"/>
  <c r="S37"/>
  <c r="T37"/>
  <c r="Q38"/>
  <c r="R38"/>
  <c r="S38"/>
  <c r="T38"/>
  <c r="Q40"/>
  <c r="R40"/>
  <c r="S40"/>
  <c r="T40"/>
  <c r="Q41"/>
  <c r="R41"/>
  <c r="S41"/>
  <c r="T41"/>
  <c r="Q42"/>
  <c r="R42"/>
  <c r="S42"/>
  <c r="T42"/>
  <c r="Q43"/>
  <c r="R43"/>
  <c r="S43"/>
  <c r="T43"/>
  <c r="Q45"/>
  <c r="R45"/>
  <c r="S45"/>
  <c r="T45"/>
  <c r="Q46"/>
  <c r="R46"/>
  <c r="S46"/>
  <c r="T46"/>
  <c r="Q47"/>
  <c r="R47"/>
  <c r="S47"/>
  <c r="T47"/>
  <c r="Q48"/>
  <c r="R48"/>
  <c r="S48"/>
  <c r="T48"/>
  <c r="Q49"/>
  <c r="R49"/>
  <c r="S49"/>
  <c r="T49"/>
  <c r="Q50"/>
  <c r="R50"/>
  <c r="S50"/>
  <c r="T50"/>
  <c r="Q51"/>
  <c r="R51"/>
  <c r="S51"/>
  <c r="T51"/>
  <c r="Q36" i="3"/>
  <c r="R36"/>
  <c r="S36"/>
  <c r="T36"/>
  <c r="Q37"/>
  <c r="R37"/>
  <c r="S37"/>
  <c r="T37"/>
  <c r="Q38"/>
  <c r="R38"/>
  <c r="S38"/>
  <c r="T38"/>
  <c r="Q40"/>
  <c r="R40"/>
  <c r="S40"/>
  <c r="T40"/>
  <c r="Q41"/>
  <c r="R41"/>
  <c r="S41"/>
  <c r="T41"/>
  <c r="Q42"/>
  <c r="R42"/>
  <c r="S42"/>
  <c r="T42"/>
  <c r="Q44"/>
  <c r="R44"/>
  <c r="S44"/>
  <c r="T44"/>
  <c r="Q45"/>
  <c r="R45"/>
  <c r="S45"/>
  <c r="T45"/>
  <c r="Q46"/>
  <c r="R46"/>
  <c r="S46"/>
  <c r="T46"/>
  <c r="Q47"/>
  <c r="R47"/>
  <c r="S47"/>
  <c r="T47"/>
  <c r="Q48"/>
  <c r="R48"/>
  <c r="S48"/>
  <c r="T48"/>
  <c r="Q49"/>
  <c r="R49"/>
  <c r="S49"/>
  <c r="T49"/>
  <c r="O36" i="4"/>
  <c r="P36"/>
  <c r="O37"/>
  <c r="P37"/>
  <c r="O38"/>
  <c r="P38"/>
  <c r="O40"/>
  <c r="P40"/>
  <c r="O41"/>
  <c r="P41"/>
  <c r="O42"/>
  <c r="P42"/>
  <c r="O43"/>
  <c r="P43"/>
  <c r="O45"/>
  <c r="P45"/>
  <c r="O46"/>
  <c r="P46"/>
  <c r="O47"/>
  <c r="P47"/>
  <c r="O48"/>
  <c r="P48"/>
  <c r="O49"/>
  <c r="P49"/>
  <c r="O50"/>
  <c r="P50"/>
  <c r="O51"/>
  <c r="P51"/>
  <c r="O36" i="3"/>
  <c r="P36"/>
  <c r="O37"/>
  <c r="P37"/>
  <c r="O38"/>
  <c r="P38"/>
  <c r="O40"/>
  <c r="P40"/>
  <c r="O41"/>
  <c r="P41"/>
  <c r="O42"/>
  <c r="P42"/>
  <c r="O44"/>
  <c r="P44"/>
  <c r="O45"/>
  <c r="P45"/>
  <c r="O46"/>
  <c r="P46"/>
  <c r="O47"/>
  <c r="P47"/>
  <c r="O48"/>
  <c r="P48"/>
  <c r="O49"/>
  <c r="P49"/>
  <c r="N38" i="4"/>
  <c r="N40"/>
  <c r="N41"/>
  <c r="N42"/>
  <c r="N43"/>
  <c r="N45"/>
  <c r="N46"/>
  <c r="N47"/>
  <c r="N48"/>
  <c r="N49"/>
  <c r="N50"/>
  <c r="N51"/>
  <c r="N38" i="3"/>
  <c r="N40"/>
  <c r="N41"/>
  <c r="N42"/>
  <c r="N44"/>
  <c r="N45"/>
  <c r="N46"/>
  <c r="N47"/>
  <c r="N48"/>
  <c r="N49"/>
  <c r="N36" i="4"/>
  <c r="N36" i="3"/>
  <c r="N37" i="4"/>
  <c r="N37" i="3"/>
  <c r="O17" i="4"/>
  <c r="P17"/>
  <c r="Q17"/>
  <c r="R17"/>
  <c r="S17"/>
  <c r="T17"/>
  <c r="O18"/>
  <c r="P18"/>
  <c r="Q18"/>
  <c r="R18"/>
  <c r="S18"/>
  <c r="T18"/>
  <c r="O19"/>
  <c r="P19"/>
  <c r="Q19"/>
  <c r="R19"/>
  <c r="S19"/>
  <c r="T19"/>
  <c r="O20"/>
  <c r="P20"/>
  <c r="Q20"/>
  <c r="R20"/>
  <c r="S20"/>
  <c r="T20"/>
  <c r="O21"/>
  <c r="P21"/>
  <c r="Q21"/>
  <c r="R21"/>
  <c r="S21"/>
  <c r="T21"/>
  <c r="O22"/>
  <c r="P22"/>
  <c r="Q22"/>
  <c r="R22"/>
  <c r="S22"/>
  <c r="T22"/>
  <c r="O23"/>
  <c r="P23"/>
  <c r="Q23"/>
  <c r="R23"/>
  <c r="S23"/>
  <c r="T23"/>
  <c r="O24"/>
  <c r="P24"/>
  <c r="Q24"/>
  <c r="R24"/>
  <c r="S24"/>
  <c r="T24"/>
  <c r="O25"/>
  <c r="P25"/>
  <c r="Q25"/>
  <c r="R25"/>
  <c r="S25"/>
  <c r="T25"/>
  <c r="O26"/>
  <c r="P26"/>
  <c r="Q26"/>
  <c r="R26"/>
  <c r="S26"/>
  <c r="T26"/>
  <c r="O27"/>
  <c r="P27"/>
  <c r="Q27"/>
  <c r="R27"/>
  <c r="S27"/>
  <c r="T27"/>
  <c r="O28"/>
  <c r="P28"/>
  <c r="Q28"/>
  <c r="R28"/>
  <c r="S28"/>
  <c r="T28"/>
  <c r="O29"/>
  <c r="P29"/>
  <c r="Q29"/>
  <c r="R29"/>
  <c r="S29"/>
  <c r="T29"/>
  <c r="O30"/>
  <c r="P30"/>
  <c r="Q30"/>
  <c r="R30"/>
  <c r="S30"/>
  <c r="T30"/>
  <c r="O31"/>
  <c r="P31"/>
  <c r="Q31"/>
  <c r="R31"/>
  <c r="S31"/>
  <c r="T31"/>
  <c r="O32"/>
  <c r="P32"/>
  <c r="Q32"/>
  <c r="R32"/>
  <c r="S32"/>
  <c r="T32"/>
  <c r="O17" i="3"/>
  <c r="P17"/>
  <c r="Q17"/>
  <c r="R17"/>
  <c r="S17"/>
  <c r="T17"/>
  <c r="O18"/>
  <c r="P18"/>
  <c r="Q18"/>
  <c r="R18"/>
  <c r="S18"/>
  <c r="T18"/>
  <c r="O19"/>
  <c r="P19"/>
  <c r="Q19"/>
  <c r="R19"/>
  <c r="S19"/>
  <c r="T19"/>
  <c r="O20"/>
  <c r="P20"/>
  <c r="Q20"/>
  <c r="R20"/>
  <c r="S20"/>
  <c r="T20"/>
  <c r="O21"/>
  <c r="P21"/>
  <c r="Q21"/>
  <c r="R21"/>
  <c r="S21"/>
  <c r="T21"/>
  <c r="O22"/>
  <c r="P22"/>
  <c r="Q22"/>
  <c r="R22"/>
  <c r="S22"/>
  <c r="T22"/>
  <c r="O23"/>
  <c r="P23"/>
  <c r="Q23"/>
  <c r="R23"/>
  <c r="S23"/>
  <c r="T23"/>
  <c r="O24"/>
  <c r="P24"/>
  <c r="Q24"/>
  <c r="R24"/>
  <c r="S24"/>
  <c r="T24"/>
  <c r="O25"/>
  <c r="P25"/>
  <c r="Q25"/>
  <c r="R25"/>
  <c r="S25"/>
  <c r="T25"/>
  <c r="O26"/>
  <c r="P26"/>
  <c r="Q26"/>
  <c r="R26"/>
  <c r="S26"/>
  <c r="T26"/>
  <c r="O27"/>
  <c r="P27"/>
  <c r="Q27"/>
  <c r="R27"/>
  <c r="S27"/>
  <c r="T27"/>
  <c r="O28"/>
  <c r="P28"/>
  <c r="Q28"/>
  <c r="R28"/>
  <c r="S28"/>
  <c r="T28"/>
  <c r="O29"/>
  <c r="P29"/>
  <c r="Q29"/>
  <c r="R29"/>
  <c r="S29"/>
  <c r="T29"/>
  <c r="O30"/>
  <c r="P30"/>
  <c r="Q30"/>
  <c r="R30"/>
  <c r="S30"/>
  <c r="T30"/>
  <c r="O31"/>
  <c r="P31"/>
  <c r="Q31"/>
  <c r="R31"/>
  <c r="S31"/>
  <c r="T31"/>
  <c r="N18" i="4"/>
  <c r="N19"/>
  <c r="N20"/>
  <c r="N21"/>
  <c r="N22"/>
  <c r="N23"/>
  <c r="N24"/>
  <c r="N25"/>
  <c r="N26"/>
  <c r="N27"/>
  <c r="N28"/>
  <c r="N29"/>
  <c r="N30"/>
  <c r="N31"/>
  <c r="N32"/>
  <c r="N18" i="3"/>
  <c r="N19"/>
  <c r="N20"/>
  <c r="N21"/>
  <c r="N22"/>
  <c r="N23"/>
  <c r="N24"/>
  <c r="N25"/>
  <c r="N26"/>
  <c r="N27"/>
  <c r="N28"/>
  <c r="N29"/>
  <c r="N30"/>
  <c r="N31"/>
  <c r="N17" i="4"/>
  <c r="N17" i="3"/>
  <c r="AK26" i="1"/>
  <c r="AJ26"/>
  <c r="AI26"/>
  <c r="AH26"/>
  <c r="AG26"/>
  <c r="AF26"/>
  <c r="AK25"/>
  <c r="AJ25"/>
  <c r="AI25"/>
  <c r="AH25"/>
  <c r="AG25"/>
  <c r="AF25"/>
  <c r="AO24" s="1"/>
  <c r="AK24"/>
  <c r="AJ24"/>
  <c r="AI24"/>
  <c r="AH24"/>
  <c r="AG24"/>
  <c r="AF24"/>
  <c r="AK23"/>
  <c r="AJ23"/>
  <c r="AI23"/>
  <c r="AH23"/>
  <c r="AG23"/>
  <c r="AF23"/>
  <c r="AK22"/>
  <c r="AJ22"/>
  <c r="AI22"/>
  <c r="AH22"/>
  <c r="AG22"/>
  <c r="AF22"/>
  <c r="AK26" i="2"/>
  <c r="AJ26"/>
  <c r="AI26"/>
  <c r="AH26"/>
  <c r="AG26"/>
  <c r="AF26"/>
  <c r="AK25"/>
  <c r="AJ25"/>
  <c r="AI25"/>
  <c r="AH25"/>
  <c r="AG25"/>
  <c r="AF25"/>
  <c r="AK24"/>
  <c r="AJ24"/>
  <c r="AI24"/>
  <c r="AH24"/>
  <c r="AG24"/>
  <c r="AP24" s="1"/>
  <c r="AF24"/>
  <c r="AK23"/>
  <c r="AJ23"/>
  <c r="AI23"/>
  <c r="AH23"/>
  <c r="AG23"/>
  <c r="AF23"/>
  <c r="AK22"/>
  <c r="AJ22"/>
  <c r="AI22"/>
  <c r="AH22"/>
  <c r="AG22"/>
  <c r="AF22"/>
  <c r="AP26" i="1"/>
  <c r="AS26" i="2"/>
  <c r="AO26" i="1"/>
  <c r="AH9"/>
  <c r="AI9"/>
  <c r="AJ9"/>
  <c r="AK9"/>
  <c r="AL9"/>
  <c r="AM9"/>
  <c r="AH11"/>
  <c r="AI11"/>
  <c r="AJ11"/>
  <c r="AK11"/>
  <c r="AL11"/>
  <c r="AM11"/>
  <c r="AH9" i="2"/>
  <c r="AI9"/>
  <c r="AJ9"/>
  <c r="AK9"/>
  <c r="AL9"/>
  <c r="AM9"/>
  <c r="AH11"/>
  <c r="AI11"/>
  <c r="AJ11"/>
  <c r="AK11"/>
  <c r="AL11"/>
  <c r="AM11"/>
  <c r="R29" i="141" l="1"/>
  <c r="I37"/>
  <c r="N25" i="143"/>
  <c r="H13" i="163"/>
  <c r="F13"/>
  <c r="G13"/>
  <c r="H9"/>
  <c r="G9"/>
  <c r="F9"/>
  <c r="G12"/>
  <c r="H12"/>
  <c r="F12"/>
  <c r="F11"/>
  <c r="G11"/>
  <c r="H11"/>
  <c r="B7"/>
  <c r="N26" s="1"/>
  <c r="B24" i="5"/>
  <c r="F7" i="163"/>
  <c r="F24" s="1"/>
  <c r="H7"/>
  <c r="H24" s="1"/>
  <c r="G7"/>
  <c r="G24" s="1"/>
  <c r="G38" i="141"/>
  <c r="G39"/>
  <c r="H5" i="163"/>
  <c r="F5"/>
  <c r="G5"/>
  <c r="G8"/>
  <c r="F8"/>
  <c r="H8"/>
  <c r="F39" i="141"/>
  <c r="F38"/>
  <c r="B10" i="163"/>
  <c r="G10"/>
  <c r="F10"/>
  <c r="H10"/>
  <c r="B6"/>
  <c r="F6"/>
  <c r="H6"/>
  <c r="G6"/>
  <c r="H38" i="141"/>
  <c r="H39"/>
  <c r="C7" i="134"/>
  <c r="C24" s="1"/>
  <c r="C24" i="132"/>
  <c r="O16"/>
  <c r="E25" i="134"/>
  <c r="C6" i="167"/>
  <c r="C14"/>
  <c r="C25" i="132"/>
  <c r="O20"/>
  <c r="O12"/>
  <c r="C27"/>
  <c r="C14" i="166"/>
  <c r="C25" i="131"/>
  <c r="C27"/>
  <c r="C6" i="133"/>
  <c r="C7"/>
  <c r="J27"/>
  <c r="S38"/>
  <c r="K27"/>
  <c r="E25"/>
  <c r="J27" i="135"/>
  <c r="Q36"/>
  <c r="G26" i="81"/>
  <c r="G27"/>
  <c r="H26"/>
  <c r="H27"/>
  <c r="F27"/>
  <c r="F26"/>
  <c r="W8" i="135"/>
  <c r="H26"/>
  <c r="D27"/>
  <c r="G27"/>
  <c r="Q37"/>
  <c r="W31"/>
  <c r="V29"/>
  <c r="G24" i="188"/>
  <c r="G25"/>
  <c r="C26" i="6"/>
  <c r="C27"/>
  <c r="X19" i="145"/>
  <c r="C39"/>
  <c r="C4" i="169"/>
  <c r="C24" i="6"/>
  <c r="B38" i="142"/>
  <c r="B39"/>
  <c r="J15" i="164"/>
  <c r="F15"/>
  <c r="I12"/>
  <c r="I7"/>
  <c r="R26" s="1"/>
  <c r="B27" i="6"/>
  <c r="B25"/>
  <c r="B39" i="145"/>
  <c r="B26" i="167"/>
  <c r="B27"/>
  <c r="F19" i="164"/>
  <c r="I8"/>
  <c r="R10" s="1"/>
  <c r="D26" i="6"/>
  <c r="D27"/>
  <c r="D38" i="142"/>
  <c r="D39"/>
  <c r="K26" i="167"/>
  <c r="K27"/>
  <c r="R37" i="6"/>
  <c r="I27"/>
  <c r="J38" i="142"/>
  <c r="J39"/>
  <c r="J39" i="145"/>
  <c r="I27" i="167"/>
  <c r="E26" i="6"/>
  <c r="E27"/>
  <c r="K26"/>
  <c r="K27"/>
  <c r="T45" i="142"/>
  <c r="K39"/>
  <c r="I39" i="145"/>
  <c r="T43" i="142"/>
  <c r="Z17"/>
  <c r="J37" i="145"/>
  <c r="J27" i="167"/>
  <c r="J27" i="189"/>
  <c r="C37" i="143"/>
  <c r="C20" i="168"/>
  <c r="C27" i="5"/>
  <c r="C39" i="143"/>
  <c r="B26" i="5"/>
  <c r="B27"/>
  <c r="B38" i="141"/>
  <c r="B39"/>
  <c r="F18" i="163"/>
  <c r="F16"/>
  <c r="B39" i="143"/>
  <c r="B25" i="166"/>
  <c r="G27" i="188"/>
  <c r="C38" i="141"/>
  <c r="C39"/>
  <c r="I6" i="163"/>
  <c r="B27" i="166"/>
  <c r="K26" i="5"/>
  <c r="K27"/>
  <c r="E38" i="141"/>
  <c r="E39"/>
  <c r="E38" i="143"/>
  <c r="E39"/>
  <c r="I26" i="166"/>
  <c r="I27"/>
  <c r="D26" i="5"/>
  <c r="D27"/>
  <c r="I24" i="188"/>
  <c r="J25" i="166"/>
  <c r="J39" i="143"/>
  <c r="J27" i="166"/>
  <c r="J25" i="188"/>
  <c r="J26" i="5"/>
  <c r="J27"/>
  <c r="I38" i="141"/>
  <c r="I39"/>
  <c r="I38" i="143"/>
  <c r="I39"/>
  <c r="E26" i="166"/>
  <c r="E27"/>
  <c r="I20" i="168"/>
  <c r="I27" i="5"/>
  <c r="E26"/>
  <c r="E27"/>
  <c r="I26" i="81"/>
  <c r="I27"/>
  <c r="J25"/>
  <c r="K39" i="141"/>
  <c r="T42"/>
  <c r="K37"/>
  <c r="J37" i="143"/>
  <c r="R43"/>
  <c r="R41"/>
  <c r="E25" i="81"/>
  <c r="K27" i="166"/>
  <c r="J24" i="188"/>
  <c r="V28" i="160"/>
  <c r="Y28"/>
  <c r="V29"/>
  <c r="Y29"/>
  <c r="X31"/>
  <c r="X30"/>
  <c r="V31"/>
  <c r="V30"/>
  <c r="X29"/>
  <c r="R28"/>
  <c r="P31"/>
  <c r="P30"/>
  <c r="R29"/>
  <c r="R31"/>
  <c r="R30"/>
  <c r="P29"/>
  <c r="S29"/>
  <c r="S28"/>
  <c r="P28"/>
  <c r="L31"/>
  <c r="L30"/>
  <c r="L29"/>
  <c r="F31" i="161"/>
  <c r="F30"/>
  <c r="F31" i="160"/>
  <c r="F30"/>
  <c r="F31" i="162"/>
  <c r="F30"/>
  <c r="F31" i="159"/>
  <c r="F30"/>
  <c r="K25" i="81"/>
  <c r="K25" i="166"/>
  <c r="I25" i="167"/>
  <c r="D25" i="166"/>
  <c r="J25" i="167"/>
  <c r="B25" i="81"/>
  <c r="J26"/>
  <c r="E25" i="166"/>
  <c r="B25" i="167"/>
  <c r="Q32" i="133"/>
  <c r="I25"/>
  <c r="N33"/>
  <c r="B25"/>
  <c r="T33" i="134"/>
  <c r="N33"/>
  <c r="B25"/>
  <c r="J25" i="133"/>
  <c r="D26" i="167"/>
  <c r="K25" i="133"/>
  <c r="R33" i="134"/>
  <c r="J26" i="166"/>
  <c r="D25" i="133"/>
  <c r="D25" i="134"/>
  <c r="P35" i="166"/>
  <c r="S32" i="5"/>
  <c r="J25"/>
  <c r="B14" i="168"/>
  <c r="B25" i="5"/>
  <c r="D14" i="168"/>
  <c r="D25" i="5"/>
  <c r="D14" i="169"/>
  <c r="D25" i="6"/>
  <c r="C14" i="168"/>
  <c r="C25" i="5"/>
  <c r="R32"/>
  <c r="I25"/>
  <c r="R31" i="6"/>
  <c r="I25"/>
  <c r="E14" i="169"/>
  <c r="E25" i="6"/>
  <c r="C25"/>
  <c r="T41" i="142"/>
  <c r="K37"/>
  <c r="D26" i="81"/>
  <c r="K26" i="166"/>
  <c r="E26" i="167"/>
  <c r="C37" i="141"/>
  <c r="C37" i="142"/>
  <c r="B37" i="143"/>
  <c r="B37" i="145"/>
  <c r="D26" i="166"/>
  <c r="Q38"/>
  <c r="J26" i="167"/>
  <c r="B37" i="141"/>
  <c r="B37" i="142"/>
  <c r="B26" i="166"/>
  <c r="I26" i="167"/>
  <c r="D37" i="142"/>
  <c r="I37" i="143"/>
  <c r="I37" i="145"/>
  <c r="K26" i="81"/>
  <c r="B26" i="82"/>
  <c r="H24" i="189"/>
  <c r="AI22" i="221"/>
  <c r="AG22"/>
  <c r="AF22"/>
  <c r="R38" i="128"/>
  <c r="N38"/>
  <c r="J38"/>
  <c r="B38"/>
  <c r="D38" i="127"/>
  <c r="T38"/>
  <c r="P38"/>
  <c r="L38"/>
  <c r="AJ31"/>
  <c r="B38"/>
  <c r="K38"/>
  <c r="U38"/>
  <c r="Q38"/>
  <c r="M38"/>
  <c r="D37" i="129"/>
  <c r="E37"/>
  <c r="I37"/>
  <c r="AF26" i="158"/>
  <c r="AG25"/>
  <c r="AJ24"/>
  <c r="AK23"/>
  <c r="X32"/>
  <c r="Z31"/>
  <c r="X26"/>
  <c r="X24"/>
  <c r="AH48"/>
  <c r="X13"/>
  <c r="AK34"/>
  <c r="Z7"/>
  <c r="T37"/>
  <c r="AJ26"/>
  <c r="AS25" s="1"/>
  <c r="J37"/>
  <c r="AB29"/>
  <c r="AA29"/>
  <c r="AC15"/>
  <c r="AB6"/>
  <c r="AG24" i="157"/>
  <c r="AF25"/>
  <c r="AC29"/>
  <c r="U39"/>
  <c r="Q39"/>
  <c r="AC12"/>
  <c r="Y12"/>
  <c r="AB11"/>
  <c r="AA10"/>
  <c r="Z9"/>
  <c r="AC8"/>
  <c r="Y8"/>
  <c r="AA6"/>
  <c r="AI11"/>
  <c r="D38" i="130"/>
  <c r="G38"/>
  <c r="G15" i="164"/>
  <c r="C12"/>
  <c r="F38" i="130"/>
  <c r="J38"/>
  <c r="AH26" i="158"/>
  <c r="AB28"/>
  <c r="O39"/>
  <c r="R31" i="130"/>
  <c r="I38"/>
  <c r="H38"/>
  <c r="B38"/>
  <c r="K38"/>
  <c r="T28"/>
  <c r="E38"/>
  <c r="AC6" i="158"/>
  <c r="X27"/>
  <c r="AH51"/>
  <c r="AK25"/>
  <c r="AT24" s="1"/>
  <c r="AI24"/>
  <c r="AR23" s="1"/>
  <c r="AH24"/>
  <c r="AM7"/>
  <c r="AH11"/>
  <c r="AA32"/>
  <c r="AD31"/>
  <c r="AM9"/>
  <c r="M37"/>
  <c r="AD19"/>
  <c r="AF39"/>
  <c r="AH38"/>
  <c r="X12"/>
  <c r="AC9"/>
  <c r="Y6"/>
  <c r="H38" i="185"/>
  <c r="H37" i="184"/>
  <c r="G37"/>
  <c r="I37"/>
  <c r="K40"/>
  <c r="K37"/>
  <c r="BB24" i="159"/>
  <c r="B29" i="153"/>
  <c r="B29" i="152"/>
  <c r="C62" i="124"/>
  <c r="BB27" i="160"/>
  <c r="BB21"/>
  <c r="AQ10" i="149"/>
  <c r="AH11"/>
  <c r="N38" i="167"/>
  <c r="R32" i="166"/>
  <c r="N20"/>
  <c r="R24"/>
  <c r="N37"/>
  <c r="N32"/>
  <c r="E26" i="82"/>
  <c r="K26"/>
  <c r="Q39" i="81"/>
  <c r="E26"/>
  <c r="B26"/>
  <c r="J6" i="175"/>
  <c r="H13"/>
  <c r="J12"/>
  <c r="H11"/>
  <c r="J10"/>
  <c r="H9"/>
  <c r="J8"/>
  <c r="H7"/>
  <c r="J16"/>
  <c r="J15"/>
  <c r="I13"/>
  <c r="I11"/>
  <c r="I9"/>
  <c r="I7"/>
  <c r="I12"/>
  <c r="I21" s="1"/>
  <c r="G22"/>
  <c r="D23"/>
  <c r="F21"/>
  <c r="B21"/>
  <c r="J11"/>
  <c r="I10"/>
  <c r="H8"/>
  <c r="J7"/>
  <c r="E21" i="174"/>
  <c r="I9"/>
  <c r="I13"/>
  <c r="I6"/>
  <c r="I10"/>
  <c r="C21"/>
  <c r="G21"/>
  <c r="J14"/>
  <c r="H16"/>
  <c r="E22"/>
  <c r="D21"/>
  <c r="J16"/>
  <c r="I17"/>
  <c r="H6"/>
  <c r="H21" s="1"/>
  <c r="J7"/>
  <c r="H10"/>
  <c r="J11"/>
  <c r="B21"/>
  <c r="I14"/>
  <c r="D22"/>
  <c r="Q31" i="133"/>
  <c r="R32" i="134"/>
  <c r="O32"/>
  <c r="T32"/>
  <c r="Q32"/>
  <c r="N32" i="133"/>
  <c r="S32" i="134"/>
  <c r="D26" i="133"/>
  <c r="P13"/>
  <c r="Q37" i="167"/>
  <c r="C11" i="166"/>
  <c r="C10" i="133"/>
  <c r="P37" i="166"/>
  <c r="C18" i="133"/>
  <c r="O19" s="1"/>
  <c r="C7" i="166"/>
  <c r="O38" s="1"/>
  <c r="Q19" i="134"/>
  <c r="D26"/>
  <c r="P14"/>
  <c r="N24" i="167"/>
  <c r="T9" i="134"/>
  <c r="R18"/>
  <c r="C16" i="133"/>
  <c r="O35" s="1"/>
  <c r="O9" i="131"/>
  <c r="C20" i="133"/>
  <c r="C27" s="1"/>
  <c r="S20" i="166"/>
  <c r="T34"/>
  <c r="N16"/>
  <c r="S14"/>
  <c r="P11"/>
  <c r="R10"/>
  <c r="P9"/>
  <c r="R37"/>
  <c r="C14" i="133"/>
  <c r="P39" i="166"/>
  <c r="T36"/>
  <c r="Q37"/>
  <c r="I13" i="164"/>
  <c r="B13"/>
  <c r="J13"/>
  <c r="B38" i="143"/>
  <c r="I24" i="189"/>
  <c r="T24" i="145"/>
  <c r="Z19" i="142"/>
  <c r="T26"/>
  <c r="S41" i="145"/>
  <c r="O43"/>
  <c r="R23"/>
  <c r="N23"/>
  <c r="S20"/>
  <c r="O38"/>
  <c r="Q18"/>
  <c r="G24" i="189"/>
  <c r="I4" i="169"/>
  <c r="K19" i="164"/>
  <c r="N32"/>
  <c r="E7"/>
  <c r="Q26" s="1"/>
  <c r="S23" i="145"/>
  <c r="N22"/>
  <c r="S19"/>
  <c r="R34" i="167"/>
  <c r="S7"/>
  <c r="T20" i="145"/>
  <c r="N25"/>
  <c r="P23"/>
  <c r="T19"/>
  <c r="S18"/>
  <c r="R36" i="167"/>
  <c r="R33"/>
  <c r="R31"/>
  <c r="S32"/>
  <c r="E10" i="169"/>
  <c r="E6"/>
  <c r="R32" i="142"/>
  <c r="R31" i="145"/>
  <c r="T30"/>
  <c r="Q29"/>
  <c r="T26"/>
  <c r="R40"/>
  <c r="J36"/>
  <c r="C36"/>
  <c r="I24" i="167"/>
  <c r="T20"/>
  <c r="R37"/>
  <c r="Q13"/>
  <c r="P10"/>
  <c r="I27" i="188"/>
  <c r="I26"/>
  <c r="J20" i="168"/>
  <c r="C16" i="163"/>
  <c r="Q31" i="166"/>
  <c r="N24"/>
  <c r="P14" i="5"/>
  <c r="Q26" i="166"/>
  <c r="Q34"/>
  <c r="J18" i="168"/>
  <c r="H26" i="188"/>
  <c r="G26"/>
  <c r="K26"/>
  <c r="G16" i="163"/>
  <c r="Q33" i="166"/>
  <c r="J19" i="168"/>
  <c r="F19"/>
  <c r="B19"/>
  <c r="J17"/>
  <c r="F17"/>
  <c r="B17"/>
  <c r="J15"/>
  <c r="F15"/>
  <c r="B15"/>
  <c r="N16" s="1"/>
  <c r="J13"/>
  <c r="I12"/>
  <c r="B12"/>
  <c r="J9"/>
  <c r="I8"/>
  <c r="B8"/>
  <c r="J5"/>
  <c r="Q35" i="166"/>
  <c r="R26"/>
  <c r="Q36"/>
  <c r="R33"/>
  <c r="T14"/>
  <c r="P14"/>
  <c r="R31"/>
  <c r="N10"/>
  <c r="J16" i="168"/>
  <c r="C19" i="164"/>
  <c r="K17"/>
  <c r="J12"/>
  <c r="J8"/>
  <c r="I7" i="169"/>
  <c r="R26" s="1"/>
  <c r="O45" i="142"/>
  <c r="S36" i="167"/>
  <c r="N33"/>
  <c r="S31"/>
  <c r="P30"/>
  <c r="H25" i="189"/>
  <c r="I19" i="164"/>
  <c r="E19"/>
  <c r="I17"/>
  <c r="E17"/>
  <c r="I15"/>
  <c r="R32" s="1"/>
  <c r="E15"/>
  <c r="E12"/>
  <c r="K11"/>
  <c r="D11" i="169"/>
  <c r="E8" i="164"/>
  <c r="K7"/>
  <c r="T26" s="1"/>
  <c r="D7" i="169"/>
  <c r="O42" i="145"/>
  <c r="B19" i="164"/>
  <c r="N36" s="1"/>
  <c r="G17"/>
  <c r="O41" i="142"/>
  <c r="K36"/>
  <c r="Y16"/>
  <c r="S24" i="167"/>
  <c r="N31"/>
  <c r="T30"/>
  <c r="D20" i="169"/>
  <c r="J26" i="189"/>
  <c r="J4" i="164"/>
  <c r="H20"/>
  <c r="D16"/>
  <c r="D14"/>
  <c r="D10"/>
  <c r="K6"/>
  <c r="P37" i="142"/>
  <c r="AB17"/>
  <c r="W17"/>
  <c r="O25"/>
  <c r="E11" i="164"/>
  <c r="T12" i="167"/>
  <c r="P12"/>
  <c r="S10"/>
  <c r="Q38"/>
  <c r="R24"/>
  <c r="Q31" i="129"/>
  <c r="E38"/>
  <c r="O31"/>
  <c r="C38"/>
  <c r="H38"/>
  <c r="B38"/>
  <c r="G38"/>
  <c r="K38"/>
  <c r="I38"/>
  <c r="D38"/>
  <c r="F38"/>
  <c r="J38"/>
  <c r="N39" i="130"/>
  <c r="AG33" i="158"/>
  <c r="Y21"/>
  <c r="AL39"/>
  <c r="AB30"/>
  <c r="AH44"/>
  <c r="AC18"/>
  <c r="AB10"/>
  <c r="AL31"/>
  <c r="AG30"/>
  <c r="AH9"/>
  <c r="X25"/>
  <c r="AA28"/>
  <c r="AL32"/>
  <c r="AH30" i="157"/>
  <c r="AG44"/>
  <c r="M39"/>
  <c r="AA12"/>
  <c r="AL34"/>
  <c r="AI9"/>
  <c r="AC33"/>
  <c r="AI22"/>
  <c r="AR22" s="1"/>
  <c r="AL37"/>
  <c r="AG32"/>
  <c r="H26" i="189"/>
  <c r="H27"/>
  <c r="K27"/>
  <c r="K26"/>
  <c r="K24"/>
  <c r="I26"/>
  <c r="I27"/>
  <c r="G27"/>
  <c r="G26"/>
  <c r="H39" i="185"/>
  <c r="H40"/>
  <c r="G39"/>
  <c r="H62" i="187"/>
  <c r="H63"/>
  <c r="I63"/>
  <c r="I62"/>
  <c r="G39" i="184"/>
  <c r="I40"/>
  <c r="J38"/>
  <c r="H39"/>
  <c r="H40"/>
  <c r="H38"/>
  <c r="J40"/>
  <c r="H62" i="186"/>
  <c r="H63"/>
  <c r="I63"/>
  <c r="I62"/>
  <c r="P38" i="167"/>
  <c r="Q18"/>
  <c r="N37"/>
  <c r="Q35"/>
  <c r="N32"/>
  <c r="Q31"/>
  <c r="E24"/>
  <c r="Q39"/>
  <c r="R39" i="166"/>
  <c r="Q18"/>
  <c r="S36"/>
  <c r="N36"/>
  <c r="N33"/>
  <c r="R12"/>
  <c r="T37"/>
  <c r="P28"/>
  <c r="N8"/>
  <c r="Q24"/>
  <c r="R36"/>
  <c r="R8"/>
  <c r="N35"/>
  <c r="R38"/>
  <c r="S34"/>
  <c r="N30"/>
  <c r="N24" i="81"/>
  <c r="P28"/>
  <c r="J18" i="175"/>
  <c r="H12"/>
  <c r="D22"/>
  <c r="D21"/>
  <c r="I21" i="174"/>
  <c r="J18"/>
  <c r="D23"/>
  <c r="G23"/>
  <c r="J12"/>
  <c r="J21" s="1"/>
  <c r="E23"/>
  <c r="U6" i="138"/>
  <c r="U7"/>
  <c r="U5"/>
  <c r="Q16"/>
  <c r="U28"/>
  <c r="T32"/>
  <c r="G22"/>
  <c r="M22"/>
  <c r="I22"/>
  <c r="D21"/>
  <c r="W14"/>
  <c r="U12"/>
  <c r="I20"/>
  <c r="V5"/>
  <c r="Q8"/>
  <c r="Q15"/>
  <c r="U16"/>
  <c r="N22"/>
  <c r="L21"/>
  <c r="H21"/>
  <c r="V6"/>
  <c r="V33" i="137"/>
  <c r="K22"/>
  <c r="G22"/>
  <c r="L21"/>
  <c r="H21"/>
  <c r="V14"/>
  <c r="U13"/>
  <c r="T13"/>
  <c r="N20"/>
  <c r="U9"/>
  <c r="T9"/>
  <c r="V12"/>
  <c r="J21"/>
  <c r="V13"/>
  <c r="T12"/>
  <c r="J27" i="136"/>
  <c r="Q33"/>
  <c r="B25"/>
  <c r="N25"/>
  <c r="Q37"/>
  <c r="M24" i="135"/>
  <c r="V26"/>
  <c r="V37"/>
  <c r="V11"/>
  <c r="I24"/>
  <c r="W37"/>
  <c r="W20"/>
  <c r="W29"/>
  <c r="Q12"/>
  <c r="I26" i="133"/>
  <c r="J26"/>
  <c r="B26"/>
  <c r="Q11"/>
  <c r="C16" i="167"/>
  <c r="Q9" i="134"/>
  <c r="P36" i="167"/>
  <c r="C5"/>
  <c r="Q26"/>
  <c r="R11"/>
  <c r="Q32"/>
  <c r="C19"/>
  <c r="C17"/>
  <c r="O19" s="1"/>
  <c r="Q36"/>
  <c r="C15"/>
  <c r="O16" s="1"/>
  <c r="Q34"/>
  <c r="Q30"/>
  <c r="C8"/>
  <c r="C13"/>
  <c r="C9"/>
  <c r="O11" s="1"/>
  <c r="O37" i="132"/>
  <c r="N15" i="167"/>
  <c r="S6"/>
  <c r="C4"/>
  <c r="S20"/>
  <c r="P19"/>
  <c r="N17"/>
  <c r="S16"/>
  <c r="Q33"/>
  <c r="C11"/>
  <c r="N11"/>
  <c r="Q29"/>
  <c r="S30"/>
  <c r="C7"/>
  <c r="O38" s="1"/>
  <c r="R7"/>
  <c r="N7"/>
  <c r="Q24"/>
  <c r="C13" i="133"/>
  <c r="O14" s="1"/>
  <c r="Q13"/>
  <c r="P32" i="166"/>
  <c r="K26" i="133"/>
  <c r="C11"/>
  <c r="Q10"/>
  <c r="N11"/>
  <c r="S6" i="166"/>
  <c r="R28"/>
  <c r="S37"/>
  <c r="C19"/>
  <c r="C17"/>
  <c r="O18" s="1"/>
  <c r="C15"/>
  <c r="C12"/>
  <c r="S10"/>
  <c r="C8"/>
  <c r="T7"/>
  <c r="N14" i="133"/>
  <c r="C9"/>
  <c r="C5"/>
  <c r="C19"/>
  <c r="Q17"/>
  <c r="C15"/>
  <c r="P34" i="166"/>
  <c r="R5" i="138"/>
  <c r="R22"/>
  <c r="R33"/>
  <c r="R16"/>
  <c r="R29"/>
  <c r="R8"/>
  <c r="R25"/>
  <c r="R13"/>
  <c r="R30"/>
  <c r="C21" i="126"/>
  <c r="V9" i="138"/>
  <c r="J22"/>
  <c r="V10"/>
  <c r="W30"/>
  <c r="V31"/>
  <c r="C10"/>
  <c r="C21" s="1"/>
  <c r="V16"/>
  <c r="F22"/>
  <c r="R13" i="137"/>
  <c r="R30"/>
  <c r="R32"/>
  <c r="C20"/>
  <c r="R28"/>
  <c r="R33"/>
  <c r="R16"/>
  <c r="S13"/>
  <c r="R27" i="125"/>
  <c r="R10"/>
  <c r="R30"/>
  <c r="R13"/>
  <c r="S5" i="137"/>
  <c r="S8"/>
  <c r="N21"/>
  <c r="D22"/>
  <c r="U30"/>
  <c r="C13"/>
  <c r="C11"/>
  <c r="C8"/>
  <c r="R26" s="1"/>
  <c r="C7"/>
  <c r="C6"/>
  <c r="C5"/>
  <c r="R23" s="1"/>
  <c r="S6"/>
  <c r="U26"/>
  <c r="T31"/>
  <c r="S7"/>
  <c r="S16"/>
  <c r="N22"/>
  <c r="V27"/>
  <c r="C4"/>
  <c r="R5" s="1"/>
  <c r="R26" i="79"/>
  <c r="C7" i="82"/>
  <c r="O26" s="1"/>
  <c r="C7" i="136"/>
  <c r="R34" i="79"/>
  <c r="C15" i="82"/>
  <c r="C15" i="136"/>
  <c r="W12"/>
  <c r="R27" i="79"/>
  <c r="U30"/>
  <c r="L25"/>
  <c r="L17" i="136"/>
  <c r="U35" s="1"/>
  <c r="L13"/>
  <c r="L9"/>
  <c r="D9"/>
  <c r="H5"/>
  <c r="T7" s="1"/>
  <c r="E12" i="82"/>
  <c r="Q32" s="1"/>
  <c r="S11" i="79"/>
  <c r="U33"/>
  <c r="W10"/>
  <c r="T35"/>
  <c r="C19"/>
  <c r="B4" i="136"/>
  <c r="G4"/>
  <c r="G27" s="1"/>
  <c r="M17"/>
  <c r="E17"/>
  <c r="J16"/>
  <c r="M13"/>
  <c r="V14" s="1"/>
  <c r="E13"/>
  <c r="J12"/>
  <c r="B12"/>
  <c r="Q13" s="1"/>
  <c r="L10"/>
  <c r="U11" s="1"/>
  <c r="I9"/>
  <c r="N8"/>
  <c r="F8"/>
  <c r="K25"/>
  <c r="M5"/>
  <c r="E5"/>
  <c r="D4" i="82"/>
  <c r="P6" s="1"/>
  <c r="B17"/>
  <c r="N19" s="1"/>
  <c r="B13"/>
  <c r="B9"/>
  <c r="N11" s="1"/>
  <c r="B5"/>
  <c r="N7" s="1"/>
  <c r="T8" i="79"/>
  <c r="T16"/>
  <c r="W19"/>
  <c r="T29"/>
  <c r="U34"/>
  <c r="U37"/>
  <c r="W6"/>
  <c r="S10"/>
  <c r="V29"/>
  <c r="U20"/>
  <c r="C4"/>
  <c r="C12"/>
  <c r="Q17"/>
  <c r="B27"/>
  <c r="T25"/>
  <c r="W27"/>
  <c r="T12"/>
  <c r="U32"/>
  <c r="T33"/>
  <c r="W34"/>
  <c r="U36"/>
  <c r="T20"/>
  <c r="D27"/>
  <c r="L27"/>
  <c r="H27"/>
  <c r="L24"/>
  <c r="H24"/>
  <c r="B25"/>
  <c r="L26"/>
  <c r="H26"/>
  <c r="N25"/>
  <c r="L4" i="136"/>
  <c r="U6" s="1"/>
  <c r="H4"/>
  <c r="L19"/>
  <c r="D19"/>
  <c r="M18"/>
  <c r="V36" s="1"/>
  <c r="I18"/>
  <c r="N17"/>
  <c r="W19" s="1"/>
  <c r="J17"/>
  <c r="F17"/>
  <c r="B17"/>
  <c r="Q35" s="1"/>
  <c r="K16"/>
  <c r="G16"/>
  <c r="C16"/>
  <c r="L15"/>
  <c r="U16" s="1"/>
  <c r="H15"/>
  <c r="D15"/>
  <c r="M14"/>
  <c r="V15" s="1"/>
  <c r="I14"/>
  <c r="E14"/>
  <c r="N13"/>
  <c r="J13"/>
  <c r="F13"/>
  <c r="B13"/>
  <c r="Q15" s="1"/>
  <c r="K12"/>
  <c r="G12"/>
  <c r="L11"/>
  <c r="D11"/>
  <c r="S12" s="1"/>
  <c r="M10"/>
  <c r="I10"/>
  <c r="E10"/>
  <c r="N9"/>
  <c r="W28" s="1"/>
  <c r="J9"/>
  <c r="F9"/>
  <c r="B9"/>
  <c r="Q28" s="1"/>
  <c r="K8"/>
  <c r="G8"/>
  <c r="C8"/>
  <c r="L7"/>
  <c r="U9" s="1"/>
  <c r="H7"/>
  <c r="D7"/>
  <c r="M6"/>
  <c r="V7" s="1"/>
  <c r="I6"/>
  <c r="E6"/>
  <c r="N5"/>
  <c r="W6" s="1"/>
  <c r="J5"/>
  <c r="F5"/>
  <c r="B5"/>
  <c r="Q7" s="1"/>
  <c r="J4" i="82"/>
  <c r="C8"/>
  <c r="I19"/>
  <c r="I15"/>
  <c r="K13"/>
  <c r="I11"/>
  <c r="R12" s="1"/>
  <c r="I7"/>
  <c r="R37" s="1"/>
  <c r="K5"/>
  <c r="T7" s="1"/>
  <c r="R35" i="79"/>
  <c r="H17" i="136"/>
  <c r="T19" s="1"/>
  <c r="D17"/>
  <c r="S19" s="1"/>
  <c r="H13"/>
  <c r="T15" s="1"/>
  <c r="D13"/>
  <c r="S31" s="1"/>
  <c r="H9"/>
  <c r="T11" s="1"/>
  <c r="L5"/>
  <c r="D5"/>
  <c r="S6" s="1"/>
  <c r="E16" i="82"/>
  <c r="Q17" s="1"/>
  <c r="E8"/>
  <c r="J18"/>
  <c r="S20" s="1"/>
  <c r="J14"/>
  <c r="J6"/>
  <c r="S7" s="1"/>
  <c r="Q18" i="79"/>
  <c r="U24"/>
  <c r="S14"/>
  <c r="V37"/>
  <c r="C11"/>
  <c r="K4" i="136"/>
  <c r="K24" s="1"/>
  <c r="G26"/>
  <c r="L18"/>
  <c r="I17"/>
  <c r="N16"/>
  <c r="W34" s="1"/>
  <c r="F16"/>
  <c r="B16"/>
  <c r="Q17" s="1"/>
  <c r="L14"/>
  <c r="L26" s="1"/>
  <c r="I13"/>
  <c r="N12"/>
  <c r="W30" s="1"/>
  <c r="F12"/>
  <c r="M9"/>
  <c r="V10" s="1"/>
  <c r="E9"/>
  <c r="J8"/>
  <c r="B8"/>
  <c r="Q27" s="1"/>
  <c r="G25"/>
  <c r="L6"/>
  <c r="U25" s="1"/>
  <c r="I5"/>
  <c r="W15" i="79"/>
  <c r="T32"/>
  <c r="T34"/>
  <c r="T36"/>
  <c r="S6"/>
  <c r="U12"/>
  <c r="Q36"/>
  <c r="Q37"/>
  <c r="C6"/>
  <c r="V33"/>
  <c r="C10"/>
  <c r="W11"/>
  <c r="V30"/>
  <c r="C14"/>
  <c r="U35"/>
  <c r="C18"/>
  <c r="R19" s="1"/>
  <c r="M27"/>
  <c r="M24"/>
  <c r="M26"/>
  <c r="I4" i="136"/>
  <c r="E4"/>
  <c r="M19"/>
  <c r="V37" s="1"/>
  <c r="I19"/>
  <c r="I27" s="1"/>
  <c r="E19"/>
  <c r="J18"/>
  <c r="F18"/>
  <c r="B18"/>
  <c r="Q19" s="1"/>
  <c r="K17"/>
  <c r="L16"/>
  <c r="D16"/>
  <c r="S17" s="1"/>
  <c r="M15"/>
  <c r="V17" s="1"/>
  <c r="I15"/>
  <c r="E15"/>
  <c r="J14"/>
  <c r="J25" s="1"/>
  <c r="F14"/>
  <c r="K13"/>
  <c r="D12"/>
  <c r="S13" s="1"/>
  <c r="M11"/>
  <c r="I11"/>
  <c r="E11"/>
  <c r="N10"/>
  <c r="J10"/>
  <c r="F10"/>
  <c r="K9"/>
  <c r="H8"/>
  <c r="D8"/>
  <c r="S10" s="1"/>
  <c r="M7"/>
  <c r="V26" s="1"/>
  <c r="I7"/>
  <c r="E7"/>
  <c r="J6"/>
  <c r="F6"/>
  <c r="K5"/>
  <c r="D19" i="82"/>
  <c r="D18"/>
  <c r="P19" s="1"/>
  <c r="D14"/>
  <c r="D10"/>
  <c r="P12" s="1"/>
  <c r="D7"/>
  <c r="P31" s="1"/>
  <c r="D6"/>
  <c r="P7" s="1"/>
  <c r="J11"/>
  <c r="S12" s="1"/>
  <c r="J7"/>
  <c r="S36" s="1"/>
  <c r="R38" i="77"/>
  <c r="R13"/>
  <c r="C26"/>
  <c r="C4" i="135"/>
  <c r="K26"/>
  <c r="G26"/>
  <c r="C19"/>
  <c r="C26" s="1"/>
  <c r="U19"/>
  <c r="S20"/>
  <c r="W17"/>
  <c r="Q34"/>
  <c r="C15"/>
  <c r="U15"/>
  <c r="V15"/>
  <c r="W14"/>
  <c r="Q30"/>
  <c r="C11"/>
  <c r="R13" s="1"/>
  <c r="W9"/>
  <c r="Q27"/>
  <c r="K25"/>
  <c r="G25"/>
  <c r="C7"/>
  <c r="R27" s="1"/>
  <c r="U7"/>
  <c r="T25"/>
  <c r="S25"/>
  <c r="V6"/>
  <c r="C25" i="77"/>
  <c r="R30"/>
  <c r="R37"/>
  <c r="R29"/>
  <c r="R33"/>
  <c r="R25"/>
  <c r="Q29" i="135"/>
  <c r="W35"/>
  <c r="Q19"/>
  <c r="V32"/>
  <c r="T13"/>
  <c r="Q11"/>
  <c r="T35"/>
  <c r="S31"/>
  <c r="V25"/>
  <c r="Q24"/>
  <c r="C19" i="81"/>
  <c r="C27" s="1"/>
  <c r="C15"/>
  <c r="O35" s="1"/>
  <c r="R24" i="164"/>
  <c r="C17"/>
  <c r="K13" i="169"/>
  <c r="K5"/>
  <c r="I15"/>
  <c r="D18" i="164"/>
  <c r="J9"/>
  <c r="E7" i="169"/>
  <c r="E24" s="1"/>
  <c r="J5" i="164"/>
  <c r="D18" i="169"/>
  <c r="E11"/>
  <c r="C16" i="168"/>
  <c r="D10"/>
  <c r="C9"/>
  <c r="K19"/>
  <c r="G19"/>
  <c r="C19"/>
  <c r="K17"/>
  <c r="G17"/>
  <c r="C17"/>
  <c r="O19" s="1"/>
  <c r="K15"/>
  <c r="G15"/>
  <c r="C15"/>
  <c r="O17" s="1"/>
  <c r="K13"/>
  <c r="J12"/>
  <c r="C12"/>
  <c r="K9"/>
  <c r="J8"/>
  <c r="C8"/>
  <c r="K5" i="163"/>
  <c r="K20" i="168"/>
  <c r="K18"/>
  <c r="K16"/>
  <c r="T17" s="1"/>
  <c r="C13"/>
  <c r="K10"/>
  <c r="K6"/>
  <c r="D6"/>
  <c r="C5"/>
  <c r="E13" i="163"/>
  <c r="E9"/>
  <c r="E5"/>
  <c r="B20" i="168"/>
  <c r="B18"/>
  <c r="B16"/>
  <c r="N29" i="145"/>
  <c r="J38" i="143"/>
  <c r="P30"/>
  <c r="Q19" i="142"/>
  <c r="P26"/>
  <c r="S25"/>
  <c r="R24"/>
  <c r="Q40"/>
  <c r="S21"/>
  <c r="Q36"/>
  <c r="P18"/>
  <c r="P32"/>
  <c r="S31"/>
  <c r="N31"/>
  <c r="P30"/>
  <c r="S29"/>
  <c r="N28"/>
  <c r="P28"/>
  <c r="S27"/>
  <c r="N26"/>
  <c r="Q25"/>
  <c r="T24"/>
  <c r="R23"/>
  <c r="N22"/>
  <c r="Q21"/>
  <c r="T38"/>
  <c r="S44"/>
  <c r="R18"/>
  <c r="N36"/>
  <c r="AC16"/>
  <c r="Y19"/>
  <c r="S20"/>
  <c r="E36"/>
  <c r="Q44"/>
  <c r="Q42"/>
  <c r="O28"/>
  <c r="T19"/>
  <c r="O18"/>
  <c r="R17"/>
  <c r="AA16" i="141"/>
  <c r="O38" i="142"/>
  <c r="Q11" i="167"/>
  <c r="S26"/>
  <c r="S12"/>
  <c r="S25"/>
  <c r="C13" i="169"/>
  <c r="I12"/>
  <c r="K10"/>
  <c r="D10"/>
  <c r="C9"/>
  <c r="I8"/>
  <c r="K6"/>
  <c r="D6"/>
  <c r="C5"/>
  <c r="P29" i="142"/>
  <c r="O37"/>
  <c r="O42"/>
  <c r="T40"/>
  <c r="O44" i="145"/>
  <c r="O40"/>
  <c r="R22"/>
  <c r="O36"/>
  <c r="R18"/>
  <c r="D20" i="164"/>
  <c r="I11"/>
  <c r="R31" s="1"/>
  <c r="C9"/>
  <c r="P26" i="167"/>
  <c r="S29"/>
  <c r="S15"/>
  <c r="S37"/>
  <c r="P20"/>
  <c r="N6"/>
  <c r="R14"/>
  <c r="H20" i="169"/>
  <c r="I19"/>
  <c r="E17"/>
  <c r="Q18" s="1"/>
  <c r="E12"/>
  <c r="I11"/>
  <c r="N28" i="164"/>
  <c r="N34"/>
  <c r="C5"/>
  <c r="S33" i="167"/>
  <c r="G20" i="169"/>
  <c r="E19"/>
  <c r="Q20" s="1"/>
  <c r="K9"/>
  <c r="E4" i="164"/>
  <c r="K19" i="169"/>
  <c r="T20" s="1"/>
  <c r="G19"/>
  <c r="C19"/>
  <c r="O20" s="1"/>
  <c r="K17"/>
  <c r="T19" s="1"/>
  <c r="G17"/>
  <c r="C17"/>
  <c r="O19" s="1"/>
  <c r="K15"/>
  <c r="T17" s="1"/>
  <c r="G15"/>
  <c r="C15"/>
  <c r="O17" s="1"/>
  <c r="D13"/>
  <c r="C12"/>
  <c r="D9"/>
  <c r="C8"/>
  <c r="D5"/>
  <c r="P6" s="1"/>
  <c r="Q22" i="142"/>
  <c r="T44"/>
  <c r="O44"/>
  <c r="R31"/>
  <c r="Q30"/>
  <c r="T29"/>
  <c r="O29"/>
  <c r="R28"/>
  <c r="AC18"/>
  <c r="X18"/>
  <c r="R27"/>
  <c r="Q27"/>
  <c r="T25"/>
  <c r="O24"/>
  <c r="N23"/>
  <c r="T21"/>
  <c r="O20"/>
  <c r="N44"/>
  <c r="AB16"/>
  <c r="C36"/>
  <c r="N32" i="145"/>
  <c r="S43"/>
  <c r="S29"/>
  <c r="P28"/>
  <c r="S26"/>
  <c r="O25"/>
  <c r="Q23"/>
  <c r="T22"/>
  <c r="P18"/>
  <c r="AA19"/>
  <c r="G19" i="164"/>
  <c r="K15"/>
  <c r="C15"/>
  <c r="C13"/>
  <c r="C8"/>
  <c r="Q10" i="167"/>
  <c r="N14"/>
  <c r="N18"/>
  <c r="R6"/>
  <c r="R19"/>
  <c r="T37"/>
  <c r="T14"/>
  <c r="P15"/>
  <c r="T10"/>
  <c r="Q25"/>
  <c r="T6"/>
  <c r="K20" i="169"/>
  <c r="K27" s="1"/>
  <c r="C20"/>
  <c r="I17"/>
  <c r="E15"/>
  <c r="Q16" s="1"/>
  <c r="E8"/>
  <c r="J9" i="163"/>
  <c r="B17"/>
  <c r="N18" s="1"/>
  <c r="E10" i="168"/>
  <c r="D9"/>
  <c r="E6"/>
  <c r="C5" i="163"/>
  <c r="C9"/>
  <c r="C13"/>
  <c r="J15"/>
  <c r="B19"/>
  <c r="Q11" i="166"/>
  <c r="Q14"/>
  <c r="P13"/>
  <c r="D7" i="168"/>
  <c r="P34" s="1"/>
  <c r="H19" i="163"/>
  <c r="D19"/>
  <c r="H17"/>
  <c r="D17"/>
  <c r="H15"/>
  <c r="D15"/>
  <c r="K12"/>
  <c r="D12"/>
  <c r="C11" i="168"/>
  <c r="K8" i="163"/>
  <c r="D8"/>
  <c r="J7"/>
  <c r="S26" s="1"/>
  <c r="C7" i="168"/>
  <c r="O42" i="141"/>
  <c r="S40"/>
  <c r="N22"/>
  <c r="I8" i="163"/>
  <c r="I12"/>
  <c r="F15"/>
  <c r="J17"/>
  <c r="S18" s="1"/>
  <c r="P25" i="166"/>
  <c r="P30"/>
  <c r="P31"/>
  <c r="S38"/>
  <c r="T33"/>
  <c r="Q6"/>
  <c r="F20" i="168"/>
  <c r="D19"/>
  <c r="P20" s="1"/>
  <c r="F18"/>
  <c r="D17"/>
  <c r="P19" s="1"/>
  <c r="F16"/>
  <c r="D15"/>
  <c r="P16" s="1"/>
  <c r="D8"/>
  <c r="K14"/>
  <c r="J5" i="163"/>
  <c r="J13"/>
  <c r="F19"/>
  <c r="D11" i="168"/>
  <c r="E7"/>
  <c r="Q26" s="1"/>
  <c r="D5"/>
  <c r="P10" i="166"/>
  <c r="T13"/>
  <c r="S12"/>
  <c r="D12" i="168"/>
  <c r="C20" i="163"/>
  <c r="I19"/>
  <c r="E19"/>
  <c r="G18"/>
  <c r="C18"/>
  <c r="I17"/>
  <c r="E17"/>
  <c r="I15"/>
  <c r="E15"/>
  <c r="I13" i="168"/>
  <c r="B13"/>
  <c r="E12" i="163"/>
  <c r="J10" i="168"/>
  <c r="C10"/>
  <c r="I9"/>
  <c r="B9"/>
  <c r="N10" s="1"/>
  <c r="E8" i="163"/>
  <c r="K7" i="168"/>
  <c r="D7" i="163"/>
  <c r="J6" i="168"/>
  <c r="C6"/>
  <c r="I5"/>
  <c r="B5"/>
  <c r="N43" i="141"/>
  <c r="N41"/>
  <c r="P26"/>
  <c r="S25"/>
  <c r="Q23"/>
  <c r="T22"/>
  <c r="P22"/>
  <c r="S21"/>
  <c r="P18"/>
  <c r="B8" i="163"/>
  <c r="B12"/>
  <c r="B15"/>
  <c r="N17" s="1"/>
  <c r="F17"/>
  <c r="J19"/>
  <c r="S20" s="1"/>
  <c r="N7" i="166"/>
  <c r="P18"/>
  <c r="N34"/>
  <c r="R6"/>
  <c r="T39"/>
  <c r="T18"/>
  <c r="T35"/>
  <c r="R15"/>
  <c r="P33"/>
  <c r="T28"/>
  <c r="Q7"/>
  <c r="G20" i="168"/>
  <c r="H19"/>
  <c r="G18"/>
  <c r="H17"/>
  <c r="G16"/>
  <c r="H15"/>
  <c r="D4"/>
  <c r="I37" i="128"/>
  <c r="U37"/>
  <c r="AL50"/>
  <c r="AG50"/>
  <c r="AB32"/>
  <c r="AA28"/>
  <c r="Y26"/>
  <c r="N26" i="130"/>
  <c r="AB16"/>
  <c r="N19"/>
  <c r="S21"/>
  <c r="Q21"/>
  <c r="W17"/>
  <c r="Q29"/>
  <c r="T45" i="129"/>
  <c r="AG51" i="158"/>
  <c r="AK26"/>
  <c r="AT26" s="1"/>
  <c r="K37"/>
  <c r="Q39"/>
  <c r="AI7"/>
  <c r="AM8"/>
  <c r="AM10" s="1"/>
  <c r="AG26"/>
  <c r="AJ30"/>
  <c r="Z34"/>
  <c r="AI25"/>
  <c r="AR24" s="1"/>
  <c r="AH25"/>
  <c r="AQ24" s="1"/>
  <c r="AK24"/>
  <c r="AT23" s="1"/>
  <c r="Z28"/>
  <c r="AD34"/>
  <c r="AA33"/>
  <c r="AB31"/>
  <c r="AL47"/>
  <c r="AG47"/>
  <c r="Y22"/>
  <c r="AL43"/>
  <c r="AH42"/>
  <c r="AH41"/>
  <c r="AG37"/>
  <c r="AC10"/>
  <c r="AL34"/>
  <c r="AF34"/>
  <c r="AF32"/>
  <c r="AL38"/>
  <c r="M39"/>
  <c r="Z22"/>
  <c r="AI23"/>
  <c r="AR22" s="1"/>
  <c r="AH23"/>
  <c r="AQ23" s="1"/>
  <c r="T39"/>
  <c r="P39"/>
  <c r="AH50"/>
  <c r="X33"/>
  <c r="AC30"/>
  <c r="X30"/>
  <c r="AI6"/>
  <c r="AC27"/>
  <c r="Z27"/>
  <c r="AC26"/>
  <c r="Z25"/>
  <c r="AC24"/>
  <c r="X23"/>
  <c r="Z23"/>
  <c r="AK41"/>
  <c r="Z21"/>
  <c r="X19"/>
  <c r="Z19"/>
  <c r="AB18"/>
  <c r="AJ41"/>
  <c r="AD14"/>
  <c r="X14"/>
  <c r="Z13"/>
  <c r="AH34"/>
  <c r="AB8"/>
  <c r="Z8"/>
  <c r="AD9" i="157"/>
  <c r="AK24"/>
  <c r="AI8"/>
  <c r="AI10" s="1"/>
  <c r="AK22"/>
  <c r="AJ23"/>
  <c r="AS22" s="1"/>
  <c r="AK26"/>
  <c r="AB29"/>
  <c r="T39"/>
  <c r="P39"/>
  <c r="AH49"/>
  <c r="X33"/>
  <c r="Z32"/>
  <c r="AC30"/>
  <c r="X31"/>
  <c r="AC28"/>
  <c r="Z27"/>
  <c r="AC25"/>
  <c r="Z24"/>
  <c r="AC23"/>
  <c r="X23"/>
  <c r="AF36"/>
  <c r="Z20"/>
  <c r="AC19"/>
  <c r="X19"/>
  <c r="AH39"/>
  <c r="AH38"/>
  <c r="AB12"/>
  <c r="Y9"/>
  <c r="AA7"/>
  <c r="AL31"/>
  <c r="AH31"/>
  <c r="AG30"/>
  <c r="AL50"/>
  <c r="AF23"/>
  <c r="AH25"/>
  <c r="AI25"/>
  <c r="AG26"/>
  <c r="AP26" s="1"/>
  <c r="R39"/>
  <c r="N39"/>
  <c r="AD33"/>
  <c r="AB33"/>
  <c r="AH26"/>
  <c r="AD32"/>
  <c r="Y31"/>
  <c r="AB31"/>
  <c r="AH24"/>
  <c r="AQ23" s="1"/>
  <c r="Y29"/>
  <c r="AB27"/>
  <c r="Y26"/>
  <c r="AB26"/>
  <c r="Y24"/>
  <c r="AB24"/>
  <c r="AA23"/>
  <c r="AD22"/>
  <c r="AJ49"/>
  <c r="AI49"/>
  <c r="AD21"/>
  <c r="Y21"/>
  <c r="AB19"/>
  <c r="AA19"/>
  <c r="AH42"/>
  <c r="AH41"/>
  <c r="X16"/>
  <c r="AF39"/>
  <c r="AC11"/>
  <c r="Y11"/>
  <c r="AF34"/>
  <c r="AA9"/>
  <c r="AD8"/>
  <c r="AH32"/>
  <c r="X6"/>
  <c r="AK43" i="128"/>
  <c r="AK38"/>
  <c r="C4" i="130"/>
  <c r="C5" i="158"/>
  <c r="C22" i="130"/>
  <c r="O39" s="1"/>
  <c r="C23" i="158"/>
  <c r="K4" i="169"/>
  <c r="K4" i="164"/>
  <c r="F20" i="169"/>
  <c r="F20" i="164"/>
  <c r="H19" i="169"/>
  <c r="H19" i="164"/>
  <c r="S35" i="6"/>
  <c r="J18" i="169"/>
  <c r="J18" i="164"/>
  <c r="S20" s="1"/>
  <c r="B18" i="169"/>
  <c r="E18" i="164"/>
  <c r="B18"/>
  <c r="I18"/>
  <c r="R35" s="1"/>
  <c r="S33" i="6"/>
  <c r="J16" i="169"/>
  <c r="J16" i="164"/>
  <c r="S17" s="1"/>
  <c r="B16" i="169"/>
  <c r="I16" i="164"/>
  <c r="B16"/>
  <c r="N17" s="1"/>
  <c r="E16"/>
  <c r="J4" i="169"/>
  <c r="J14"/>
  <c r="J14" i="164"/>
  <c r="J15" i="169"/>
  <c r="J17"/>
  <c r="J19"/>
  <c r="J8"/>
  <c r="J12"/>
  <c r="B11"/>
  <c r="B14"/>
  <c r="B25" s="1"/>
  <c r="B14" i="164"/>
  <c r="B25" s="1"/>
  <c r="B7" i="169"/>
  <c r="B8"/>
  <c r="B12"/>
  <c r="B15"/>
  <c r="B17"/>
  <c r="N34" s="1"/>
  <c r="B19"/>
  <c r="E14" i="164"/>
  <c r="I14"/>
  <c r="K12"/>
  <c r="K12" i="169"/>
  <c r="J11" i="164"/>
  <c r="J11" i="169"/>
  <c r="I10" i="164"/>
  <c r="I10" i="169"/>
  <c r="K8" i="164"/>
  <c r="K8" i="169"/>
  <c r="S26" i="6"/>
  <c r="J7" i="164"/>
  <c r="J7" i="169"/>
  <c r="I6" i="164"/>
  <c r="R7" s="1"/>
  <c r="I6" i="169"/>
  <c r="E5"/>
  <c r="Q7" s="1"/>
  <c r="E5" i="164"/>
  <c r="AJ51" i="158"/>
  <c r="AK11"/>
  <c r="Y33"/>
  <c r="Y34"/>
  <c r="AI26"/>
  <c r="AR26" s="1"/>
  <c r="AJ49"/>
  <c r="AB32"/>
  <c r="AB33"/>
  <c r="AD32"/>
  <c r="AL48"/>
  <c r="Y32"/>
  <c r="Y31"/>
  <c r="AA31"/>
  <c r="AA30"/>
  <c r="AD30"/>
  <c r="AD29"/>
  <c r="Y30"/>
  <c r="AH7"/>
  <c r="AB27"/>
  <c r="AA27"/>
  <c r="AB26"/>
  <c r="AB25"/>
  <c r="AA26"/>
  <c r="AA25"/>
  <c r="AB24"/>
  <c r="AJ46"/>
  <c r="AA24"/>
  <c r="AI46"/>
  <c r="AA23"/>
  <c r="AD22"/>
  <c r="AD23"/>
  <c r="AJ36"/>
  <c r="AB21"/>
  <c r="AJ32"/>
  <c r="AK6"/>
  <c r="AJ48"/>
  <c r="AJ38"/>
  <c r="AJ50"/>
  <c r="S37"/>
  <c r="AJ34"/>
  <c r="AK9"/>
  <c r="AI48"/>
  <c r="AI50"/>
  <c r="AI43"/>
  <c r="O37"/>
  <c r="AJ9"/>
  <c r="AJ6"/>
  <c r="AI30"/>
  <c r="AJ44"/>
  <c r="AB20"/>
  <c r="AI44"/>
  <c r="AA20"/>
  <c r="AA19"/>
  <c r="AJ39"/>
  <c r="AB15"/>
  <c r="AB11"/>
  <c r="AD7"/>
  <c r="AD8"/>
  <c r="AA6"/>
  <c r="AI31"/>
  <c r="AL30"/>
  <c r="AM11"/>
  <c r="N37"/>
  <c r="AI9"/>
  <c r="AH30"/>
  <c r="AM9" i="128"/>
  <c r="AK34"/>
  <c r="H18" i="164"/>
  <c r="H16"/>
  <c r="H14"/>
  <c r="C6"/>
  <c r="J13" i="169"/>
  <c r="J9"/>
  <c r="J5"/>
  <c r="C29" i="158"/>
  <c r="E37"/>
  <c r="AI33"/>
  <c r="C18" i="130"/>
  <c r="C19" i="158"/>
  <c r="D4" i="164"/>
  <c r="B4"/>
  <c r="B24" s="1"/>
  <c r="B4" i="169"/>
  <c r="J26" i="6"/>
  <c r="J20" i="169"/>
  <c r="J27" s="1"/>
  <c r="J20" i="164"/>
  <c r="B26" i="6"/>
  <c r="B20" i="169"/>
  <c r="B27" s="1"/>
  <c r="B20" i="164"/>
  <c r="B27" s="1"/>
  <c r="E20"/>
  <c r="I20"/>
  <c r="D19" i="169"/>
  <c r="D19" i="164"/>
  <c r="F18" i="169"/>
  <c r="F18" i="164"/>
  <c r="H17" i="169"/>
  <c r="H17" i="164"/>
  <c r="D17" i="169"/>
  <c r="P18" s="1"/>
  <c r="D17" i="164"/>
  <c r="F16" i="169"/>
  <c r="F16" i="164"/>
  <c r="H15" i="169"/>
  <c r="H15" i="164"/>
  <c r="D15" i="169"/>
  <c r="D15" i="164"/>
  <c r="F15" i="169"/>
  <c r="F17"/>
  <c r="F19"/>
  <c r="F14" i="164"/>
  <c r="F14" i="169"/>
  <c r="E13" i="164"/>
  <c r="E13" i="169"/>
  <c r="D12"/>
  <c r="D12" i="164"/>
  <c r="C11" i="169"/>
  <c r="C11" i="164"/>
  <c r="B10"/>
  <c r="N12" s="1"/>
  <c r="B10" i="169"/>
  <c r="E10" i="164"/>
  <c r="E9" i="169"/>
  <c r="E9" i="164"/>
  <c r="D8" i="169"/>
  <c r="D8" i="164"/>
  <c r="C7" i="169"/>
  <c r="C7" i="164"/>
  <c r="B6" i="169"/>
  <c r="B6" i="164"/>
  <c r="N8" s="1"/>
  <c r="E6"/>
  <c r="D37" i="158"/>
  <c r="K18" i="164"/>
  <c r="G18"/>
  <c r="C18"/>
  <c r="O19" s="1"/>
  <c r="K16"/>
  <c r="G16"/>
  <c r="C16"/>
  <c r="G14"/>
  <c r="C14"/>
  <c r="C25" s="1"/>
  <c r="J10"/>
  <c r="C10"/>
  <c r="J6"/>
  <c r="C4"/>
  <c r="K10"/>
  <c r="D6"/>
  <c r="L39" i="158"/>
  <c r="X28"/>
  <c r="AF49"/>
  <c r="K13" i="164"/>
  <c r="D13"/>
  <c r="N13"/>
  <c r="K9"/>
  <c r="D9"/>
  <c r="K5"/>
  <c r="D5"/>
  <c r="G14" i="169"/>
  <c r="B5"/>
  <c r="AL51" i="128"/>
  <c r="AA31"/>
  <c r="AA27"/>
  <c r="AC17"/>
  <c r="AB8"/>
  <c r="AB9" i="158"/>
  <c r="AC21"/>
  <c r="Z29"/>
  <c r="AH32"/>
  <c r="AK33"/>
  <c r="AH37"/>
  <c r="AH47"/>
  <c r="C32"/>
  <c r="C30"/>
  <c r="C22"/>
  <c r="B37"/>
  <c r="C18"/>
  <c r="AD27"/>
  <c r="Y27"/>
  <c r="AD26"/>
  <c r="Y26"/>
  <c r="AJ47"/>
  <c r="AI47"/>
  <c r="Y24"/>
  <c r="AB23"/>
  <c r="AA22"/>
  <c r="AL49"/>
  <c r="AH8"/>
  <c r="AH10" s="1"/>
  <c r="AA21"/>
  <c r="AL44"/>
  <c r="AG44"/>
  <c r="AJ43"/>
  <c r="AI37"/>
  <c r="AD11"/>
  <c r="X11"/>
  <c r="AH36"/>
  <c r="AF30"/>
  <c r="I20" i="169"/>
  <c r="I27" s="1"/>
  <c r="E20"/>
  <c r="E27" s="1"/>
  <c r="I18"/>
  <c r="C10"/>
  <c r="C6"/>
  <c r="I13"/>
  <c r="K11"/>
  <c r="J10"/>
  <c r="I9"/>
  <c r="K7"/>
  <c r="J6"/>
  <c r="I5"/>
  <c r="C6" i="158"/>
  <c r="AK51"/>
  <c r="AK44"/>
  <c r="AC11"/>
  <c r="AJ31"/>
  <c r="K14" i="169"/>
  <c r="K25" s="1"/>
  <c r="C14"/>
  <c r="B13"/>
  <c r="B9"/>
  <c r="AK30" i="128"/>
  <c r="AG30"/>
  <c r="AK50"/>
  <c r="AF50"/>
  <c r="Z32"/>
  <c r="AL48"/>
  <c r="AG48"/>
  <c r="AI25"/>
  <c r="AC30"/>
  <c r="X30"/>
  <c r="AK7"/>
  <c r="AA29"/>
  <c r="AD27"/>
  <c r="Y27"/>
  <c r="AC26"/>
  <c r="X26"/>
  <c r="AJ51"/>
  <c r="AI49"/>
  <c r="AB18"/>
  <c r="Z17"/>
  <c r="AF41"/>
  <c r="AK39"/>
  <c r="Z11"/>
  <c r="AK36"/>
  <c r="AK33"/>
  <c r="AG33"/>
  <c r="AL32"/>
  <c r="AF31"/>
  <c r="AB16" i="158"/>
  <c r="X20"/>
  <c r="AK30"/>
  <c r="AJ33"/>
  <c r="AK42"/>
  <c r="C28"/>
  <c r="C25"/>
  <c r="C21"/>
  <c r="R39"/>
  <c r="AI11"/>
  <c r="AC33"/>
  <c r="X34"/>
  <c r="Z30"/>
  <c r="AC29"/>
  <c r="X29"/>
  <c r="AF42"/>
  <c r="X16"/>
  <c r="AH39"/>
  <c r="AJ37"/>
  <c r="AH33"/>
  <c r="AK32"/>
  <c r="Z6"/>
  <c r="AL11"/>
  <c r="N26" i="164"/>
  <c r="I4"/>
  <c r="R6" s="1"/>
  <c r="K20"/>
  <c r="K27" s="1"/>
  <c r="G20"/>
  <c r="C20"/>
  <c r="C27" s="1"/>
  <c r="K14"/>
  <c r="K25" s="1"/>
  <c r="D11"/>
  <c r="D7"/>
  <c r="P26" s="1"/>
  <c r="I14" i="169"/>
  <c r="I25" s="1"/>
  <c r="N31" i="163"/>
  <c r="C11" i="157"/>
  <c r="C19"/>
  <c r="D5" i="163"/>
  <c r="E6"/>
  <c r="I7"/>
  <c r="R26" s="1"/>
  <c r="J8"/>
  <c r="K9"/>
  <c r="E10"/>
  <c r="I11"/>
  <c r="C12"/>
  <c r="J12"/>
  <c r="K13"/>
  <c r="E14"/>
  <c r="I14"/>
  <c r="C15"/>
  <c r="G15"/>
  <c r="K15"/>
  <c r="E16"/>
  <c r="I16"/>
  <c r="C17"/>
  <c r="G17"/>
  <c r="K17"/>
  <c r="E18"/>
  <c r="C19"/>
  <c r="G19"/>
  <c r="K19"/>
  <c r="E20"/>
  <c r="I20"/>
  <c r="I14" i="168"/>
  <c r="D13"/>
  <c r="I11"/>
  <c r="I7"/>
  <c r="K5"/>
  <c r="C12" i="157"/>
  <c r="C28"/>
  <c r="C30"/>
  <c r="E7" i="163"/>
  <c r="Q26" s="1"/>
  <c r="K10"/>
  <c r="H14"/>
  <c r="H25" s="1"/>
  <c r="D16"/>
  <c r="D20"/>
  <c r="J14" i="168"/>
  <c r="I19"/>
  <c r="R21" s="1"/>
  <c r="E17"/>
  <c r="I15"/>
  <c r="E13"/>
  <c r="E12"/>
  <c r="E8"/>
  <c r="E5"/>
  <c r="J11"/>
  <c r="K8"/>
  <c r="I6"/>
  <c r="T44" i="129"/>
  <c r="D36"/>
  <c r="K36"/>
  <c r="P43"/>
  <c r="AK6" i="157"/>
  <c r="C5"/>
  <c r="C9"/>
  <c r="C21"/>
  <c r="C25"/>
  <c r="E4" i="163"/>
  <c r="B5"/>
  <c r="N24" s="1"/>
  <c r="I5"/>
  <c r="C6"/>
  <c r="J6"/>
  <c r="K7"/>
  <c r="B9"/>
  <c r="I9"/>
  <c r="R11" s="1"/>
  <c r="C10"/>
  <c r="J10"/>
  <c r="D11"/>
  <c r="K11"/>
  <c r="B13"/>
  <c r="I13"/>
  <c r="C14"/>
  <c r="G14"/>
  <c r="K14"/>
  <c r="K16"/>
  <c r="K18"/>
  <c r="G20"/>
  <c r="K20"/>
  <c r="H20" i="168"/>
  <c r="D20"/>
  <c r="D27" s="1"/>
  <c r="B11"/>
  <c r="B10"/>
  <c r="B7"/>
  <c r="B6"/>
  <c r="B4"/>
  <c r="K11"/>
  <c r="C7" i="157"/>
  <c r="C23"/>
  <c r="C27"/>
  <c r="C8" i="163"/>
  <c r="D9"/>
  <c r="B11"/>
  <c r="N12" s="1"/>
  <c r="D13"/>
  <c r="I18"/>
  <c r="E14" i="168"/>
  <c r="AP26" i="2"/>
  <c r="C8" i="157"/>
  <c r="C20"/>
  <c r="D37"/>
  <c r="C32"/>
  <c r="AJ33"/>
  <c r="D6" i="163"/>
  <c r="K6"/>
  <c r="D10"/>
  <c r="E11"/>
  <c r="D14"/>
  <c r="H16"/>
  <c r="D18"/>
  <c r="H18"/>
  <c r="H20"/>
  <c r="F14" i="168"/>
  <c r="E19"/>
  <c r="Q20" s="1"/>
  <c r="I17"/>
  <c r="E15"/>
  <c r="E11"/>
  <c r="E9"/>
  <c r="K12"/>
  <c r="I10"/>
  <c r="J7"/>
  <c r="P44" i="129"/>
  <c r="P45"/>
  <c r="Q42"/>
  <c r="R28"/>
  <c r="N30"/>
  <c r="C37" i="2"/>
  <c r="AD6" i="157"/>
  <c r="C6"/>
  <c r="C10"/>
  <c r="C18"/>
  <c r="C22"/>
  <c r="C26"/>
  <c r="C29"/>
  <c r="C31"/>
  <c r="D4" i="163"/>
  <c r="C7"/>
  <c r="C11"/>
  <c r="J11"/>
  <c r="B14"/>
  <c r="J14"/>
  <c r="B20"/>
  <c r="F20"/>
  <c r="J20"/>
  <c r="E20" i="168"/>
  <c r="I18"/>
  <c r="I16"/>
  <c r="H6" i="175"/>
  <c r="T26" i="167"/>
  <c r="T36"/>
  <c r="R18"/>
  <c r="T38"/>
  <c r="S8"/>
  <c r="S11"/>
  <c r="P34"/>
  <c r="T34"/>
  <c r="N36"/>
  <c r="Q9"/>
  <c r="R32"/>
  <c r="Q14"/>
  <c r="P6"/>
  <c r="B24"/>
  <c r="Q32" i="166"/>
  <c r="O26"/>
  <c r="T26"/>
  <c r="T9"/>
  <c r="R11"/>
  <c r="T11"/>
  <c r="N12"/>
  <c r="R16"/>
  <c r="P38"/>
  <c r="T38"/>
  <c r="T32"/>
  <c r="P36"/>
  <c r="T25"/>
  <c r="T10"/>
  <c r="T30"/>
  <c r="T31"/>
  <c r="R30"/>
  <c r="R7"/>
  <c r="P26"/>
  <c r="S30"/>
  <c r="D24"/>
  <c r="P6"/>
  <c r="E24"/>
  <c r="N11"/>
  <c r="N38"/>
  <c r="N28"/>
  <c r="N15"/>
  <c r="N6"/>
  <c r="P7"/>
  <c r="Q16"/>
  <c r="T17"/>
  <c r="S18"/>
  <c r="R19"/>
  <c r="S25"/>
  <c r="S31"/>
  <c r="R34"/>
  <c r="S35"/>
  <c r="P14" i="167"/>
  <c r="N16"/>
  <c r="T18"/>
  <c r="S19"/>
  <c r="T25"/>
  <c r="T31"/>
  <c r="S34"/>
  <c r="T35"/>
  <c r="P39"/>
  <c r="O7" i="166"/>
  <c r="Q8"/>
  <c r="S9"/>
  <c r="Q10"/>
  <c r="S11"/>
  <c r="N14"/>
  <c r="R14"/>
  <c r="Q15"/>
  <c r="P16"/>
  <c r="S17"/>
  <c r="Q19"/>
  <c r="R20"/>
  <c r="P24"/>
  <c r="T24"/>
  <c r="N25"/>
  <c r="R35"/>
  <c r="N39"/>
  <c r="T7" i="167"/>
  <c r="N8"/>
  <c r="T9"/>
  <c r="N10"/>
  <c r="P11"/>
  <c r="T11"/>
  <c r="N12"/>
  <c r="P13"/>
  <c r="R15"/>
  <c r="R30"/>
  <c r="P32"/>
  <c r="N34"/>
  <c r="S35"/>
  <c r="R38"/>
  <c r="S39"/>
  <c r="T6" i="166"/>
  <c r="P8"/>
  <c r="T8"/>
  <c r="N9"/>
  <c r="R9"/>
  <c r="P12"/>
  <c r="T12"/>
  <c r="N13"/>
  <c r="R13"/>
  <c r="P15"/>
  <c r="T15"/>
  <c r="S16"/>
  <c r="N17"/>
  <c r="R17"/>
  <c r="P19"/>
  <c r="T19"/>
  <c r="Q20"/>
  <c r="B24"/>
  <c r="S24"/>
  <c r="Q25"/>
  <c r="S28"/>
  <c r="S33"/>
  <c r="Q39"/>
  <c r="Q6" i="167"/>
  <c r="Q8"/>
  <c r="S9"/>
  <c r="Q12"/>
  <c r="S13"/>
  <c r="Q15"/>
  <c r="P16"/>
  <c r="T16"/>
  <c r="S17"/>
  <c r="Q19"/>
  <c r="N20"/>
  <c r="R20"/>
  <c r="J24"/>
  <c r="P24"/>
  <c r="T24"/>
  <c r="N25"/>
  <c r="R25"/>
  <c r="P29"/>
  <c r="T29"/>
  <c r="P33"/>
  <c r="T33"/>
  <c r="N35"/>
  <c r="R35"/>
  <c r="P37"/>
  <c r="N39"/>
  <c r="R39"/>
  <c r="P17" i="166"/>
  <c r="N19"/>
  <c r="S39"/>
  <c r="Q7" i="167"/>
  <c r="R16"/>
  <c r="Q17"/>
  <c r="P18"/>
  <c r="P25"/>
  <c r="P31"/>
  <c r="P35"/>
  <c r="S38"/>
  <c r="T39"/>
  <c r="S7" i="166"/>
  <c r="O11"/>
  <c r="Q12"/>
  <c r="S13"/>
  <c r="T16"/>
  <c r="N18"/>
  <c r="R18"/>
  <c r="R25"/>
  <c r="Q30"/>
  <c r="S32"/>
  <c r="P7" i="167"/>
  <c r="R8"/>
  <c r="P9"/>
  <c r="R10"/>
  <c r="R12"/>
  <c r="T13"/>
  <c r="S14"/>
  <c r="Q16"/>
  <c r="P17"/>
  <c r="T17"/>
  <c r="S18"/>
  <c r="N19"/>
  <c r="D24"/>
  <c r="K24"/>
  <c r="N30"/>
  <c r="T32"/>
  <c r="S8" i="166"/>
  <c r="Q9"/>
  <c r="Q13"/>
  <c r="O15"/>
  <c r="S15"/>
  <c r="Q17"/>
  <c r="S19"/>
  <c r="P20"/>
  <c r="T20"/>
  <c r="P8" i="167"/>
  <c r="T8"/>
  <c r="N9"/>
  <c r="R9"/>
  <c r="N13"/>
  <c r="R13"/>
  <c r="T15"/>
  <c r="R17"/>
  <c r="T19"/>
  <c r="Q20"/>
  <c r="R24" i="81"/>
  <c r="N10" i="164"/>
  <c r="R9"/>
  <c r="N9"/>
  <c r="N24"/>
  <c r="N34" i="163"/>
  <c r="AC22" i="139"/>
  <c r="P22"/>
  <c r="BB23" i="160"/>
  <c r="BB31"/>
  <c r="BB18"/>
  <c r="BB22"/>
  <c r="BB16"/>
  <c r="BB19"/>
  <c r="BK12"/>
  <c r="AJ17" i="147"/>
  <c r="AJ41" i="149"/>
  <c r="BK11" i="159"/>
  <c r="AZ20"/>
  <c r="AZ24"/>
  <c r="AT22" i="161"/>
  <c r="BC12"/>
  <c r="AT23"/>
  <c r="AT12"/>
  <c r="BC11"/>
  <c r="BE11"/>
  <c r="AV23"/>
  <c r="AV20"/>
  <c r="BB19" i="159"/>
  <c r="BB23"/>
  <c r="BB18"/>
  <c r="BB20"/>
  <c r="AH13" i="149"/>
  <c r="AV13" i="162"/>
  <c r="AV14"/>
  <c r="AV28"/>
  <c r="AV41"/>
  <c r="BE10"/>
  <c r="BE11"/>
  <c r="AV17"/>
  <c r="AV31"/>
  <c r="AV12"/>
  <c r="AT13"/>
  <c r="AT20"/>
  <c r="AT24"/>
  <c r="AV43"/>
  <c r="AV20"/>
  <c r="AV24"/>
  <c r="AT23"/>
  <c r="AV21" i="161"/>
  <c r="AT13"/>
  <c r="AV18"/>
  <c r="AT20"/>
  <c r="AV22"/>
  <c r="AT24"/>
  <c r="AT21"/>
  <c r="BB13" i="160"/>
  <c r="BB14"/>
  <c r="BB20"/>
  <c r="BB24"/>
  <c r="BB28"/>
  <c r="BB41"/>
  <c r="AZ11" i="159"/>
  <c r="BK10" i="160"/>
  <c r="BK11"/>
  <c r="BB17"/>
  <c r="AZ23"/>
  <c r="BB42"/>
  <c r="BI10" i="159"/>
  <c r="BI11"/>
  <c r="BK12"/>
  <c r="AZ17"/>
  <c r="AZ21"/>
  <c r="AZ11" i="160"/>
  <c r="BB12"/>
  <c r="AZ13"/>
  <c r="AZ24"/>
  <c r="BB43"/>
  <c r="BB21" i="159"/>
  <c r="BB22"/>
  <c r="BB15" i="160"/>
  <c r="Q15" i="133"/>
  <c r="Q38"/>
  <c r="R20"/>
  <c r="Q20"/>
  <c r="P14"/>
  <c r="R38"/>
  <c r="R7" i="138"/>
  <c r="R6"/>
  <c r="W22"/>
  <c r="S27"/>
  <c r="V33"/>
  <c r="N20"/>
  <c r="W8"/>
  <c r="Q5"/>
  <c r="W5"/>
  <c r="T7"/>
  <c r="V8"/>
  <c r="W9"/>
  <c r="W10"/>
  <c r="S15"/>
  <c r="W31"/>
  <c r="R15"/>
  <c r="T10"/>
  <c r="S9"/>
  <c r="U23"/>
  <c r="J20"/>
  <c r="W12"/>
  <c r="M20"/>
  <c r="F21"/>
  <c r="S25"/>
  <c r="S33"/>
  <c r="L22"/>
  <c r="H22"/>
  <c r="C22"/>
  <c r="K22"/>
  <c r="B21"/>
  <c r="W6"/>
  <c r="T16" i="137"/>
  <c r="U12"/>
  <c r="S12"/>
  <c r="T8"/>
  <c r="M22"/>
  <c r="T23"/>
  <c r="T26"/>
  <c r="S28"/>
  <c r="T30"/>
  <c r="V10"/>
  <c r="T5"/>
  <c r="V6"/>
  <c r="V7"/>
  <c r="S10"/>
  <c r="S14"/>
  <c r="V15"/>
  <c r="M20"/>
  <c r="D21"/>
  <c r="I22"/>
  <c r="T29"/>
  <c r="V30"/>
  <c r="U16"/>
  <c r="U8"/>
  <c r="T11"/>
  <c r="D20"/>
  <c r="U22"/>
  <c r="T24"/>
  <c r="U14"/>
  <c r="Q16"/>
  <c r="Q15"/>
  <c r="B21"/>
  <c r="Q8"/>
  <c r="K26" i="136"/>
  <c r="D26"/>
  <c r="T12"/>
  <c r="V18"/>
  <c r="U7"/>
  <c r="S16"/>
  <c r="L25"/>
  <c r="V6"/>
  <c r="W25"/>
  <c r="R34" i="135"/>
  <c r="U25"/>
  <c r="U20"/>
  <c r="D26"/>
  <c r="T16"/>
  <c r="S12"/>
  <c r="Q7"/>
  <c r="Q18"/>
  <c r="D25"/>
  <c r="S28"/>
  <c r="T33"/>
  <c r="S35"/>
  <c r="S37"/>
  <c r="U12"/>
  <c r="T20"/>
  <c r="S36"/>
  <c r="V19"/>
  <c r="S16"/>
  <c r="Q14"/>
  <c r="W10"/>
  <c r="S8"/>
  <c r="L25"/>
  <c r="S26"/>
  <c r="L27"/>
  <c r="T31"/>
  <c r="J26"/>
  <c r="W25"/>
  <c r="Q8"/>
  <c r="R43" i="142"/>
  <c r="T17"/>
  <c r="Q23"/>
  <c r="Q26"/>
  <c r="T30"/>
  <c r="R40"/>
  <c r="T42"/>
  <c r="X17"/>
  <c r="AC17"/>
  <c r="AA19"/>
  <c r="O21"/>
  <c r="T22"/>
  <c r="P25"/>
  <c r="N27"/>
  <c r="Q31"/>
  <c r="S32"/>
  <c r="E38"/>
  <c r="R38"/>
  <c r="N40"/>
  <c r="R41"/>
  <c r="P42"/>
  <c r="R44"/>
  <c r="R45"/>
  <c r="N25"/>
  <c r="Q24"/>
  <c r="N20"/>
  <c r="T18"/>
  <c r="B36"/>
  <c r="Z18" i="145"/>
  <c r="N18"/>
  <c r="X16" i="142"/>
  <c r="AA17"/>
  <c r="R20"/>
  <c r="S24"/>
  <c r="O32"/>
  <c r="R36"/>
  <c r="N37"/>
  <c r="I38"/>
  <c r="N42"/>
  <c r="N43"/>
  <c r="N19"/>
  <c r="Q17"/>
  <c r="Y18"/>
  <c r="W19"/>
  <c r="P21"/>
  <c r="S28"/>
  <c r="S37"/>
  <c r="S38"/>
  <c r="S41"/>
  <c r="S42"/>
  <c r="S45"/>
  <c r="X19"/>
  <c r="Q32"/>
  <c r="T31"/>
  <c r="O31"/>
  <c r="R30"/>
  <c r="T28"/>
  <c r="AA18"/>
  <c r="Z18"/>
  <c r="O27"/>
  <c r="R26"/>
  <c r="P24"/>
  <c r="S40"/>
  <c r="O40"/>
  <c r="P45"/>
  <c r="S36"/>
  <c r="O36"/>
  <c r="Q32" i="141"/>
  <c r="R41"/>
  <c r="AA18"/>
  <c r="Q24"/>
  <c r="P23"/>
  <c r="R21"/>
  <c r="Q38"/>
  <c r="T40"/>
  <c r="X6" i="158"/>
  <c r="X7"/>
  <c r="X8"/>
  <c r="AL8"/>
  <c r="AL10" s="1"/>
  <c r="AL9"/>
  <c r="Z11"/>
  <c r="AG11"/>
  <c r="AC12"/>
  <c r="AC14"/>
  <c r="X21"/>
  <c r="AC28"/>
  <c r="AK37"/>
  <c r="AK38"/>
  <c r="AK39"/>
  <c r="AH43"/>
  <c r="AK47"/>
  <c r="AH6"/>
  <c r="AM6"/>
  <c r="AC7"/>
  <c r="AC8"/>
  <c r="Z9"/>
  <c r="AG9"/>
  <c r="Z10"/>
  <c r="AB12"/>
  <c r="AB13"/>
  <c r="AB14"/>
  <c r="Z15"/>
  <c r="Z16"/>
  <c r="Z17"/>
  <c r="Z18"/>
  <c r="Y19"/>
  <c r="AC19"/>
  <c r="Z20"/>
  <c r="AD20"/>
  <c r="X22"/>
  <c r="AB22"/>
  <c r="Y23"/>
  <c r="AC23"/>
  <c r="Z24"/>
  <c r="AD24"/>
  <c r="AD25"/>
  <c r="Z26"/>
  <c r="AG31"/>
  <c r="AK31"/>
  <c r="AF36"/>
  <c r="AL36"/>
  <c r="AF37"/>
  <c r="AG43"/>
  <c r="AK43"/>
  <c r="AF47"/>
  <c r="AG49"/>
  <c r="AG50"/>
  <c r="AF51"/>
  <c r="AL51"/>
  <c r="AD28"/>
  <c r="AK48"/>
  <c r="AF48"/>
  <c r="AC22"/>
  <c r="AH31"/>
  <c r="AF33"/>
  <c r="L37"/>
  <c r="AF46"/>
  <c r="AD6"/>
  <c r="AB7"/>
  <c r="X9"/>
  <c r="AD9"/>
  <c r="X10"/>
  <c r="AD10"/>
  <c r="Z12"/>
  <c r="Z14"/>
  <c r="X15"/>
  <c r="X17"/>
  <c r="X18"/>
  <c r="AB19"/>
  <c r="Y20"/>
  <c r="AC20"/>
  <c r="AD21"/>
  <c r="Y25"/>
  <c r="AC25"/>
  <c r="AF31"/>
  <c r="AL33"/>
  <c r="AK36"/>
  <c r="U37"/>
  <c r="AF41"/>
  <c r="AF43"/>
  <c r="AK50"/>
  <c r="AL50"/>
  <c r="AL6"/>
  <c r="AL7"/>
  <c r="AF25"/>
  <c r="AO25" s="1"/>
  <c r="AC31"/>
  <c r="AC34"/>
  <c r="AF50"/>
  <c r="AG6"/>
  <c r="AG7"/>
  <c r="AK7"/>
  <c r="AK8"/>
  <c r="AK10" s="1"/>
  <c r="AJ11"/>
  <c r="AJ23"/>
  <c r="AS23" s="1"/>
  <c r="AG24"/>
  <c r="X31"/>
  <c r="Z32"/>
  <c r="Z33"/>
  <c r="AD33"/>
  <c r="AB34"/>
  <c r="N39"/>
  <c r="S39"/>
  <c r="AG48"/>
  <c r="AJ7"/>
  <c r="AJ8"/>
  <c r="AJ10" s="1"/>
  <c r="AC32"/>
  <c r="AA34"/>
  <c r="Y29"/>
  <c r="U39"/>
  <c r="AS24"/>
  <c r="AB8" i="157"/>
  <c r="X32"/>
  <c r="X14"/>
  <c r="AI42"/>
  <c r="Z31"/>
  <c r="AK47"/>
  <c r="AI44"/>
  <c r="AJ34"/>
  <c r="AJ30"/>
  <c r="AD23"/>
  <c r="AF33"/>
  <c r="AJ9"/>
  <c r="AA22"/>
  <c r="Y27"/>
  <c r="Z33"/>
  <c r="AI34"/>
  <c r="AI30"/>
  <c r="K37"/>
  <c r="AG7"/>
  <c r="AC20"/>
  <c r="X30"/>
  <c r="AC31"/>
  <c r="AI32"/>
  <c r="AI36"/>
  <c r="E37"/>
  <c r="AK44"/>
  <c r="AJ6"/>
  <c r="AJ8"/>
  <c r="AJ10" s="1"/>
  <c r="X10"/>
  <c r="AJ43"/>
  <c r="AJ47"/>
  <c r="AF44"/>
  <c r="AJ37"/>
  <c r="Z11"/>
  <c r="Y10"/>
  <c r="AL11"/>
  <c r="AI6"/>
  <c r="AL7"/>
  <c r="AA13"/>
  <c r="Y20"/>
  <c r="Z21"/>
  <c r="AC24"/>
  <c r="AA25"/>
  <c r="AC26"/>
  <c r="AC27"/>
  <c r="AK30"/>
  <c r="AI31"/>
  <c r="AL32"/>
  <c r="AB34"/>
  <c r="AI37"/>
  <c r="AF42"/>
  <c r="AI43"/>
  <c r="AI46"/>
  <c r="AI48"/>
  <c r="AD28"/>
  <c r="Y25"/>
  <c r="AA24"/>
  <c r="AD24"/>
  <c r="Y23"/>
  <c r="AM8"/>
  <c r="AM10" s="1"/>
  <c r="AL44"/>
  <c r="Y19"/>
  <c r="AA18"/>
  <c r="AK42"/>
  <c r="AC16"/>
  <c r="AI39"/>
  <c r="X12"/>
  <c r="AA11"/>
  <c r="AD10"/>
  <c r="X7"/>
  <c r="AL30"/>
  <c r="AD7"/>
  <c r="AB20"/>
  <c r="AB25"/>
  <c r="Z28"/>
  <c r="AI33"/>
  <c r="AI38"/>
  <c r="AJ44"/>
  <c r="AJ46"/>
  <c r="AB28"/>
  <c r="Z18"/>
  <c r="AI41"/>
  <c r="AC10"/>
  <c r="AB9"/>
  <c r="Y6"/>
  <c r="AG6"/>
  <c r="AL6"/>
  <c r="AH7"/>
  <c r="AK9"/>
  <c r="AB10"/>
  <c r="AH11"/>
  <c r="AG23"/>
  <c r="AP22" s="1"/>
  <c r="X25"/>
  <c r="AB30"/>
  <c r="AD31"/>
  <c r="AB32"/>
  <c r="AJ32"/>
  <c r="X34"/>
  <c r="AJ36"/>
  <c r="AF38"/>
  <c r="AF41"/>
  <c r="AF43"/>
  <c r="AF46"/>
  <c r="B37"/>
  <c r="AC14"/>
  <c r="Z12"/>
  <c r="Z8"/>
  <c r="AC7"/>
  <c r="Y7"/>
  <c r="AJ31"/>
  <c r="AO23" i="158"/>
  <c r="AP23"/>
  <c r="AP22"/>
  <c r="AT22"/>
  <c r="AO26"/>
  <c r="AO22"/>
  <c r="Z7" i="157"/>
  <c r="Z14"/>
  <c r="AC17"/>
  <c r="AC21"/>
  <c r="X26"/>
  <c r="X27"/>
  <c r="AK32"/>
  <c r="AK41"/>
  <c r="AF49"/>
  <c r="AC6"/>
  <c r="AA8"/>
  <c r="AH8"/>
  <c r="AH10" s="1"/>
  <c r="X9"/>
  <c r="AH9"/>
  <c r="AL9"/>
  <c r="Z10"/>
  <c r="AG11"/>
  <c r="AM11"/>
  <c r="X13"/>
  <c r="X15"/>
  <c r="Z16"/>
  <c r="AA17"/>
  <c r="Z19"/>
  <c r="AD19"/>
  <c r="AA20"/>
  <c r="X21"/>
  <c r="AB21"/>
  <c r="Y22"/>
  <c r="AC22"/>
  <c r="Z25"/>
  <c r="AD25"/>
  <c r="AA26"/>
  <c r="AA27"/>
  <c r="Y28"/>
  <c r="AG31"/>
  <c r="AK31"/>
  <c r="AF32"/>
  <c r="AH33"/>
  <c r="AL33"/>
  <c r="AG34"/>
  <c r="AK34"/>
  <c r="AH36"/>
  <c r="AL36"/>
  <c r="AG37"/>
  <c r="AK37"/>
  <c r="AH43"/>
  <c r="AL43"/>
  <c r="AH46"/>
  <c r="AL46"/>
  <c r="AL48"/>
  <c r="AK49"/>
  <c r="AK50"/>
  <c r="Z6"/>
  <c r="X8"/>
  <c r="AC9"/>
  <c r="X11"/>
  <c r="Z13"/>
  <c r="Z15"/>
  <c r="AC18"/>
  <c r="X20"/>
  <c r="Z22"/>
  <c r="Z23"/>
  <c r="X24"/>
  <c r="AF30"/>
  <c r="AH37"/>
  <c r="AK38"/>
  <c r="AK39"/>
  <c r="AF50"/>
  <c r="AB6"/>
  <c r="AB7"/>
  <c r="AG9"/>
  <c r="AD11"/>
  <c r="AD12"/>
  <c r="AC13"/>
  <c r="Z17"/>
  <c r="AD20"/>
  <c r="AA21"/>
  <c r="X22"/>
  <c r="AB22"/>
  <c r="AB23"/>
  <c r="Z26"/>
  <c r="AD26"/>
  <c r="AD27"/>
  <c r="AF31"/>
  <c r="AG33"/>
  <c r="AK33"/>
  <c r="AG36"/>
  <c r="AK36"/>
  <c r="AF37"/>
  <c r="AG43"/>
  <c r="AK43"/>
  <c r="AG46"/>
  <c r="AK46"/>
  <c r="AL49"/>
  <c r="AG49"/>
  <c r="AH6"/>
  <c r="AK11"/>
  <c r="AA30"/>
  <c r="Y33"/>
  <c r="AA34"/>
  <c r="O39"/>
  <c r="AI7"/>
  <c r="AM7"/>
  <c r="AK8"/>
  <c r="AK10" s="1"/>
  <c r="Y30"/>
  <c r="AA31"/>
  <c r="Y32"/>
  <c r="AC32"/>
  <c r="AA33"/>
  <c r="Y34"/>
  <c r="AC34"/>
  <c r="S39"/>
  <c r="AF48"/>
  <c r="AJ48"/>
  <c r="AI24"/>
  <c r="AR23" s="1"/>
  <c r="AK25"/>
  <c r="AM6"/>
  <c r="AK7"/>
  <c r="AI26"/>
  <c r="AD29"/>
  <c r="AA32"/>
  <c r="AJ7"/>
  <c r="AL8"/>
  <c r="AL10" s="1"/>
  <c r="AJ11"/>
  <c r="AK23"/>
  <c r="Z30"/>
  <c r="AD30"/>
  <c r="Z34"/>
  <c r="AD34"/>
  <c r="AF24"/>
  <c r="AJ24"/>
  <c r="AG25"/>
  <c r="AF26"/>
  <c r="AJ26"/>
  <c r="AS25" s="1"/>
  <c r="AA28"/>
  <c r="AH22"/>
  <c r="AQ22" s="1"/>
  <c r="AA29"/>
  <c r="Z29"/>
  <c r="L39"/>
  <c r="X29"/>
  <c r="AF22"/>
  <c r="AO26" s="1"/>
  <c r="X28"/>
  <c r="I37"/>
  <c r="J37"/>
  <c r="Q44" i="130"/>
  <c r="R17"/>
  <c r="AD26" i="128"/>
  <c r="AC18"/>
  <c r="AF43"/>
  <c r="AB17"/>
  <c r="Z16"/>
  <c r="AC12"/>
  <c r="Z7"/>
  <c r="T37" i="141"/>
  <c r="AA19"/>
  <c r="T43"/>
  <c r="T26" i="143"/>
  <c r="P43" i="141"/>
  <c r="P41"/>
  <c r="Y17"/>
  <c r="N26"/>
  <c r="P24"/>
  <c r="S23"/>
  <c r="P20"/>
  <c r="X17"/>
  <c r="N19"/>
  <c r="Y19"/>
  <c r="AC19"/>
  <c r="N37" i="5"/>
  <c r="N33"/>
  <c r="S14"/>
  <c r="N13"/>
  <c r="S10"/>
  <c r="AB16" i="143"/>
  <c r="G38"/>
  <c r="O20"/>
  <c r="O38" i="5"/>
  <c r="AB19" i="141"/>
  <c r="T27"/>
  <c r="N18"/>
  <c r="O42" i="143"/>
  <c r="T26" i="81"/>
  <c r="AC17" i="141"/>
  <c r="O19"/>
  <c r="P31"/>
  <c r="O37"/>
  <c r="J38"/>
  <c r="O37" i="143"/>
  <c r="T31" i="141"/>
  <c r="O43"/>
  <c r="T41"/>
  <c r="O41"/>
  <c r="Q28"/>
  <c r="O24"/>
  <c r="R23"/>
  <c r="N23"/>
  <c r="O38"/>
  <c r="R40"/>
  <c r="N40"/>
  <c r="Q18"/>
  <c r="X16"/>
  <c r="S44" i="143"/>
  <c r="F38"/>
  <c r="N28"/>
  <c r="Q23"/>
  <c r="P22"/>
  <c r="Q40"/>
  <c r="S36" i="141"/>
  <c r="P38"/>
  <c r="O44"/>
  <c r="O40"/>
  <c r="R18"/>
  <c r="S37" i="81"/>
  <c r="S35"/>
  <c r="S33"/>
  <c r="S28"/>
  <c r="S19" i="141"/>
  <c r="O26"/>
  <c r="P37"/>
  <c r="K38"/>
  <c r="S32"/>
  <c r="P42"/>
  <c r="S41"/>
  <c r="P29"/>
  <c r="S28"/>
  <c r="W18"/>
  <c r="R25"/>
  <c r="N25"/>
  <c r="N21"/>
  <c r="Q42"/>
  <c r="T19"/>
  <c r="P19"/>
  <c r="S18"/>
  <c r="T31" i="143"/>
  <c r="O31"/>
  <c r="R30"/>
  <c r="Q31"/>
  <c r="T29"/>
  <c r="O30"/>
  <c r="R29"/>
  <c r="Q28"/>
  <c r="T28"/>
  <c r="X18"/>
  <c r="R26"/>
  <c r="S23"/>
  <c r="Q21"/>
  <c r="T38"/>
  <c r="P44"/>
  <c r="O36"/>
  <c r="R18"/>
  <c r="AL30" i="128"/>
  <c r="AK37"/>
  <c r="AL7"/>
  <c r="C27" i="130"/>
  <c r="O42" s="1"/>
  <c r="R39"/>
  <c r="P32" i="6"/>
  <c r="AB29" i="128"/>
  <c r="C5"/>
  <c r="AJ50"/>
  <c r="AA33"/>
  <c r="AD33"/>
  <c r="Y32"/>
  <c r="AC31"/>
  <c r="AB30"/>
  <c r="AD28"/>
  <c r="X27"/>
  <c r="B37"/>
  <c r="X18"/>
  <c r="AL38"/>
  <c r="X14"/>
  <c r="AB10"/>
  <c r="AD9"/>
  <c r="X10"/>
  <c r="X8"/>
  <c r="X9"/>
  <c r="U39"/>
  <c r="P18" i="130"/>
  <c r="T18"/>
  <c r="T22"/>
  <c r="T24"/>
  <c r="AD14" i="128"/>
  <c r="S37"/>
  <c r="Q46" i="130"/>
  <c r="Q40"/>
  <c r="N24"/>
  <c r="P26"/>
  <c r="T43"/>
  <c r="AR26" i="1"/>
  <c r="C19" i="130"/>
  <c r="O36" s="1"/>
  <c r="Q11" i="6"/>
  <c r="P10"/>
  <c r="AH33" i="128"/>
  <c r="K37"/>
  <c r="C29" i="130"/>
  <c r="O20"/>
  <c r="AB33" i="128"/>
  <c r="M37"/>
  <c r="AD30"/>
  <c r="Y30"/>
  <c r="AI24"/>
  <c r="AC29"/>
  <c r="AL39"/>
  <c r="AG37"/>
  <c r="AK31"/>
  <c r="Y6"/>
  <c r="Q19" i="130"/>
  <c r="B36"/>
  <c r="S28"/>
  <c r="Q43"/>
  <c r="R43"/>
  <c r="C31"/>
  <c r="T44"/>
  <c r="Q7" i="6"/>
  <c r="AH8" i="128"/>
  <c r="AH10" s="1"/>
  <c r="R16" i="6"/>
  <c r="N34"/>
  <c r="P15"/>
  <c r="N13"/>
  <c r="S10"/>
  <c r="P7"/>
  <c r="AH7" i="128"/>
  <c r="AH9"/>
  <c r="Y29"/>
  <c r="X32"/>
  <c r="AB31"/>
  <c r="AI23"/>
  <c r="AC28"/>
  <c r="Y24"/>
  <c r="AD23"/>
  <c r="AD21"/>
  <c r="Y21"/>
  <c r="AL43"/>
  <c r="AG43"/>
  <c r="I36" i="130"/>
  <c r="P38"/>
  <c r="C23"/>
  <c r="O23" s="1"/>
  <c r="S40"/>
  <c r="P30"/>
  <c r="N30"/>
  <c r="C37" i="1"/>
  <c r="C21" i="128"/>
  <c r="C38" s="1"/>
  <c r="O35" i="6"/>
  <c r="AL34" i="128"/>
  <c r="AK41"/>
  <c r="J37"/>
  <c r="X24"/>
  <c r="C22"/>
  <c r="AC20"/>
  <c r="X20"/>
  <c r="AD19"/>
  <c r="X13"/>
  <c r="K36" i="130"/>
  <c r="N22"/>
  <c r="S42"/>
  <c r="N37" i="6"/>
  <c r="O31"/>
  <c r="D24"/>
  <c r="S21"/>
  <c r="N20"/>
  <c r="P35"/>
  <c r="S18"/>
  <c r="P18"/>
  <c r="S32"/>
  <c r="S30"/>
  <c r="P29"/>
  <c r="Q28"/>
  <c r="S24"/>
  <c r="O24"/>
  <c r="AL11" i="128"/>
  <c r="AI31"/>
  <c r="AH41"/>
  <c r="AC33"/>
  <c r="AC25"/>
  <c r="C23"/>
  <c r="AF42"/>
  <c r="C19"/>
  <c r="AF39"/>
  <c r="AB11"/>
  <c r="AL36"/>
  <c r="AF36"/>
  <c r="AL33"/>
  <c r="C8"/>
  <c r="AB7"/>
  <c r="AD7"/>
  <c r="C6"/>
  <c r="AC17" i="130"/>
  <c r="T26"/>
  <c r="T46"/>
  <c r="T40"/>
  <c r="C17"/>
  <c r="X19" s="1"/>
  <c r="P39"/>
  <c r="C28"/>
  <c r="C30"/>
  <c r="O43" s="1"/>
  <c r="T29"/>
  <c r="C25" i="128"/>
  <c r="AA25"/>
  <c r="Y19"/>
  <c r="AH38"/>
  <c r="R28" i="130"/>
  <c r="T37"/>
  <c r="S36"/>
  <c r="T38"/>
  <c r="Q25"/>
  <c r="S44"/>
  <c r="S31" i="6"/>
  <c r="Q6"/>
  <c r="J24"/>
  <c r="O36"/>
  <c r="Q19"/>
  <c r="T32"/>
  <c r="Q15"/>
  <c r="T14"/>
  <c r="P14"/>
  <c r="O13"/>
  <c r="N12"/>
  <c r="T10"/>
  <c r="O9"/>
  <c r="N25"/>
  <c r="I26"/>
  <c r="AL6" i="128"/>
  <c r="X21"/>
  <c r="AD32"/>
  <c r="Y34"/>
  <c r="AJ43"/>
  <c r="T39" i="130"/>
  <c r="S31" i="5"/>
  <c r="P36"/>
  <c r="Q23" i="129"/>
  <c r="S25"/>
  <c r="T43"/>
  <c r="Q6" i="5"/>
  <c r="P10"/>
  <c r="Q27" i="129"/>
  <c r="Q25" i="5"/>
  <c r="AA34" i="127"/>
  <c r="AB32"/>
  <c r="AB30"/>
  <c r="AH7"/>
  <c r="Y28"/>
  <c r="AA25"/>
  <c r="Y24"/>
  <c r="AL46"/>
  <c r="AG48"/>
  <c r="AA20"/>
  <c r="AI43"/>
  <c r="AC18"/>
  <c r="AA13"/>
  <c r="AC13"/>
  <c r="Y12"/>
  <c r="AB11"/>
  <c r="AD9"/>
  <c r="Z9"/>
  <c r="Y8"/>
  <c r="AB7"/>
  <c r="Z18" i="129"/>
  <c r="S18"/>
  <c r="Q36"/>
  <c r="N38"/>
  <c r="P40"/>
  <c r="T23"/>
  <c r="AC17"/>
  <c r="C5" i="127"/>
  <c r="C37" s="1"/>
  <c r="AP23" i="2"/>
  <c r="AP25"/>
  <c r="AI23" i="127"/>
  <c r="AC6"/>
  <c r="T31" i="129"/>
  <c r="C20"/>
  <c r="O44" s="1"/>
  <c r="Y17"/>
  <c r="R31" i="5"/>
  <c r="N44" i="129"/>
  <c r="R37" i="5"/>
  <c r="R33"/>
  <c r="Q33"/>
  <c r="R30"/>
  <c r="Z17" i="129"/>
  <c r="P18"/>
  <c r="R18"/>
  <c r="N21"/>
  <c r="S22"/>
  <c r="N24"/>
  <c r="C31" i="127"/>
  <c r="S43" i="129"/>
  <c r="AS22" i="2"/>
  <c r="AQ24"/>
  <c r="P20" i="5"/>
  <c r="P18"/>
  <c r="P16"/>
  <c r="O12"/>
  <c r="Q30"/>
  <c r="S8"/>
  <c r="O8"/>
  <c r="C29" i="127"/>
  <c r="N43" i="129"/>
  <c r="N18"/>
  <c r="O24"/>
  <c r="C26" i="5"/>
  <c r="O39" i="127"/>
  <c r="AF46"/>
  <c r="AH44"/>
  <c r="N23" i="129"/>
  <c r="T26"/>
  <c r="O25"/>
  <c r="O29"/>
  <c r="C9" i="127"/>
  <c r="C18"/>
  <c r="C22"/>
  <c r="C26"/>
  <c r="S26" i="5"/>
  <c r="Q10"/>
  <c r="C10" i="127"/>
  <c r="C23"/>
  <c r="C27"/>
  <c r="C5" i="129"/>
  <c r="P12" i="5"/>
  <c r="P8"/>
  <c r="P24"/>
  <c r="P38"/>
  <c r="S20"/>
  <c r="S35"/>
  <c r="N19"/>
  <c r="P34"/>
  <c r="O15"/>
  <c r="R14"/>
  <c r="N14"/>
  <c r="Q13"/>
  <c r="O11"/>
  <c r="R10"/>
  <c r="S24"/>
  <c r="O7"/>
  <c r="I26"/>
  <c r="E37" i="127"/>
  <c r="C7"/>
  <c r="C11"/>
  <c r="C20"/>
  <c r="C28"/>
  <c r="C38" s="1"/>
  <c r="C30"/>
  <c r="C32"/>
  <c r="C18" i="129"/>
  <c r="O17" s="1"/>
  <c r="S38" i="5"/>
  <c r="Q14"/>
  <c r="P13"/>
  <c r="S25"/>
  <c r="T17" i="129"/>
  <c r="R23"/>
  <c r="S12" i="5"/>
  <c r="P26"/>
  <c r="T20"/>
  <c r="O37"/>
  <c r="Q20"/>
  <c r="T35"/>
  <c r="O19"/>
  <c r="Q18"/>
  <c r="O17"/>
  <c r="Q16"/>
  <c r="T15"/>
  <c r="Q11"/>
  <c r="S9"/>
  <c r="R35"/>
  <c r="N8"/>
  <c r="Q7"/>
  <c r="C8" i="127"/>
  <c r="C12"/>
  <c r="Z20"/>
  <c r="Z18"/>
  <c r="Z11"/>
  <c r="W16" i="129"/>
  <c r="P22"/>
  <c r="S42"/>
  <c r="N42"/>
  <c r="R24"/>
  <c r="R38"/>
  <c r="AI26" i="153"/>
  <c r="AI28"/>
  <c r="AI14"/>
  <c r="AI16"/>
  <c r="AI20"/>
  <c r="AI37"/>
  <c r="AI17" i="152"/>
  <c r="AI21"/>
  <c r="AI18"/>
  <c r="AI22"/>
  <c r="AG10" i="153"/>
  <c r="AI11"/>
  <c r="AI15"/>
  <c r="AI17"/>
  <c r="AI21"/>
  <c r="AI23" i="152"/>
  <c r="AP10" i="153"/>
  <c r="AG20"/>
  <c r="AG22" i="152"/>
  <c r="AG26"/>
  <c r="AI10" i="153"/>
  <c r="AI12"/>
  <c r="AI13"/>
  <c r="AI23"/>
  <c r="AI27"/>
  <c r="AI35"/>
  <c r="AP9"/>
  <c r="AR11"/>
  <c r="AG12" i="152"/>
  <c r="AR10" i="153"/>
  <c r="AS11" i="149"/>
  <c r="AH12"/>
  <c r="AH18"/>
  <c r="AH20"/>
  <c r="AJ14"/>
  <c r="AJ28"/>
  <c r="AJ31"/>
  <c r="AJ20" i="147"/>
  <c r="AJ27" i="149"/>
  <c r="AS10"/>
  <c r="AJ13"/>
  <c r="AJ42"/>
  <c r="AJ21"/>
  <c r="AJ17"/>
  <c r="AJ18"/>
  <c r="AQ11"/>
  <c r="AH17"/>
  <c r="AH21"/>
  <c r="AH22"/>
  <c r="AQ12"/>
  <c r="AJ23"/>
  <c r="AJ24"/>
  <c r="AH19"/>
  <c r="AH23"/>
  <c r="AJ19"/>
  <c r="AH24"/>
  <c r="AH18" i="147"/>
  <c r="AQ12"/>
  <c r="AH31"/>
  <c r="AH16"/>
  <c r="AH12"/>
  <c r="AH23"/>
  <c r="AH13"/>
  <c r="AQ10"/>
  <c r="AH40"/>
  <c r="AF43"/>
  <c r="AJ11"/>
  <c r="AG16"/>
  <c r="AK31"/>
  <c r="AF11"/>
  <c r="AI12"/>
  <c r="AU12"/>
  <c r="AI27"/>
  <c r="AF31"/>
  <c r="AJ31"/>
  <c r="AI15"/>
  <c r="AF16"/>
  <c r="AJ16"/>
  <c r="AH17"/>
  <c r="AL17"/>
  <c r="AF18"/>
  <c r="AJ18"/>
  <c r="AH19"/>
  <c r="AL19"/>
  <c r="AF40"/>
  <c r="AG23"/>
  <c r="AG41"/>
  <c r="AL42"/>
  <c r="AI23"/>
  <c r="AJ42"/>
  <c r="AO10"/>
  <c r="AO12"/>
  <c r="AK15"/>
  <c r="AK17"/>
  <c r="AK19"/>
  <c r="AH22"/>
  <c r="AI43"/>
  <c r="AS10"/>
  <c r="AR11"/>
  <c r="AG15"/>
  <c r="AK16"/>
  <c r="AG17"/>
  <c r="AJ21"/>
  <c r="AI21"/>
  <c r="AJ40"/>
  <c r="AF22"/>
  <c r="AF24"/>
  <c r="AK41"/>
  <c r="AF42"/>
  <c r="AH11"/>
  <c r="AL11"/>
  <c r="AG12"/>
  <c r="AK12"/>
  <c r="AF13"/>
  <c r="AJ13"/>
  <c r="AP13"/>
  <c r="AT13"/>
  <c r="AH21"/>
  <c r="AL21"/>
  <c r="AG22"/>
  <c r="AK22"/>
  <c r="AF23"/>
  <c r="AJ23"/>
  <c r="AI24"/>
  <c r="AH27"/>
  <c r="AL27"/>
  <c r="AF28"/>
  <c r="AJ28"/>
  <c r="AI40"/>
  <c r="AF41"/>
  <c r="AJ41"/>
  <c r="AG42"/>
  <c r="AH43"/>
  <c r="AL43"/>
  <c r="AR10"/>
  <c r="AG11"/>
  <c r="AK11"/>
  <c r="AQ11"/>
  <c r="AU11"/>
  <c r="AP12"/>
  <c r="AT12"/>
  <c r="AI13"/>
  <c r="AO13"/>
  <c r="AH14"/>
  <c r="AL14"/>
  <c r="AF15"/>
  <c r="AJ15"/>
  <c r="AJ19"/>
  <c r="AH20"/>
  <c r="AL20"/>
  <c r="AG21"/>
  <c r="AK21"/>
  <c r="AJ22"/>
  <c r="AH24"/>
  <c r="AG27"/>
  <c r="AK27"/>
  <c r="AL40"/>
  <c r="AG43"/>
  <c r="AK43"/>
  <c r="AR13"/>
  <c r="AF27"/>
  <c r="AJ27"/>
  <c r="AH28"/>
  <c r="AL28"/>
  <c r="AL41"/>
  <c r="AI42"/>
  <c r="AS11"/>
  <c r="AR12"/>
  <c r="AQ13"/>
  <c r="AF14"/>
  <c r="AJ14"/>
  <c r="AH15"/>
  <c r="AL15"/>
  <c r="AF20"/>
  <c r="X18" i="145"/>
  <c r="O45"/>
  <c r="Y17"/>
  <c r="P22"/>
  <c r="R36"/>
  <c r="N45"/>
  <c r="N31"/>
  <c r="P31"/>
  <c r="N30"/>
  <c r="N28"/>
  <c r="Q25"/>
  <c r="P24"/>
  <c r="Q21"/>
  <c r="P21"/>
  <c r="S44"/>
  <c r="P17"/>
  <c r="S45"/>
  <c r="R24"/>
  <c r="B36"/>
  <c r="AB16"/>
  <c r="S21"/>
  <c r="B38"/>
  <c r="P26"/>
  <c r="AA18"/>
  <c r="T32"/>
  <c r="R28"/>
  <c r="T28"/>
  <c r="O28"/>
  <c r="N21"/>
  <c r="T37" i="143"/>
  <c r="P27"/>
  <c r="T32"/>
  <c r="O18"/>
  <c r="Q29"/>
  <c r="Q38"/>
  <c r="R32"/>
  <c r="N18"/>
  <c r="Q32"/>
  <c r="O43"/>
  <c r="O40"/>
  <c r="T40"/>
  <c r="S18"/>
  <c r="Y17"/>
  <c r="P19"/>
  <c r="S22"/>
  <c r="T27"/>
  <c r="O41"/>
  <c r="T42"/>
  <c r="T44"/>
  <c r="Q36"/>
  <c r="T30"/>
  <c r="Q27"/>
  <c r="O25"/>
  <c r="R24"/>
  <c r="N24"/>
  <c r="O21"/>
  <c r="T41"/>
  <c r="P23"/>
  <c r="T19"/>
  <c r="X17"/>
  <c r="AC18"/>
  <c r="T43"/>
  <c r="R44"/>
  <c r="O29"/>
  <c r="P32"/>
  <c r="N32"/>
  <c r="P31"/>
  <c r="S30"/>
  <c r="N30"/>
  <c r="S27"/>
  <c r="Q26"/>
  <c r="Q22"/>
  <c r="T20"/>
  <c r="S42"/>
  <c r="AC16"/>
  <c r="P17"/>
  <c r="T17" i="145"/>
  <c r="T40"/>
  <c r="R17"/>
  <c r="Q41"/>
  <c r="N19"/>
  <c r="S22"/>
  <c r="N24"/>
  <c r="S25"/>
  <c r="S36"/>
  <c r="R37"/>
  <c r="R38"/>
  <c r="S40"/>
  <c r="N17"/>
  <c r="S42"/>
  <c r="Z16"/>
  <c r="R20"/>
  <c r="Q43"/>
  <c r="S17"/>
  <c r="R19"/>
  <c r="Q20"/>
  <c r="O21"/>
  <c r="E36"/>
  <c r="S37"/>
  <c r="S38"/>
  <c r="R41"/>
  <c r="P30"/>
  <c r="W18"/>
  <c r="S30"/>
  <c r="X17"/>
  <c r="J38"/>
  <c r="R26"/>
  <c r="O29"/>
  <c r="R32"/>
  <c r="E38"/>
  <c r="Q45"/>
  <c r="Q32"/>
  <c r="I38"/>
  <c r="AB18"/>
  <c r="W19"/>
  <c r="AB19"/>
  <c r="Q31"/>
  <c r="T42"/>
  <c r="S31"/>
  <c r="T31"/>
  <c r="O27"/>
  <c r="Z19"/>
  <c r="R30"/>
  <c r="T44"/>
  <c r="P27"/>
  <c r="D38"/>
  <c r="Q27"/>
  <c r="N27"/>
  <c r="O19" i="143"/>
  <c r="R22"/>
  <c r="Q25"/>
  <c r="T36"/>
  <c r="X16"/>
  <c r="S19"/>
  <c r="R20"/>
  <c r="O23"/>
  <c r="T24"/>
  <c r="S38"/>
  <c r="R40"/>
  <c r="Q41"/>
  <c r="N23"/>
  <c r="S21"/>
  <c r="T17"/>
  <c r="O26"/>
  <c r="S43"/>
  <c r="AC19"/>
  <c r="T23"/>
  <c r="S26"/>
  <c r="S36"/>
  <c r="Q37"/>
  <c r="S40"/>
  <c r="H38"/>
  <c r="AC17"/>
  <c r="N29"/>
  <c r="S41"/>
  <c r="P42"/>
  <c r="S29"/>
  <c r="Y18"/>
  <c r="P28"/>
  <c r="D38"/>
  <c r="AB17"/>
  <c r="Y19"/>
  <c r="Z19"/>
  <c r="C38"/>
  <c r="O27"/>
  <c r="P26"/>
  <c r="N27"/>
  <c r="AC16" i="145"/>
  <c r="Q17"/>
  <c r="O18"/>
  <c r="K36"/>
  <c r="T36"/>
  <c r="O17"/>
  <c r="O19"/>
  <c r="X16"/>
  <c r="T18"/>
  <c r="T23"/>
  <c r="O26"/>
  <c r="Q28"/>
  <c r="R29"/>
  <c r="T41"/>
  <c r="R44"/>
  <c r="Y18"/>
  <c r="AC18"/>
  <c r="Y19"/>
  <c r="AC19"/>
  <c r="T21"/>
  <c r="Q22"/>
  <c r="O24"/>
  <c r="S24"/>
  <c r="P25"/>
  <c r="T25"/>
  <c r="Q26"/>
  <c r="R27"/>
  <c r="S28"/>
  <c r="P29"/>
  <c r="T29"/>
  <c r="Q30"/>
  <c r="O32"/>
  <c r="S32"/>
  <c r="C38"/>
  <c r="K38"/>
  <c r="T38"/>
  <c r="N42"/>
  <c r="T43"/>
  <c r="T45"/>
  <c r="Q44"/>
  <c r="R21"/>
  <c r="O22"/>
  <c r="Q24"/>
  <c r="R25"/>
  <c r="T27"/>
  <c r="O30"/>
  <c r="O41"/>
  <c r="R42"/>
  <c r="AB17"/>
  <c r="O20"/>
  <c r="O23"/>
  <c r="N26"/>
  <c r="S27"/>
  <c r="O31"/>
  <c r="P32"/>
  <c r="Y16"/>
  <c r="P43"/>
  <c r="AA16"/>
  <c r="Z17"/>
  <c r="P19"/>
  <c r="I36"/>
  <c r="P36"/>
  <c r="P37"/>
  <c r="P38"/>
  <c r="P40"/>
  <c r="P42"/>
  <c r="R43"/>
  <c r="P44"/>
  <c r="R45"/>
  <c r="D36"/>
  <c r="P45"/>
  <c r="AA17"/>
  <c r="Q19"/>
  <c r="P20"/>
  <c r="Q36"/>
  <c r="Q37"/>
  <c r="Q38"/>
  <c r="Q40"/>
  <c r="P41"/>
  <c r="Q42"/>
  <c r="N41"/>
  <c r="N20"/>
  <c r="N38"/>
  <c r="N44"/>
  <c r="W17"/>
  <c r="N36"/>
  <c r="N40"/>
  <c r="N43"/>
  <c r="W16"/>
  <c r="N37"/>
  <c r="Q17" i="143"/>
  <c r="Z16"/>
  <c r="O17"/>
  <c r="S17"/>
  <c r="P18"/>
  <c r="T18"/>
  <c r="AA19"/>
  <c r="Q18"/>
  <c r="N22"/>
  <c r="P24"/>
  <c r="N26"/>
  <c r="S31"/>
  <c r="W18"/>
  <c r="AA18"/>
  <c r="X19"/>
  <c r="AB19"/>
  <c r="S20"/>
  <c r="P21"/>
  <c r="T21"/>
  <c r="R23"/>
  <c r="O24"/>
  <c r="S24"/>
  <c r="P25"/>
  <c r="T25"/>
  <c r="R27"/>
  <c r="O28"/>
  <c r="S28"/>
  <c r="P29"/>
  <c r="Q30"/>
  <c r="N31"/>
  <c r="R31"/>
  <c r="O32"/>
  <c r="S32"/>
  <c r="O38"/>
  <c r="Q43"/>
  <c r="O44"/>
  <c r="AB18"/>
  <c r="Z18"/>
  <c r="W19"/>
  <c r="T22"/>
  <c r="S25"/>
  <c r="R28"/>
  <c r="K38"/>
  <c r="P43"/>
  <c r="Y16"/>
  <c r="P36"/>
  <c r="P37"/>
  <c r="AA16"/>
  <c r="Z17"/>
  <c r="Q19"/>
  <c r="P20"/>
  <c r="D36"/>
  <c r="R36"/>
  <c r="R37"/>
  <c r="R38"/>
  <c r="Q42"/>
  <c r="Q44"/>
  <c r="P38"/>
  <c r="AA17"/>
  <c r="R19"/>
  <c r="Q20"/>
  <c r="E36"/>
  <c r="P40"/>
  <c r="P41"/>
  <c r="R42"/>
  <c r="N42"/>
  <c r="B36"/>
  <c r="N19"/>
  <c r="W17"/>
  <c r="N36"/>
  <c r="N40"/>
  <c r="N41"/>
  <c r="N43"/>
  <c r="N20"/>
  <c r="N38"/>
  <c r="N44"/>
  <c r="W16"/>
  <c r="N37"/>
  <c r="P17" i="142"/>
  <c r="N18"/>
  <c r="AB18"/>
  <c r="N24"/>
  <c r="N38"/>
  <c r="N41"/>
  <c r="P43"/>
  <c r="W16"/>
  <c r="AA16"/>
  <c r="O17"/>
  <c r="S17"/>
  <c r="Y17"/>
  <c r="Q18"/>
  <c r="W18"/>
  <c r="O19"/>
  <c r="S19"/>
  <c r="AC19"/>
  <c r="Q20"/>
  <c r="N21"/>
  <c r="R21"/>
  <c r="O22"/>
  <c r="S22"/>
  <c r="P23"/>
  <c r="T23"/>
  <c r="R25"/>
  <c r="O26"/>
  <c r="S26"/>
  <c r="P27"/>
  <c r="T27"/>
  <c r="Q28"/>
  <c r="N29"/>
  <c r="R29"/>
  <c r="O30"/>
  <c r="S30"/>
  <c r="P31"/>
  <c r="J36"/>
  <c r="P36"/>
  <c r="T36"/>
  <c r="R37"/>
  <c r="C38"/>
  <c r="K38"/>
  <c r="Q38"/>
  <c r="P40"/>
  <c r="Q41"/>
  <c r="R42"/>
  <c r="O43"/>
  <c r="S43"/>
  <c r="P44"/>
  <c r="Q45"/>
  <c r="P19"/>
  <c r="P22"/>
  <c r="N32"/>
  <c r="D36"/>
  <c r="N45"/>
  <c r="Z16"/>
  <c r="N17"/>
  <c r="R19"/>
  <c r="AB19"/>
  <c r="P20"/>
  <c r="T20"/>
  <c r="R22"/>
  <c r="O23"/>
  <c r="S23"/>
  <c r="Q29"/>
  <c r="N30"/>
  <c r="T32"/>
  <c r="I36"/>
  <c r="P38"/>
  <c r="P41"/>
  <c r="S17" i="141"/>
  <c r="S22"/>
  <c r="N29"/>
  <c r="P32"/>
  <c r="T36"/>
  <c r="O17"/>
  <c r="AB17"/>
  <c r="Q20"/>
  <c r="O22"/>
  <c r="T23"/>
  <c r="P27"/>
  <c r="O30"/>
  <c r="B36"/>
  <c r="N37"/>
  <c r="P40"/>
  <c r="N42"/>
  <c r="Q44"/>
  <c r="T21"/>
  <c r="P21"/>
  <c r="S44"/>
  <c r="Q17"/>
  <c r="AC16"/>
  <c r="Y16"/>
  <c r="W16"/>
  <c r="W19"/>
  <c r="S27"/>
  <c r="S30"/>
  <c r="S43"/>
  <c r="N17"/>
  <c r="Z19"/>
  <c r="S26"/>
  <c r="P28"/>
  <c r="N30"/>
  <c r="S31"/>
  <c r="P36"/>
  <c r="R37"/>
  <c r="P44"/>
  <c r="R43"/>
  <c r="Q43"/>
  <c r="O31"/>
  <c r="R30"/>
  <c r="Q30"/>
  <c r="T29"/>
  <c r="Z18"/>
  <c r="R26"/>
  <c r="O18"/>
  <c r="U31" i="136"/>
  <c r="T13"/>
  <c r="W11"/>
  <c r="V32"/>
  <c r="U26"/>
  <c r="N26"/>
  <c r="W16"/>
  <c r="T31"/>
  <c r="S28"/>
  <c r="V9"/>
  <c r="J24"/>
  <c r="U28"/>
  <c r="I26"/>
  <c r="U13"/>
  <c r="Q11"/>
  <c r="Q10" i="135"/>
  <c r="U11"/>
  <c r="T12"/>
  <c r="W13"/>
  <c r="U16"/>
  <c r="K24"/>
  <c r="V24"/>
  <c r="K27"/>
  <c r="T32"/>
  <c r="V7"/>
  <c r="U8"/>
  <c r="W18"/>
  <c r="G24"/>
  <c r="U24"/>
  <c r="L26"/>
  <c r="W28"/>
  <c r="S33"/>
  <c r="U36"/>
  <c r="U37"/>
  <c r="I26"/>
  <c r="U34"/>
  <c r="T34"/>
  <c r="S34"/>
  <c r="U13"/>
  <c r="T30"/>
  <c r="S13"/>
  <c r="U9"/>
  <c r="T27"/>
  <c r="S27"/>
  <c r="V35"/>
  <c r="I25"/>
  <c r="R6"/>
  <c r="T8"/>
  <c r="W12"/>
  <c r="Q15"/>
  <c r="T17"/>
  <c r="U18"/>
  <c r="Q25"/>
  <c r="T26"/>
  <c r="H27"/>
  <c r="T28"/>
  <c r="V30"/>
  <c r="Q32"/>
  <c r="W6"/>
  <c r="U35"/>
  <c r="T19"/>
  <c r="S18"/>
  <c r="V17"/>
  <c r="U31"/>
  <c r="T15"/>
  <c r="S14"/>
  <c r="V13"/>
  <c r="U28"/>
  <c r="T11"/>
  <c r="S10"/>
  <c r="V9"/>
  <c r="W34"/>
  <c r="J24"/>
  <c r="Q35"/>
  <c r="T24"/>
  <c r="S24"/>
  <c r="T20" i="134"/>
  <c r="B26"/>
  <c r="R20"/>
  <c r="N20"/>
  <c r="N10" i="133"/>
  <c r="N18"/>
  <c r="R37"/>
  <c r="N17"/>
  <c r="N31"/>
  <c r="P15"/>
  <c r="R19"/>
  <c r="P32"/>
  <c r="Q37"/>
  <c r="N13"/>
  <c r="Q19"/>
  <c r="E24"/>
  <c r="P20"/>
  <c r="N19"/>
  <c r="P17"/>
  <c r="P16"/>
  <c r="P38"/>
  <c r="P10"/>
  <c r="P11"/>
  <c r="P18"/>
  <c r="P19"/>
  <c r="D24"/>
  <c r="P31"/>
  <c r="P12"/>
  <c r="T18" i="134"/>
  <c r="Q16"/>
  <c r="T13"/>
  <c r="E26"/>
  <c r="Q15"/>
  <c r="N11"/>
  <c r="Q10"/>
  <c r="P13"/>
  <c r="O19" i="132"/>
  <c r="O11"/>
  <c r="R11" i="134"/>
  <c r="R12"/>
  <c r="P12"/>
  <c r="S33"/>
  <c r="R16"/>
  <c r="Q11"/>
  <c r="Q34"/>
  <c r="S12"/>
  <c r="R35"/>
  <c r="S20"/>
  <c r="T17"/>
  <c r="N17"/>
  <c r="P15"/>
  <c r="O13" i="132"/>
  <c r="T14" i="134"/>
  <c r="Q20"/>
  <c r="Q37"/>
  <c r="P20"/>
  <c r="S15"/>
  <c r="R14"/>
  <c r="O35"/>
  <c r="O17" i="132"/>
  <c r="N9" i="134"/>
  <c r="S17"/>
  <c r="C19"/>
  <c r="C15"/>
  <c r="O34" s="1"/>
  <c r="C12"/>
  <c r="O14" s="1"/>
  <c r="C8"/>
  <c r="C26" i="132"/>
  <c r="T15" i="134"/>
  <c r="O18"/>
  <c r="P19"/>
  <c r="R31"/>
  <c r="P32"/>
  <c r="N34"/>
  <c r="R37"/>
  <c r="C20"/>
  <c r="C18"/>
  <c r="C14"/>
  <c r="N15"/>
  <c r="Q14"/>
  <c r="T12"/>
  <c r="C10"/>
  <c r="N10"/>
  <c r="S18"/>
  <c r="T10"/>
  <c r="N16"/>
  <c r="R17"/>
  <c r="T19"/>
  <c r="Q33"/>
  <c r="T36"/>
  <c r="C11"/>
  <c r="Z16" i="141"/>
  <c r="R17"/>
  <c r="T18"/>
  <c r="T20"/>
  <c r="O23"/>
  <c r="O27"/>
  <c r="Q29"/>
  <c r="T32"/>
  <c r="O36"/>
  <c r="T38"/>
  <c r="T44"/>
  <c r="AB16"/>
  <c r="P17"/>
  <c r="T17"/>
  <c r="Z17"/>
  <c r="X18"/>
  <c r="AB18"/>
  <c r="N20"/>
  <c r="R20"/>
  <c r="O21"/>
  <c r="N24"/>
  <c r="R24"/>
  <c r="O25"/>
  <c r="T26"/>
  <c r="Q27"/>
  <c r="N28"/>
  <c r="R28"/>
  <c r="O29"/>
  <c r="S29"/>
  <c r="P30"/>
  <c r="T30"/>
  <c r="Q31"/>
  <c r="N32"/>
  <c r="R32"/>
  <c r="D36"/>
  <c r="Q36"/>
  <c r="S37"/>
  <c r="D38"/>
  <c r="N38"/>
  <c r="R38"/>
  <c r="Q40"/>
  <c r="N44"/>
  <c r="R44"/>
  <c r="R19"/>
  <c r="X19"/>
  <c r="Q21"/>
  <c r="R22"/>
  <c r="T24"/>
  <c r="Q25"/>
  <c r="T28"/>
  <c r="Q37"/>
  <c r="Q41"/>
  <c r="R42"/>
  <c r="W17"/>
  <c r="AA17"/>
  <c r="Y18"/>
  <c r="AC18"/>
  <c r="Q19"/>
  <c r="O20"/>
  <c r="S20"/>
  <c r="Q22"/>
  <c r="S24"/>
  <c r="P25"/>
  <c r="T25"/>
  <c r="Q26"/>
  <c r="N27"/>
  <c r="R27"/>
  <c r="O28"/>
  <c r="N31"/>
  <c r="R31"/>
  <c r="O32"/>
  <c r="E36"/>
  <c r="N36"/>
  <c r="R36"/>
  <c r="S38"/>
  <c r="P22" i="140"/>
  <c r="AC22"/>
  <c r="C22"/>
  <c r="AZ9"/>
  <c r="AZ17"/>
  <c r="AZ11"/>
  <c r="AZ15"/>
  <c r="AZ26"/>
  <c r="AZ13"/>
  <c r="AZ10"/>
  <c r="AZ14"/>
  <c r="AZ18"/>
  <c r="AZ30"/>
  <c r="C22" i="139"/>
  <c r="AT24"/>
  <c r="AT11"/>
  <c r="AT15"/>
  <c r="AT8"/>
  <c r="AT12"/>
  <c r="AT16"/>
  <c r="AT9"/>
  <c r="AT13"/>
  <c r="AT17"/>
  <c r="AT28"/>
  <c r="U8" i="138"/>
  <c r="R10"/>
  <c r="S12"/>
  <c r="T13"/>
  <c r="Q6"/>
  <c r="W7"/>
  <c r="T8"/>
  <c r="U9"/>
  <c r="U10"/>
  <c r="Q11"/>
  <c r="V12"/>
  <c r="S13"/>
  <c r="S14"/>
  <c r="W15"/>
  <c r="W16"/>
  <c r="I21"/>
  <c r="M21"/>
  <c r="W24"/>
  <c r="R26"/>
  <c r="V11"/>
  <c r="T16"/>
  <c r="V7"/>
  <c r="T9"/>
  <c r="Q12"/>
  <c r="V13"/>
  <c r="R14"/>
  <c r="V15"/>
  <c r="T5"/>
  <c r="T6"/>
  <c r="D20"/>
  <c r="D22"/>
  <c r="T22"/>
  <c r="S5"/>
  <c r="S6"/>
  <c r="H20"/>
  <c r="L20"/>
  <c r="B20"/>
  <c r="Q22"/>
  <c r="S11" i="137"/>
  <c r="U15"/>
  <c r="M21"/>
  <c r="U27"/>
  <c r="Q7"/>
  <c r="U7"/>
  <c r="R11"/>
  <c r="V11"/>
  <c r="T15"/>
  <c r="I20"/>
  <c r="V26"/>
  <c r="T27"/>
  <c r="Q28"/>
  <c r="U28"/>
  <c r="Q31"/>
  <c r="V31"/>
  <c r="S32"/>
  <c r="U6"/>
  <c r="V9"/>
  <c r="I21"/>
  <c r="T7"/>
  <c r="Q11"/>
  <c r="U11"/>
  <c r="Q12"/>
  <c r="C22"/>
  <c r="R22"/>
  <c r="R6"/>
  <c r="H20"/>
  <c r="L20"/>
  <c r="G20"/>
  <c r="K20"/>
  <c r="Q22"/>
  <c r="Q5"/>
  <c r="Q6"/>
  <c r="B20"/>
  <c r="AT25" i="139"/>
  <c r="AT29"/>
  <c r="C23" i="140"/>
  <c r="AZ27"/>
  <c r="C23" i="139"/>
  <c r="AT26"/>
  <c r="AT30"/>
  <c r="AZ24" i="140"/>
  <c r="AZ28"/>
  <c r="AT10" i="139"/>
  <c r="AT14"/>
  <c r="AT18"/>
  <c r="AZ8" i="140"/>
  <c r="AZ12"/>
  <c r="AZ16"/>
  <c r="V13" i="136"/>
  <c r="V31"/>
  <c r="N24"/>
  <c r="V29"/>
  <c r="W31"/>
  <c r="T18"/>
  <c r="V34"/>
  <c r="V35"/>
  <c r="Q9"/>
  <c r="W27"/>
  <c r="H27"/>
  <c r="V8" i="135"/>
  <c r="S9"/>
  <c r="T10"/>
  <c r="V12"/>
  <c r="Q16"/>
  <c r="S17"/>
  <c r="J25"/>
  <c r="N26"/>
  <c r="U27"/>
  <c r="U30"/>
  <c r="S7"/>
  <c r="W7"/>
  <c r="V10"/>
  <c r="S11"/>
  <c r="W11"/>
  <c r="V14"/>
  <c r="S15"/>
  <c r="W15"/>
  <c r="U17"/>
  <c r="V18"/>
  <c r="S19"/>
  <c r="W19"/>
  <c r="W24"/>
  <c r="W26"/>
  <c r="W27"/>
  <c r="S30"/>
  <c r="W30"/>
  <c r="W32"/>
  <c r="W36"/>
  <c r="B27"/>
  <c r="T6"/>
  <c r="T14"/>
  <c r="V16"/>
  <c r="T18"/>
  <c r="T7"/>
  <c r="Q9"/>
  <c r="Q13"/>
  <c r="Q17"/>
  <c r="Q20"/>
  <c r="V20"/>
  <c r="M25"/>
  <c r="B26"/>
  <c r="M26"/>
  <c r="Q28"/>
  <c r="V28"/>
  <c r="Q31"/>
  <c r="V31"/>
  <c r="U6"/>
  <c r="D24"/>
  <c r="S6"/>
  <c r="H24"/>
  <c r="I27"/>
  <c r="M27"/>
  <c r="Q6"/>
  <c r="B24"/>
  <c r="R9" i="136"/>
  <c r="R7" i="135"/>
  <c r="R10"/>
  <c r="R11"/>
  <c r="R14"/>
  <c r="R15"/>
  <c r="R18"/>
  <c r="R19"/>
  <c r="R37"/>
  <c r="S24" i="136"/>
  <c r="W24"/>
  <c r="Q25"/>
  <c r="S26"/>
  <c r="W26"/>
  <c r="U27"/>
  <c r="S29"/>
  <c r="W29"/>
  <c r="U30"/>
  <c r="S32"/>
  <c r="W32"/>
  <c r="S36"/>
  <c r="W36"/>
  <c r="R20" i="135"/>
  <c r="W7" i="136"/>
  <c r="Q8"/>
  <c r="U8"/>
  <c r="W9"/>
  <c r="Q10"/>
  <c r="U10"/>
  <c r="S11"/>
  <c r="Q12"/>
  <c r="U12"/>
  <c r="S15"/>
  <c r="W15"/>
  <c r="Q16"/>
  <c r="W17"/>
  <c r="Q18"/>
  <c r="T20"/>
  <c r="B24"/>
  <c r="D25"/>
  <c r="B26"/>
  <c r="H26"/>
  <c r="D27"/>
  <c r="N27"/>
  <c r="S33"/>
  <c r="W33"/>
  <c r="W37"/>
  <c r="S20"/>
  <c r="W20"/>
  <c r="U24"/>
  <c r="S25"/>
  <c r="Q29"/>
  <c r="S30"/>
  <c r="Q32"/>
  <c r="Q36"/>
  <c r="S8"/>
  <c r="W8"/>
  <c r="S14"/>
  <c r="W14"/>
  <c r="B27"/>
  <c r="P9" i="134"/>
  <c r="P10"/>
  <c r="S13"/>
  <c r="S14"/>
  <c r="N18"/>
  <c r="S19"/>
  <c r="N32"/>
  <c r="P33"/>
  <c r="S10"/>
  <c r="P11"/>
  <c r="T11"/>
  <c r="Q12"/>
  <c r="N13"/>
  <c r="R13"/>
  <c r="N14"/>
  <c r="P16"/>
  <c r="T16"/>
  <c r="Q17"/>
  <c r="Q18"/>
  <c r="N19"/>
  <c r="R19"/>
  <c r="T34"/>
  <c r="P37"/>
  <c r="N12"/>
  <c r="N38"/>
  <c r="R9"/>
  <c r="R10"/>
  <c r="S11"/>
  <c r="Q13"/>
  <c r="R15"/>
  <c r="S16"/>
  <c r="P17"/>
  <c r="P18"/>
  <c r="D24"/>
  <c r="E24"/>
  <c r="B24"/>
  <c r="Q30" i="133"/>
  <c r="N12"/>
  <c r="Q14"/>
  <c r="N16"/>
  <c r="Q18"/>
  <c r="N20"/>
  <c r="S20"/>
  <c r="E26"/>
  <c r="Q12"/>
  <c r="Q16"/>
  <c r="Q34"/>
  <c r="S37"/>
  <c r="N15"/>
  <c r="B24"/>
  <c r="O36"/>
  <c r="O9"/>
  <c r="O15" i="132"/>
  <c r="C26" i="131"/>
  <c r="O11"/>
  <c r="O15"/>
  <c r="O19"/>
  <c r="O14"/>
  <c r="O18"/>
  <c r="O13"/>
  <c r="O17"/>
  <c r="O10"/>
  <c r="O31" i="132"/>
  <c r="O34" i="131"/>
  <c r="O38"/>
  <c r="O36" i="132"/>
  <c r="O32" i="131"/>
  <c r="O36"/>
  <c r="O34" i="132"/>
  <c r="O38"/>
  <c r="O33" i="131"/>
  <c r="O37"/>
  <c r="O35" i="132"/>
  <c r="O39"/>
  <c r="O32"/>
  <c r="O12" i="131"/>
  <c r="O16"/>
  <c r="O20"/>
  <c r="O10" i="132"/>
  <c r="O14"/>
  <c r="O18"/>
  <c r="O37" i="130"/>
  <c r="N43"/>
  <c r="R44"/>
  <c r="O45"/>
  <c r="N20"/>
  <c r="S43"/>
  <c r="S45"/>
  <c r="T17"/>
  <c r="AB17"/>
  <c r="R23"/>
  <c r="S37"/>
  <c r="S39"/>
  <c r="N45"/>
  <c r="P42" i="129"/>
  <c r="S19"/>
  <c r="T18"/>
  <c r="J36"/>
  <c r="S37"/>
  <c r="Y19"/>
  <c r="P25" i="130"/>
  <c r="AC16"/>
  <c r="Q22"/>
  <c r="O25"/>
  <c r="P37"/>
  <c r="R38"/>
  <c r="T19"/>
  <c r="O21"/>
  <c r="N27"/>
  <c r="Q31"/>
  <c r="N36"/>
  <c r="O38"/>
  <c r="Q39"/>
  <c r="Q42"/>
  <c r="R45"/>
  <c r="Y16"/>
  <c r="S18"/>
  <c r="S20"/>
  <c r="N31"/>
  <c r="N42"/>
  <c r="AA17"/>
  <c r="R18"/>
  <c r="AC18"/>
  <c r="R20"/>
  <c r="T21"/>
  <c r="Q23"/>
  <c r="S24"/>
  <c r="Q26"/>
  <c r="R27"/>
  <c r="T30"/>
  <c r="O32"/>
  <c r="E36"/>
  <c r="R36"/>
  <c r="N44"/>
  <c r="O46"/>
  <c r="P29"/>
  <c r="N40"/>
  <c r="P46"/>
  <c r="Q17"/>
  <c r="Z17"/>
  <c r="P21"/>
  <c r="N23"/>
  <c r="T25"/>
  <c r="Q27"/>
  <c r="Q30"/>
  <c r="Q36"/>
  <c r="S38"/>
  <c r="R40"/>
  <c r="R42"/>
  <c r="R46"/>
  <c r="S17" i="129"/>
  <c r="Q44"/>
  <c r="W18"/>
  <c r="R20"/>
  <c r="P17"/>
  <c r="P30"/>
  <c r="T42"/>
  <c r="X19"/>
  <c r="P19"/>
  <c r="N20"/>
  <c r="P23"/>
  <c r="S26"/>
  <c r="S29"/>
  <c r="P36"/>
  <c r="Q40"/>
  <c r="R43"/>
  <c r="AB16"/>
  <c r="AB18"/>
  <c r="AB19"/>
  <c r="O21"/>
  <c r="T22"/>
  <c r="P26"/>
  <c r="T30"/>
  <c r="N45"/>
  <c r="R44"/>
  <c r="Q25"/>
  <c r="T24"/>
  <c r="P24"/>
  <c r="S23"/>
  <c r="Q21"/>
  <c r="T38"/>
  <c r="P38"/>
  <c r="S40"/>
  <c r="AC16"/>
  <c r="Y16"/>
  <c r="S21"/>
  <c r="N25"/>
  <c r="N28"/>
  <c r="P31"/>
  <c r="T19"/>
  <c r="P27"/>
  <c r="N29"/>
  <c r="S30"/>
  <c r="R30"/>
  <c r="O27"/>
  <c r="R17"/>
  <c r="N17"/>
  <c r="P17" i="130"/>
  <c r="S25"/>
  <c r="N28"/>
  <c r="S29"/>
  <c r="N38"/>
  <c r="P43"/>
  <c r="W16"/>
  <c r="AA16"/>
  <c r="S17"/>
  <c r="Y17"/>
  <c r="Q18"/>
  <c r="W18"/>
  <c r="S19"/>
  <c r="AC19"/>
  <c r="Q20"/>
  <c r="N21"/>
  <c r="R21"/>
  <c r="S22"/>
  <c r="P23"/>
  <c r="T23"/>
  <c r="Q24"/>
  <c r="N25"/>
  <c r="R25"/>
  <c r="S26"/>
  <c r="P27"/>
  <c r="T27"/>
  <c r="Q28"/>
  <c r="N29"/>
  <c r="R29"/>
  <c r="S30"/>
  <c r="P31"/>
  <c r="T31"/>
  <c r="Q32"/>
  <c r="J36"/>
  <c r="P36"/>
  <c r="T36"/>
  <c r="R37"/>
  <c r="Q38"/>
  <c r="P40"/>
  <c r="P42"/>
  <c r="T42"/>
  <c r="P44"/>
  <c r="N46"/>
  <c r="N18"/>
  <c r="AB18"/>
  <c r="P19"/>
  <c r="P22"/>
  <c r="N32"/>
  <c r="D36"/>
  <c r="S46"/>
  <c r="Z16"/>
  <c r="N17"/>
  <c r="R19"/>
  <c r="AB19"/>
  <c r="P20"/>
  <c r="T20"/>
  <c r="R22"/>
  <c r="S23"/>
  <c r="P24"/>
  <c r="R26"/>
  <c r="S27"/>
  <c r="P28"/>
  <c r="R30"/>
  <c r="S31"/>
  <c r="P32"/>
  <c r="Q37"/>
  <c r="AA16" i="129"/>
  <c r="Q20"/>
  <c r="R21"/>
  <c r="Q24"/>
  <c r="R25"/>
  <c r="Q28"/>
  <c r="R29"/>
  <c r="T36"/>
  <c r="R37"/>
  <c r="T40"/>
  <c r="Q45"/>
  <c r="Q17"/>
  <c r="W17"/>
  <c r="AA17"/>
  <c r="Y18"/>
  <c r="AC18"/>
  <c r="Q19"/>
  <c r="S20"/>
  <c r="P21"/>
  <c r="T21"/>
  <c r="Q22"/>
  <c r="S24"/>
  <c r="P25"/>
  <c r="T25"/>
  <c r="Q26"/>
  <c r="N27"/>
  <c r="R27"/>
  <c r="O28"/>
  <c r="S28"/>
  <c r="P29"/>
  <c r="T29"/>
  <c r="Q30"/>
  <c r="N31"/>
  <c r="R31"/>
  <c r="O32"/>
  <c r="S32"/>
  <c r="E36"/>
  <c r="N36"/>
  <c r="R36"/>
  <c r="S38"/>
  <c r="N40"/>
  <c r="R40"/>
  <c r="R42"/>
  <c r="Q43"/>
  <c r="S45"/>
  <c r="Q18"/>
  <c r="AC19"/>
  <c r="O22"/>
  <c r="O26"/>
  <c r="T27"/>
  <c r="O30"/>
  <c r="Q38"/>
  <c r="O43"/>
  <c r="Z16"/>
  <c r="AB17"/>
  <c r="N19"/>
  <c r="R19"/>
  <c r="P20"/>
  <c r="T20"/>
  <c r="N22"/>
  <c r="R22"/>
  <c r="N26"/>
  <c r="R26"/>
  <c r="S27"/>
  <c r="P28"/>
  <c r="T28"/>
  <c r="Q29"/>
  <c r="S31"/>
  <c r="P32"/>
  <c r="T32"/>
  <c r="B36"/>
  <c r="I36"/>
  <c r="S36"/>
  <c r="Q37"/>
  <c r="AJ37" i="128"/>
  <c r="AK6"/>
  <c r="AD29"/>
  <c r="AG49"/>
  <c r="AD6"/>
  <c r="AC13"/>
  <c r="X17"/>
  <c r="Y20"/>
  <c r="AD24"/>
  <c r="AD25"/>
  <c r="Y28"/>
  <c r="AK32"/>
  <c r="AF33"/>
  <c r="AF34"/>
  <c r="AJ36"/>
  <c r="AF38"/>
  <c r="AK42"/>
  <c r="AG44"/>
  <c r="AF47"/>
  <c r="AK48"/>
  <c r="AK51"/>
  <c r="E37"/>
  <c r="AB23"/>
  <c r="Z20"/>
  <c r="AC7"/>
  <c r="AH11"/>
  <c r="X25"/>
  <c r="AK26"/>
  <c r="AF37"/>
  <c r="AJ32"/>
  <c r="AM8"/>
  <c r="AM10" s="1"/>
  <c r="AL9"/>
  <c r="X11"/>
  <c r="AL31"/>
  <c r="AF32"/>
  <c r="AD34"/>
  <c r="T37"/>
  <c r="L37"/>
  <c r="AF51"/>
  <c r="Z33"/>
  <c r="AK49"/>
  <c r="X33"/>
  <c r="AG26"/>
  <c r="AJ25"/>
  <c r="AF48"/>
  <c r="AJ24"/>
  <c r="AF23"/>
  <c r="AF22"/>
  <c r="AC27"/>
  <c r="AB26"/>
  <c r="AJ47"/>
  <c r="AI47"/>
  <c r="AC24"/>
  <c r="AF46"/>
  <c r="AK44"/>
  <c r="AF44"/>
  <c r="AC6"/>
  <c r="AG8"/>
  <c r="AG10" s="1"/>
  <c r="AC16"/>
  <c r="AJ23"/>
  <c r="AG31"/>
  <c r="AC32"/>
  <c r="AH42"/>
  <c r="AH48"/>
  <c r="AB25"/>
  <c r="AB21"/>
  <c r="AA21"/>
  <c r="AH43"/>
  <c r="AI42"/>
  <c r="AJ38"/>
  <c r="AJ34"/>
  <c r="Z8"/>
  <c r="AH31"/>
  <c r="AG7"/>
  <c r="AM7"/>
  <c r="AD8"/>
  <c r="AL8"/>
  <c r="AL10" s="1"/>
  <c r="AC9"/>
  <c r="AD10"/>
  <c r="AD11"/>
  <c r="X12"/>
  <c r="Z13"/>
  <c r="AC14"/>
  <c r="X16"/>
  <c r="AD20"/>
  <c r="AC21"/>
  <c r="AA22"/>
  <c r="AI22"/>
  <c r="AA24"/>
  <c r="AA26"/>
  <c r="X28"/>
  <c r="Y31"/>
  <c r="Y33"/>
  <c r="AC34"/>
  <c r="AI37"/>
  <c r="T39"/>
  <c r="AL44"/>
  <c r="AK46"/>
  <c r="AF49"/>
  <c r="AL49"/>
  <c r="AG51"/>
  <c r="D37"/>
  <c r="AH51"/>
  <c r="AJ26"/>
  <c r="AF26"/>
  <c r="AG25"/>
  <c r="AG23"/>
  <c r="AG22"/>
  <c r="Z27"/>
  <c r="Z23"/>
  <c r="AB22"/>
  <c r="Z19"/>
  <c r="AI43"/>
  <c r="AJ41"/>
  <c r="AH39"/>
  <c r="AH37"/>
  <c r="Z10"/>
  <c r="AI33"/>
  <c r="AH34"/>
  <c r="Z12"/>
  <c r="AJ22"/>
  <c r="AC23"/>
  <c r="X29"/>
  <c r="X34"/>
  <c r="AG6"/>
  <c r="AC8"/>
  <c r="AK8"/>
  <c r="AK10" s="1"/>
  <c r="AB9"/>
  <c r="AC10"/>
  <c r="AC11"/>
  <c r="AM11"/>
  <c r="Z14"/>
  <c r="Z21"/>
  <c r="Y23"/>
  <c r="AF24"/>
  <c r="AF25"/>
  <c r="X31"/>
  <c r="AD31"/>
  <c r="AJ31"/>
  <c r="AA34"/>
  <c r="AJ39"/>
  <c r="AH46"/>
  <c r="AI50"/>
  <c r="AB34"/>
  <c r="AI51"/>
  <c r="AJ49"/>
  <c r="AH26"/>
  <c r="AI48"/>
  <c r="AK25"/>
  <c r="AK24"/>
  <c r="AH23"/>
  <c r="AK23"/>
  <c r="AH22"/>
  <c r="AK22"/>
  <c r="AB27"/>
  <c r="AH47"/>
  <c r="AI46"/>
  <c r="AJ44"/>
  <c r="AI44"/>
  <c r="AB14"/>
  <c r="AJ33"/>
  <c r="AF37" i="127"/>
  <c r="AH24"/>
  <c r="AH22"/>
  <c r="AL44"/>
  <c r="AL7"/>
  <c r="AH41"/>
  <c r="AD12"/>
  <c r="AH33"/>
  <c r="Y7"/>
  <c r="X6"/>
  <c r="AI8"/>
  <c r="AI10" s="1"/>
  <c r="AI26"/>
  <c r="AA31"/>
  <c r="AH42"/>
  <c r="AH26"/>
  <c r="AG30"/>
  <c r="X34"/>
  <c r="X27"/>
  <c r="Z27"/>
  <c r="AC25"/>
  <c r="AH46"/>
  <c r="AC24"/>
  <c r="X24"/>
  <c r="Z22"/>
  <c r="AK48"/>
  <c r="AC20"/>
  <c r="X20"/>
  <c r="AA18"/>
  <c r="Z13"/>
  <c r="AB12"/>
  <c r="X12"/>
  <c r="AA12"/>
  <c r="AD11"/>
  <c r="AH36"/>
  <c r="AC10"/>
  <c r="AG34"/>
  <c r="AB8"/>
  <c r="X9"/>
  <c r="AI32"/>
  <c r="AD6"/>
  <c r="AH31"/>
  <c r="AL34"/>
  <c r="AC17"/>
  <c r="K37"/>
  <c r="AF24"/>
  <c r="AJ24"/>
  <c r="X16"/>
  <c r="Y11"/>
  <c r="X10"/>
  <c r="AF23"/>
  <c r="AL11"/>
  <c r="AI22"/>
  <c r="AD32"/>
  <c r="AH43"/>
  <c r="AK37"/>
  <c r="I37"/>
  <c r="AI24"/>
  <c r="AF25"/>
  <c r="AG26"/>
  <c r="AF48"/>
  <c r="AG6"/>
  <c r="AH9"/>
  <c r="AG44"/>
  <c r="AM6"/>
  <c r="X11"/>
  <c r="Y22"/>
  <c r="AD31"/>
  <c r="AG36"/>
  <c r="AK50"/>
  <c r="Z30"/>
  <c r="AK30"/>
  <c r="AK32"/>
  <c r="AF33"/>
  <c r="Z16"/>
  <c r="AC32"/>
  <c r="X33"/>
  <c r="AH50"/>
  <c r="X8"/>
  <c r="AL31"/>
  <c r="AL32"/>
  <c r="Z23"/>
  <c r="AJ33"/>
  <c r="AK34"/>
  <c r="AF41"/>
  <c r="AC21"/>
  <c r="AC28"/>
  <c r="X18"/>
  <c r="AK38"/>
  <c r="AL37"/>
  <c r="AH37"/>
  <c r="AA10"/>
  <c r="AL33"/>
  <c r="Z8"/>
  <c r="AC7"/>
  <c r="AI42"/>
  <c r="Z7"/>
  <c r="AA11"/>
  <c r="AK44"/>
  <c r="Y9"/>
  <c r="AF32"/>
  <c r="AH6"/>
  <c r="AL8"/>
  <c r="AL10" s="1"/>
  <c r="AC12"/>
  <c r="Z19"/>
  <c r="AB29"/>
  <c r="AG32"/>
  <c r="AG37"/>
  <c r="AH39"/>
  <c r="AK43"/>
  <c r="AK46"/>
  <c r="D37"/>
  <c r="X28"/>
  <c r="AC31"/>
  <c r="AM7"/>
  <c r="AG50"/>
  <c r="AB34"/>
  <c r="AL48"/>
  <c r="Y33"/>
  <c r="AA32"/>
  <c r="AD30"/>
  <c r="Y30"/>
  <c r="AA29"/>
  <c r="AD29"/>
  <c r="AB28"/>
  <c r="Y27"/>
  <c r="AD24"/>
  <c r="Y25"/>
  <c r="AB24"/>
  <c r="AA23"/>
  <c r="AD23"/>
  <c r="Y23"/>
  <c r="AI50"/>
  <c r="Y21"/>
  <c r="AJ44"/>
  <c r="AA19"/>
  <c r="AD19"/>
  <c r="AG43"/>
  <c r="AF38"/>
  <c r="AJ34"/>
  <c r="AG31"/>
  <c r="Z24" i="128"/>
  <c r="Z28"/>
  <c r="AH32"/>
  <c r="Z34"/>
  <c r="AJ6"/>
  <c r="AJ7"/>
  <c r="AJ8"/>
  <c r="AJ10" s="1"/>
  <c r="AB15"/>
  <c r="AB16"/>
  <c r="AH24"/>
  <c r="AH25"/>
  <c r="Z26"/>
  <c r="AI26"/>
  <c r="Z29"/>
  <c r="AA30"/>
  <c r="AA32"/>
  <c r="AH36"/>
  <c r="N39"/>
  <c r="AJ46"/>
  <c r="AJ48"/>
  <c r="AH50"/>
  <c r="O37"/>
  <c r="Z9"/>
  <c r="Z22"/>
  <c r="Z31"/>
  <c r="AH49"/>
  <c r="AH30"/>
  <c r="AI6"/>
  <c r="AI7"/>
  <c r="AI8"/>
  <c r="AI10" s="1"/>
  <c r="AB12"/>
  <c r="AB13"/>
  <c r="Z18"/>
  <c r="AB24"/>
  <c r="AG24"/>
  <c r="AB28"/>
  <c r="Z30"/>
  <c r="AI11"/>
  <c r="N37"/>
  <c r="AI9"/>
  <c r="Z6"/>
  <c r="AG11"/>
  <c r="AF30"/>
  <c r="X6"/>
  <c r="AB6"/>
  <c r="AG9"/>
  <c r="AK9"/>
  <c r="AJ11"/>
  <c r="AI30"/>
  <c r="AK11"/>
  <c r="AJ30"/>
  <c r="AA6"/>
  <c r="AJ9"/>
  <c r="AD7" i="127"/>
  <c r="AA9"/>
  <c r="AH11"/>
  <c r="Y20"/>
  <c r="AD22"/>
  <c r="AD25"/>
  <c r="AD26"/>
  <c r="Y29"/>
  <c r="Y31"/>
  <c r="U39"/>
  <c r="AI44"/>
  <c r="AK26"/>
  <c r="AA27"/>
  <c r="AK24"/>
  <c r="AA7"/>
  <c r="AJ7"/>
  <c r="AD8"/>
  <c r="AM8"/>
  <c r="AM10" s="1"/>
  <c r="Y10"/>
  <c r="X14"/>
  <c r="AC19"/>
  <c r="AD20"/>
  <c r="AB22"/>
  <c r="X23"/>
  <c r="Y26"/>
  <c r="AD28"/>
  <c r="AC29"/>
  <c r="AF31"/>
  <c r="Y32"/>
  <c r="AK33"/>
  <c r="AD34"/>
  <c r="AJ36"/>
  <c r="AI38"/>
  <c r="AK42"/>
  <c r="AL43"/>
  <c r="AG46"/>
  <c r="AI48"/>
  <c r="AL50"/>
  <c r="Z31"/>
  <c r="AB25"/>
  <c r="AI39"/>
  <c r="AI36"/>
  <c r="AI33"/>
  <c r="AC8"/>
  <c r="AI34"/>
  <c r="AI37"/>
  <c r="AF39"/>
  <c r="AB23"/>
  <c r="AK23"/>
  <c r="AK25"/>
  <c r="AJ30"/>
  <c r="AI30"/>
  <c r="AD10"/>
  <c r="Y19"/>
  <c r="AD21"/>
  <c r="AD27"/>
  <c r="AG33"/>
  <c r="Y34"/>
  <c r="AL36"/>
  <c r="M39"/>
  <c r="AI41"/>
  <c r="AB10"/>
  <c r="AJ43"/>
  <c r="AJ49"/>
  <c r="AH8"/>
  <c r="AH10" s="1"/>
  <c r="AC22"/>
  <c r="Z26"/>
  <c r="X29"/>
  <c r="AD33"/>
  <c r="AK36"/>
  <c r="AJ46"/>
  <c r="AI31"/>
  <c r="AJ37"/>
  <c r="AK39"/>
  <c r="AF42"/>
  <c r="AF44"/>
  <c r="AB21"/>
  <c r="AI46"/>
  <c r="AK9"/>
  <c r="AK11"/>
  <c r="AB6"/>
  <c r="AF30"/>
  <c r="AG9"/>
  <c r="AC11"/>
  <c r="AC15"/>
  <c r="X21"/>
  <c r="AC23"/>
  <c r="X26"/>
  <c r="X31"/>
  <c r="AK31"/>
  <c r="AF34"/>
  <c r="T39"/>
  <c r="AA6"/>
  <c r="X7"/>
  <c r="AK7"/>
  <c r="AG8"/>
  <c r="AG10" s="1"/>
  <c r="AC9"/>
  <c r="AL9"/>
  <c r="AG11"/>
  <c r="AC14"/>
  <c r="X19"/>
  <c r="AA21"/>
  <c r="X22"/>
  <c r="AH23"/>
  <c r="AA24"/>
  <c r="AI25"/>
  <c r="AJ26"/>
  <c r="AC27"/>
  <c r="AA28"/>
  <c r="AC30"/>
  <c r="AB31"/>
  <c r="X32"/>
  <c r="AJ32"/>
  <c r="AC34"/>
  <c r="AF36"/>
  <c r="L39"/>
  <c r="AK41"/>
  <c r="AF43"/>
  <c r="AK47"/>
  <c r="AJ48"/>
  <c r="AF50"/>
  <c r="AF26"/>
  <c r="AJ23"/>
  <c r="AF22"/>
  <c r="AB20"/>
  <c r="AB9"/>
  <c r="AL6"/>
  <c r="X17"/>
  <c r="X25"/>
  <c r="AC33"/>
  <c r="AG7"/>
  <c r="X13"/>
  <c r="AJ25"/>
  <c r="AC26"/>
  <c r="X30"/>
  <c r="AB33"/>
  <c r="Z12"/>
  <c r="Z17"/>
  <c r="AG23"/>
  <c r="AG24"/>
  <c r="Z25"/>
  <c r="Z28"/>
  <c r="Z32"/>
  <c r="AK6"/>
  <c r="AI7"/>
  <c r="AA8"/>
  <c r="AK8"/>
  <c r="AK10" s="1"/>
  <c r="AJ9"/>
  <c r="AJ11"/>
  <c r="AA14"/>
  <c r="AB19"/>
  <c r="Z21"/>
  <c r="AA22"/>
  <c r="AG22"/>
  <c r="AK22"/>
  <c r="Z24"/>
  <c r="AH25"/>
  <c r="AB26"/>
  <c r="AB27"/>
  <c r="Z29"/>
  <c r="AA30"/>
  <c r="AH32"/>
  <c r="AA33"/>
  <c r="AH34"/>
  <c r="AH38"/>
  <c r="AH48"/>
  <c r="AJ50"/>
  <c r="B37"/>
  <c r="Z6"/>
  <c r="J37"/>
  <c r="Z10"/>
  <c r="Z34"/>
  <c r="AJ8"/>
  <c r="AJ10" s="1"/>
  <c r="AI9"/>
  <c r="AJ22"/>
  <c r="AG25"/>
  <c r="AA26"/>
  <c r="Z33"/>
  <c r="AM9"/>
  <c r="Y6"/>
  <c r="AI11"/>
  <c r="AM11"/>
  <c r="AH30"/>
  <c r="AL30"/>
  <c r="R22" i="125"/>
  <c r="R14"/>
  <c r="R11"/>
  <c r="C20"/>
  <c r="R15"/>
  <c r="C21"/>
  <c r="C22"/>
  <c r="R32"/>
  <c r="R29"/>
  <c r="R9"/>
  <c r="R7"/>
  <c r="R8"/>
  <c r="R28"/>
  <c r="R12"/>
  <c r="R5"/>
  <c r="R33"/>
  <c r="P26" i="81"/>
  <c r="P37"/>
  <c r="P39"/>
  <c r="P33"/>
  <c r="T35"/>
  <c r="T33"/>
  <c r="R13" i="126"/>
  <c r="R11"/>
  <c r="R20"/>
  <c r="V20"/>
  <c r="V22"/>
  <c r="V26"/>
  <c r="R30"/>
  <c r="V4"/>
  <c r="T9"/>
  <c r="T11"/>
  <c r="V12"/>
  <c r="T15"/>
  <c r="U16"/>
  <c r="Q20"/>
  <c r="W21"/>
  <c r="U22"/>
  <c r="W24"/>
  <c r="T25"/>
  <c r="U26"/>
  <c r="S28"/>
  <c r="T29"/>
  <c r="U30"/>
  <c r="S32"/>
  <c r="T33"/>
  <c r="R16" i="125"/>
  <c r="R21"/>
  <c r="U4" i="126"/>
  <c r="S5"/>
  <c r="W5"/>
  <c r="Q6"/>
  <c r="Q8"/>
  <c r="U8"/>
  <c r="S9"/>
  <c r="W9"/>
  <c r="Q10"/>
  <c r="Q12"/>
  <c r="U12"/>
  <c r="S13"/>
  <c r="W13"/>
  <c r="Q14"/>
  <c r="T16"/>
  <c r="R24"/>
  <c r="V24"/>
  <c r="R28"/>
  <c r="V28"/>
  <c r="R32"/>
  <c r="V32"/>
  <c r="S33"/>
  <c r="W33"/>
  <c r="V16"/>
  <c r="T21"/>
  <c r="T24"/>
  <c r="R26"/>
  <c r="T28"/>
  <c r="V30"/>
  <c r="T32"/>
  <c r="T5"/>
  <c r="V6"/>
  <c r="T7"/>
  <c r="V8"/>
  <c r="V10"/>
  <c r="T13"/>
  <c r="V14"/>
  <c r="Q16"/>
  <c r="S21"/>
  <c r="W28"/>
  <c r="T6"/>
  <c r="T10"/>
  <c r="T14"/>
  <c r="T28" i="81"/>
  <c r="I24" i="6"/>
  <c r="AO23" i="1"/>
  <c r="AQ25"/>
  <c r="AO25"/>
  <c r="N8" i="6"/>
  <c r="R12"/>
  <c r="R26"/>
  <c r="O29"/>
  <c r="S14"/>
  <c r="AT22" i="1"/>
  <c r="AP25"/>
  <c r="S9" i="6"/>
  <c r="N26"/>
  <c r="R25"/>
  <c r="Q34"/>
  <c r="N30"/>
  <c r="P19"/>
  <c r="Q37"/>
  <c r="R8"/>
  <c r="S17"/>
  <c r="N21"/>
  <c r="Q26"/>
  <c r="Q24"/>
  <c r="Q36"/>
  <c r="N33"/>
  <c r="B24"/>
  <c r="R20"/>
  <c r="R34"/>
  <c r="T18"/>
  <c r="O17"/>
  <c r="R30"/>
  <c r="Q13"/>
  <c r="T12"/>
  <c r="P12"/>
  <c r="S11"/>
  <c r="R28"/>
  <c r="N28"/>
  <c r="Q9"/>
  <c r="T25"/>
  <c r="P25"/>
  <c r="S7"/>
  <c r="R24"/>
  <c r="N24"/>
  <c r="N16"/>
  <c r="S6"/>
  <c r="P11"/>
  <c r="O21"/>
  <c r="Q30"/>
  <c r="S28"/>
  <c r="R6"/>
  <c r="S25"/>
  <c r="R36"/>
  <c r="Q32"/>
  <c r="P31"/>
  <c r="O15"/>
  <c r="R14"/>
  <c r="N14"/>
  <c r="O11"/>
  <c r="R10"/>
  <c r="N10"/>
  <c r="N6"/>
  <c r="S36"/>
  <c r="N36"/>
  <c r="S34"/>
  <c r="Q33"/>
  <c r="R32"/>
  <c r="Q21"/>
  <c r="T20"/>
  <c r="Q35"/>
  <c r="T34"/>
  <c r="O19"/>
  <c r="R18"/>
  <c r="Q17"/>
  <c r="T16"/>
  <c r="Q31"/>
  <c r="T30"/>
  <c r="P30"/>
  <c r="Q29"/>
  <c r="T28"/>
  <c r="P28"/>
  <c r="Q25"/>
  <c r="T24"/>
  <c r="P24"/>
  <c r="N9"/>
  <c r="S13"/>
  <c r="N17"/>
  <c r="T36"/>
  <c r="P36"/>
  <c r="N32"/>
  <c r="S29"/>
  <c r="K24"/>
  <c r="P20"/>
  <c r="S19"/>
  <c r="N35"/>
  <c r="P34"/>
  <c r="N18"/>
  <c r="S15"/>
  <c r="N31"/>
  <c r="R29"/>
  <c r="N29"/>
  <c r="R7"/>
  <c r="N7"/>
  <c r="T7"/>
  <c r="Q8"/>
  <c r="R9"/>
  <c r="T11"/>
  <c r="Q12"/>
  <c r="R13"/>
  <c r="O14"/>
  <c r="O18"/>
  <c r="O26"/>
  <c r="T26"/>
  <c r="O25"/>
  <c r="T35"/>
  <c r="T31"/>
  <c r="O28"/>
  <c r="O8"/>
  <c r="S8"/>
  <c r="P9"/>
  <c r="T9"/>
  <c r="Q10"/>
  <c r="N11"/>
  <c r="R11"/>
  <c r="O12"/>
  <c r="S12"/>
  <c r="P13"/>
  <c r="T13"/>
  <c r="Q14"/>
  <c r="N15"/>
  <c r="R15"/>
  <c r="O16"/>
  <c r="S16"/>
  <c r="P17"/>
  <c r="T17"/>
  <c r="Q18"/>
  <c r="N19"/>
  <c r="R19"/>
  <c r="O20"/>
  <c r="S20"/>
  <c r="P21"/>
  <c r="T21"/>
  <c r="P26"/>
  <c r="T37"/>
  <c r="P37"/>
  <c r="T33"/>
  <c r="P33"/>
  <c r="O32"/>
  <c r="O10"/>
  <c r="T15"/>
  <c r="Q16"/>
  <c r="R17"/>
  <c r="T19"/>
  <c r="Q20"/>
  <c r="R21"/>
  <c r="O34"/>
  <c r="R33"/>
  <c r="O30"/>
  <c r="T29"/>
  <c r="O6"/>
  <c r="O7"/>
  <c r="P8"/>
  <c r="T8"/>
  <c r="P16"/>
  <c r="S37"/>
  <c r="O37"/>
  <c r="O33"/>
  <c r="P6"/>
  <c r="T6"/>
  <c r="E24"/>
  <c r="S18" i="5"/>
  <c r="S16"/>
  <c r="Q24"/>
  <c r="S37"/>
  <c r="P15"/>
  <c r="T11"/>
  <c r="P11"/>
  <c r="T6"/>
  <c r="P6"/>
  <c r="Q21"/>
  <c r="Q19"/>
  <c r="Q17"/>
  <c r="Q15"/>
  <c r="Q9"/>
  <c r="R24"/>
  <c r="S33"/>
  <c r="Q32"/>
  <c r="S30"/>
  <c r="N24"/>
  <c r="S21"/>
  <c r="N21"/>
  <c r="P37"/>
  <c r="S19"/>
  <c r="P35"/>
  <c r="S17"/>
  <c r="N16"/>
  <c r="O13"/>
  <c r="R11"/>
  <c r="N11"/>
  <c r="R7"/>
  <c r="S6"/>
  <c r="Q35"/>
  <c r="Q12"/>
  <c r="Q8"/>
  <c r="O20"/>
  <c r="O18"/>
  <c r="O16"/>
  <c r="O14"/>
  <c r="O10"/>
  <c r="Q26"/>
  <c r="O24"/>
  <c r="Q37"/>
  <c r="T30"/>
  <c r="P30"/>
  <c r="N36"/>
  <c r="S11"/>
  <c r="R21"/>
  <c r="T18"/>
  <c r="R17"/>
  <c r="T14"/>
  <c r="R13"/>
  <c r="T10"/>
  <c r="R9"/>
  <c r="O6"/>
  <c r="R25"/>
  <c r="T24"/>
  <c r="Q34"/>
  <c r="O33"/>
  <c r="O31"/>
  <c r="T21"/>
  <c r="P21"/>
  <c r="R20"/>
  <c r="T19"/>
  <c r="P19"/>
  <c r="R18"/>
  <c r="T17"/>
  <c r="P17"/>
  <c r="R16"/>
  <c r="T13"/>
  <c r="R12"/>
  <c r="T9"/>
  <c r="P9"/>
  <c r="R8"/>
  <c r="T7"/>
  <c r="P7"/>
  <c r="O26"/>
  <c r="T25"/>
  <c r="P25"/>
  <c r="R38"/>
  <c r="T37"/>
  <c r="S36"/>
  <c r="O36"/>
  <c r="S34"/>
  <c r="O34"/>
  <c r="T32"/>
  <c r="P32"/>
  <c r="Q31"/>
  <c r="O30"/>
  <c r="N31"/>
  <c r="R19"/>
  <c r="T16"/>
  <c r="R15"/>
  <c r="T12"/>
  <c r="T8"/>
  <c r="T26"/>
  <c r="T38"/>
  <c r="Q36"/>
  <c r="O35"/>
  <c r="O21"/>
  <c r="S15"/>
  <c r="S13"/>
  <c r="O9"/>
  <c r="S7"/>
  <c r="O25"/>
  <c r="Q38"/>
  <c r="T33"/>
  <c r="P33"/>
  <c r="O32"/>
  <c r="T31"/>
  <c r="P31"/>
  <c r="R6"/>
  <c r="N18"/>
  <c r="N10"/>
  <c r="N15"/>
  <c r="N7"/>
  <c r="N30"/>
  <c r="N20"/>
  <c r="N12"/>
  <c r="N32"/>
  <c r="N26"/>
  <c r="N25"/>
  <c r="N38"/>
  <c r="N34"/>
  <c r="N17"/>
  <c r="N9"/>
  <c r="N35"/>
  <c r="N6"/>
  <c r="Q39" i="82"/>
  <c r="N39" i="81"/>
  <c r="T24"/>
  <c r="Q31" i="82"/>
  <c r="Q35"/>
  <c r="Q24"/>
  <c r="Q28"/>
  <c r="Q33"/>
  <c r="Q37"/>
  <c r="R6"/>
  <c r="P35" i="81"/>
  <c r="N35"/>
  <c r="S39"/>
  <c r="P13"/>
  <c r="AO23" i="2"/>
  <c r="AO24"/>
  <c r="AS25"/>
  <c r="AO26"/>
  <c r="AO25"/>
  <c r="AR22"/>
  <c r="AR25"/>
  <c r="AT26"/>
  <c r="AT23" i="1"/>
  <c r="AP22"/>
  <c r="AR22"/>
  <c r="AP24"/>
  <c r="AT24"/>
  <c r="AR25"/>
  <c r="AS22"/>
  <c r="AQ23"/>
  <c r="AS23"/>
  <c r="AQ24"/>
  <c r="AS25"/>
  <c r="AQ23" i="2"/>
  <c r="AT23"/>
  <c r="AR24"/>
  <c r="AT25"/>
  <c r="AS23"/>
  <c r="AS24"/>
  <c r="AQ26"/>
  <c r="AT24"/>
  <c r="AR23"/>
  <c r="AR26"/>
  <c r="AQ22"/>
  <c r="R35" i="77"/>
  <c r="R17"/>
  <c r="R25" i="79"/>
  <c r="R29"/>
  <c r="R12"/>
  <c r="R33"/>
  <c r="V10"/>
  <c r="Q13"/>
  <c r="W25"/>
  <c r="Q26"/>
  <c r="W26"/>
  <c r="Q29"/>
  <c r="S30"/>
  <c r="Q31"/>
  <c r="Q34"/>
  <c r="W35"/>
  <c r="Q24"/>
  <c r="W37"/>
  <c r="Q28"/>
  <c r="W38"/>
  <c r="N20" i="82"/>
  <c r="N16"/>
  <c r="N12"/>
  <c r="N8"/>
  <c r="Q20"/>
  <c r="Q34"/>
  <c r="Q12"/>
  <c r="Q25"/>
  <c r="S7" i="79"/>
  <c r="U9"/>
  <c r="S15"/>
  <c r="U17"/>
  <c r="S19"/>
  <c r="D24"/>
  <c r="T24"/>
  <c r="V26"/>
  <c r="Q27"/>
  <c r="T28"/>
  <c r="Q30"/>
  <c r="W31"/>
  <c r="V35"/>
  <c r="T37"/>
  <c r="V9"/>
  <c r="W30"/>
  <c r="Q32"/>
  <c r="Q20"/>
  <c r="V20"/>
  <c r="C17"/>
  <c r="C13"/>
  <c r="C9"/>
  <c r="C5"/>
  <c r="R19" i="82"/>
  <c r="R18"/>
  <c r="T17"/>
  <c r="R15"/>
  <c r="T26"/>
  <c r="V6" i="79"/>
  <c r="Q9"/>
  <c r="V14"/>
  <c r="V18"/>
  <c r="U26"/>
  <c r="V31"/>
  <c r="S38"/>
  <c r="S37"/>
  <c r="V13"/>
  <c r="R15" i="77"/>
  <c r="O31" i="81"/>
  <c r="R18" i="77"/>
  <c r="R20"/>
  <c r="R6"/>
  <c r="R24"/>
  <c r="R31"/>
  <c r="R27"/>
  <c r="N26" i="81"/>
  <c r="R19"/>
  <c r="T18"/>
  <c r="P24"/>
  <c r="O18"/>
  <c r="O14"/>
  <c r="O6"/>
  <c r="R36" i="77"/>
  <c r="R32"/>
  <c r="R28"/>
  <c r="S20" i="81"/>
  <c r="N19"/>
  <c r="Q19"/>
  <c r="S36"/>
  <c r="N36"/>
  <c r="S34"/>
  <c r="N34"/>
  <c r="Q14"/>
  <c r="S32"/>
  <c r="N32"/>
  <c r="S30"/>
  <c r="N11"/>
  <c r="Q10"/>
  <c r="S8"/>
  <c r="N7"/>
  <c r="R7" i="77"/>
  <c r="O38" i="81"/>
  <c r="O34"/>
  <c r="O30"/>
  <c r="O7"/>
  <c r="T37"/>
  <c r="T39"/>
  <c r="O33"/>
  <c r="T38"/>
  <c r="P19"/>
  <c r="T17"/>
  <c r="P36"/>
  <c r="T34"/>
  <c r="P15"/>
  <c r="R15"/>
  <c r="T13"/>
  <c r="P14"/>
  <c r="T30"/>
  <c r="P11"/>
  <c r="R11"/>
  <c r="P10"/>
  <c r="T7"/>
  <c r="P7"/>
  <c r="R7"/>
  <c r="N30"/>
  <c r="P9"/>
  <c r="N16"/>
  <c r="N25"/>
  <c r="T36"/>
  <c r="S9"/>
  <c r="Q37"/>
  <c r="O37"/>
  <c r="R6"/>
  <c r="O24"/>
  <c r="S18" i="82"/>
  <c r="Q13"/>
  <c r="S11"/>
  <c r="E24"/>
  <c r="P14"/>
  <c r="S17"/>
  <c r="S10"/>
  <c r="P17"/>
  <c r="Q6"/>
  <c r="S14"/>
  <c r="T19"/>
  <c r="T18"/>
  <c r="P18"/>
  <c r="T12"/>
  <c r="R11"/>
  <c r="R7"/>
  <c r="N12" i="81"/>
  <c r="S38"/>
  <c r="T10"/>
  <c r="S13"/>
  <c r="P17"/>
  <c r="N20"/>
  <c r="P32"/>
  <c r="O13"/>
  <c r="O9"/>
  <c r="O36"/>
  <c r="O32"/>
  <c r="Q24"/>
  <c r="N8"/>
  <c r="T14"/>
  <c r="S17"/>
  <c r="R38"/>
  <c r="R39"/>
  <c r="AT26" i="1"/>
  <c r="AQ22"/>
  <c r="AR24"/>
  <c r="AP23"/>
  <c r="AS24"/>
  <c r="AS26"/>
  <c r="AQ26"/>
  <c r="AT25"/>
  <c r="R10" i="82"/>
  <c r="T11"/>
  <c r="P10"/>
  <c r="T10"/>
  <c r="P13"/>
  <c r="T13"/>
  <c r="P11"/>
  <c r="T20"/>
  <c r="R14"/>
  <c r="R14" i="77"/>
  <c r="R19"/>
  <c r="C27"/>
  <c r="Q18" i="81"/>
  <c r="D24"/>
  <c r="S25"/>
  <c r="Q33"/>
  <c r="Q6"/>
  <c r="Q7"/>
  <c r="Q11"/>
  <c r="S12"/>
  <c r="Q15"/>
  <c r="S16"/>
  <c r="P18"/>
  <c r="R25"/>
  <c r="R26"/>
  <c r="Q28"/>
  <c r="T32"/>
  <c r="R34"/>
  <c r="R35"/>
  <c r="N38"/>
  <c r="Q25"/>
  <c r="S7"/>
  <c r="R8"/>
  <c r="T9"/>
  <c r="R12"/>
  <c r="N15"/>
  <c r="R16"/>
  <c r="R20"/>
  <c r="P25"/>
  <c r="R30"/>
  <c r="R36"/>
  <c r="R32"/>
  <c r="S6"/>
  <c r="N9"/>
  <c r="N17"/>
  <c r="S24"/>
  <c r="Q30"/>
  <c r="Q38"/>
  <c r="P8"/>
  <c r="T8"/>
  <c r="Q9"/>
  <c r="R10"/>
  <c r="S11"/>
  <c r="P12"/>
  <c r="T12"/>
  <c r="Q13"/>
  <c r="R14"/>
  <c r="S15"/>
  <c r="P16"/>
  <c r="T16"/>
  <c r="Q17"/>
  <c r="R18"/>
  <c r="S19"/>
  <c r="P20"/>
  <c r="T20"/>
  <c r="T25"/>
  <c r="N28"/>
  <c r="R28"/>
  <c r="P30"/>
  <c r="Q32"/>
  <c r="N33"/>
  <c r="R33"/>
  <c r="P34"/>
  <c r="Q36"/>
  <c r="N37"/>
  <c r="R37"/>
  <c r="P38"/>
  <c r="N13"/>
  <c r="Q26"/>
  <c r="Q34"/>
  <c r="Q8"/>
  <c r="R9"/>
  <c r="N10"/>
  <c r="S10"/>
  <c r="T11"/>
  <c r="Q12"/>
  <c r="R13"/>
  <c r="N14"/>
  <c r="S14"/>
  <c r="T15"/>
  <c r="Q16"/>
  <c r="R17"/>
  <c r="N18"/>
  <c r="S18"/>
  <c r="T19"/>
  <c r="Q20"/>
  <c r="P6"/>
  <c r="T6"/>
  <c r="E24"/>
  <c r="R15" i="79"/>
  <c r="U6"/>
  <c r="V7"/>
  <c r="W8"/>
  <c r="Q10"/>
  <c r="V11"/>
  <c r="W12"/>
  <c r="Q14"/>
  <c r="S16"/>
  <c r="T17"/>
  <c r="T18"/>
  <c r="U19"/>
  <c r="S20"/>
  <c r="W20"/>
  <c r="W24"/>
  <c r="S25"/>
  <c r="W28"/>
  <c r="W32"/>
  <c r="S35"/>
  <c r="W36"/>
  <c r="T6"/>
  <c r="Q7"/>
  <c r="U7"/>
  <c r="V8"/>
  <c r="S9"/>
  <c r="W9"/>
  <c r="T10"/>
  <c r="Q11"/>
  <c r="U11"/>
  <c r="V12"/>
  <c r="S13"/>
  <c r="W13"/>
  <c r="T14"/>
  <c r="Q15"/>
  <c r="U15"/>
  <c r="V16"/>
  <c r="S17"/>
  <c r="W17"/>
  <c r="S18"/>
  <c r="T19"/>
  <c r="S24"/>
  <c r="V24"/>
  <c r="Q25"/>
  <c r="U25"/>
  <c r="S28"/>
  <c r="V28"/>
  <c r="W29"/>
  <c r="S32"/>
  <c r="V32"/>
  <c r="W33"/>
  <c r="S36"/>
  <c r="V36"/>
  <c r="R9"/>
  <c r="S8"/>
  <c r="T9"/>
  <c r="U10"/>
  <c r="S12"/>
  <c r="T13"/>
  <c r="U14"/>
  <c r="V15"/>
  <c r="W16"/>
  <c r="Q19"/>
  <c r="S26"/>
  <c r="S27"/>
  <c r="S31"/>
  <c r="R8"/>
  <c r="R20"/>
  <c r="T7"/>
  <c r="T11"/>
  <c r="T15"/>
  <c r="S29"/>
  <c r="S33"/>
  <c r="R12" i="77"/>
  <c r="R16"/>
  <c r="R8"/>
  <c r="N6" i="81"/>
  <c r="B24"/>
  <c r="AT22" i="2"/>
  <c r="AP22"/>
  <c r="AR23" i="1"/>
  <c r="AQ25" i="2"/>
  <c r="AG8" i="1"/>
  <c r="AG10" s="1"/>
  <c r="AG8" i="2"/>
  <c r="AG10" s="1"/>
  <c r="AG11" i="1"/>
  <c r="AG11" i="2"/>
  <c r="AG9" i="1"/>
  <c r="AG9" i="2"/>
  <c r="J27" i="163" l="1"/>
  <c r="F25"/>
  <c r="F27"/>
  <c r="F26"/>
  <c r="G26"/>
  <c r="G27"/>
  <c r="N30"/>
  <c r="G25"/>
  <c r="H27"/>
  <c r="H26"/>
  <c r="N8"/>
  <c r="R7"/>
  <c r="N25"/>
  <c r="B24"/>
  <c r="K25"/>
  <c r="N36"/>
  <c r="N37"/>
  <c r="C27" i="134"/>
  <c r="C27" i="166"/>
  <c r="R29" i="135"/>
  <c r="C24"/>
  <c r="R12"/>
  <c r="C24" i="169"/>
  <c r="C25" i="167"/>
  <c r="C27" i="169"/>
  <c r="C24" i="167"/>
  <c r="C27"/>
  <c r="O6" i="169"/>
  <c r="C24" i="164"/>
  <c r="I25"/>
  <c r="R34"/>
  <c r="I27"/>
  <c r="R28"/>
  <c r="I26" i="82"/>
  <c r="I27"/>
  <c r="D27"/>
  <c r="J27"/>
  <c r="S24"/>
  <c r="I25"/>
  <c r="D26" i="169"/>
  <c r="D27"/>
  <c r="D27" i="164"/>
  <c r="E27"/>
  <c r="J27"/>
  <c r="C27" i="168"/>
  <c r="O21"/>
  <c r="C25"/>
  <c r="O6" i="166"/>
  <c r="N38" i="163"/>
  <c r="B27"/>
  <c r="C27"/>
  <c r="B27" i="168"/>
  <c r="D27" i="163"/>
  <c r="T21" i="168"/>
  <c r="K27"/>
  <c r="E27"/>
  <c r="E25"/>
  <c r="I27" i="163"/>
  <c r="J27" i="168"/>
  <c r="K26" i="163"/>
  <c r="K27"/>
  <c r="I25"/>
  <c r="J25" i="168"/>
  <c r="E27" i="163"/>
  <c r="T10"/>
  <c r="D25" i="168"/>
  <c r="I27"/>
  <c r="Y31" i="160"/>
  <c r="Y30"/>
  <c r="S31"/>
  <c r="S30"/>
  <c r="S16" i="82"/>
  <c r="J25"/>
  <c r="C25" i="166"/>
  <c r="P15" i="82"/>
  <c r="D25"/>
  <c r="O33" i="134"/>
  <c r="C25"/>
  <c r="O33" i="133"/>
  <c r="C25"/>
  <c r="N32" i="163"/>
  <c r="B25"/>
  <c r="I26" i="168"/>
  <c r="I25"/>
  <c r="S16" i="164"/>
  <c r="J25"/>
  <c r="D25" i="163"/>
  <c r="C26" i="168"/>
  <c r="J25" i="163"/>
  <c r="D26" i="168"/>
  <c r="C25" i="163"/>
  <c r="E25"/>
  <c r="K25" i="168"/>
  <c r="D25" i="164"/>
  <c r="E25" i="169"/>
  <c r="D25"/>
  <c r="B25" i="168"/>
  <c r="E25" i="164"/>
  <c r="J25" i="169"/>
  <c r="C25"/>
  <c r="O39" i="166"/>
  <c r="C26"/>
  <c r="T7" i="163"/>
  <c r="N20"/>
  <c r="O20" i="167"/>
  <c r="C26"/>
  <c r="O14"/>
  <c r="Q36" i="82"/>
  <c r="O28" i="166"/>
  <c r="R10" i="168"/>
  <c r="P7"/>
  <c r="J26" i="82"/>
  <c r="C37" i="129"/>
  <c r="AP25" i="158"/>
  <c r="AQ25"/>
  <c r="AT25"/>
  <c r="AS26"/>
  <c r="AP24"/>
  <c r="AS23" i="157"/>
  <c r="AP24"/>
  <c r="AO25"/>
  <c r="O44" i="130"/>
  <c r="C38"/>
  <c r="O14" i="164"/>
  <c r="AP26" i="158"/>
  <c r="N14" i="164"/>
  <c r="C37" i="158"/>
  <c r="AR24" i="128"/>
  <c r="AQ26" i="158"/>
  <c r="O40" i="129"/>
  <c r="Q13" i="163"/>
  <c r="Q10"/>
  <c r="T14"/>
  <c r="X17" i="129"/>
  <c r="R11" i="168"/>
  <c r="N35"/>
  <c r="Q11" i="163"/>
  <c r="N19" i="168"/>
  <c r="O31" i="166"/>
  <c r="O8"/>
  <c r="O37"/>
  <c r="O9"/>
  <c r="O25"/>
  <c r="O24"/>
  <c r="O34"/>
  <c r="O33"/>
  <c r="O30"/>
  <c r="O32"/>
  <c r="O36"/>
  <c r="O12"/>
  <c r="T14" i="82"/>
  <c r="R9"/>
  <c r="D26"/>
  <c r="N14"/>
  <c r="S19"/>
  <c r="R13"/>
  <c r="O39" i="81"/>
  <c r="C26"/>
  <c r="J21" i="175"/>
  <c r="O32" i="133"/>
  <c r="O37"/>
  <c r="O20"/>
  <c r="O18"/>
  <c r="O12"/>
  <c r="O20" i="166"/>
  <c r="O16" i="133"/>
  <c r="O15"/>
  <c r="O11"/>
  <c r="C26"/>
  <c r="O13" i="166"/>
  <c r="O14"/>
  <c r="Q15" i="169"/>
  <c r="P15"/>
  <c r="N28"/>
  <c r="O10"/>
  <c r="T32"/>
  <c r="N32"/>
  <c r="O21"/>
  <c r="O15" i="168"/>
  <c r="N20"/>
  <c r="J26"/>
  <c r="R13"/>
  <c r="P18"/>
  <c r="T16"/>
  <c r="S19"/>
  <c r="R14"/>
  <c r="P10"/>
  <c r="S20"/>
  <c r="S7"/>
  <c r="N21"/>
  <c r="T20"/>
  <c r="O18"/>
  <c r="S6" i="164"/>
  <c r="P12"/>
  <c r="P37" i="163"/>
  <c r="O7"/>
  <c r="N35"/>
  <c r="N19"/>
  <c r="P35"/>
  <c r="O14"/>
  <c r="P16"/>
  <c r="P6"/>
  <c r="O6"/>
  <c r="T15"/>
  <c r="O20" i="168"/>
  <c r="P8"/>
  <c r="T6" i="163"/>
  <c r="T18" i="168"/>
  <c r="E26"/>
  <c r="O10" i="163"/>
  <c r="S13" i="168"/>
  <c r="O11"/>
  <c r="R21" i="163"/>
  <c r="S6" i="168"/>
  <c r="Q20" i="163"/>
  <c r="R17" i="164"/>
  <c r="Q12" i="169"/>
  <c r="T12"/>
  <c r="T6" i="164"/>
  <c r="R20"/>
  <c r="P12" i="169"/>
  <c r="S19" i="164"/>
  <c r="Q17" i="169"/>
  <c r="S14" i="164"/>
  <c r="R24" i="169"/>
  <c r="Q18" i="164"/>
  <c r="T8"/>
  <c r="Q32"/>
  <c r="Q36"/>
  <c r="T36"/>
  <c r="P15"/>
  <c r="N15"/>
  <c r="R14"/>
  <c r="P32" i="169"/>
  <c r="P36"/>
  <c r="S37"/>
  <c r="P30"/>
  <c r="R30"/>
  <c r="P35"/>
  <c r="I24"/>
  <c r="R33"/>
  <c r="R37"/>
  <c r="P13"/>
  <c r="T25" i="164"/>
  <c r="P11"/>
  <c r="R34" i="169"/>
  <c r="R9"/>
  <c r="R28"/>
  <c r="R32"/>
  <c r="R36" i="164"/>
  <c r="K26"/>
  <c r="R35" i="169"/>
  <c r="R21" i="164"/>
  <c r="R25" i="169"/>
  <c r="R12" i="164"/>
  <c r="N20" i="169"/>
  <c r="R31"/>
  <c r="S30" i="168"/>
  <c r="O34" i="163"/>
  <c r="P33" i="168"/>
  <c r="P30" i="163"/>
  <c r="T25" i="168"/>
  <c r="N14" i="163"/>
  <c r="Q15" i="168"/>
  <c r="N14"/>
  <c r="O6"/>
  <c r="P9" i="163"/>
  <c r="O12"/>
  <c r="R12" i="168"/>
  <c r="P32" i="163"/>
  <c r="P8"/>
  <c r="T24" i="168"/>
  <c r="T16" i="163"/>
  <c r="Q14"/>
  <c r="T11" i="168"/>
  <c r="T15"/>
  <c r="S14"/>
  <c r="P26" i="163"/>
  <c r="T12"/>
  <c r="P38"/>
  <c r="Q9" i="164"/>
  <c r="Q19" i="169"/>
  <c r="T18" i="164"/>
  <c r="Q25"/>
  <c r="P33" i="82"/>
  <c r="O7" i="169"/>
  <c r="O18" i="164"/>
  <c r="Q14"/>
  <c r="S18" i="169"/>
  <c r="T21"/>
  <c r="Q24" i="164"/>
  <c r="Q31"/>
  <c r="N6" i="82"/>
  <c r="Q13" i="164"/>
  <c r="O15" i="169"/>
  <c r="Q28" i="164"/>
  <c r="D26"/>
  <c r="Q34"/>
  <c r="P16"/>
  <c r="D24" i="169"/>
  <c r="P26"/>
  <c r="P19" i="164"/>
  <c r="Q19"/>
  <c r="T24"/>
  <c r="N7"/>
  <c r="P33" i="169"/>
  <c r="T15"/>
  <c r="P6" i="164"/>
  <c r="T13"/>
  <c r="S10"/>
  <c r="P31" i="169"/>
  <c r="I24" i="82"/>
  <c r="R33"/>
  <c r="P37" i="169"/>
  <c r="P28"/>
  <c r="P25"/>
  <c r="P20" i="82"/>
  <c r="T34" i="164"/>
  <c r="O32" i="163"/>
  <c r="T30" i="168"/>
  <c r="N33" i="163"/>
  <c r="R12"/>
  <c r="N6" i="168"/>
  <c r="S15"/>
  <c r="P24" i="163"/>
  <c r="N15" i="168"/>
  <c r="N17"/>
  <c r="S17"/>
  <c r="S21"/>
  <c r="S10"/>
  <c r="R33" i="163"/>
  <c r="Q31"/>
  <c r="T13"/>
  <c r="P25"/>
  <c r="Q25"/>
  <c r="O14" i="168"/>
  <c r="P31" i="163"/>
  <c r="N31" i="168"/>
  <c r="T9"/>
  <c r="R33"/>
  <c r="O18" i="163"/>
  <c r="O25" i="168"/>
  <c r="S12"/>
  <c r="S7" i="163"/>
  <c r="S18" i="168"/>
  <c r="D24" i="82"/>
  <c r="P8"/>
  <c r="O39" i="167"/>
  <c r="Q21" i="169"/>
  <c r="S6" i="82"/>
  <c r="P25"/>
  <c r="T15"/>
  <c r="Q18"/>
  <c r="Q9"/>
  <c r="Q10"/>
  <c r="P37"/>
  <c r="K24" i="164"/>
  <c r="P9" i="169"/>
  <c r="O18"/>
  <c r="T37" i="164"/>
  <c r="T28"/>
  <c r="P7"/>
  <c r="S11" i="169"/>
  <c r="T10"/>
  <c r="P30" i="82"/>
  <c r="P38"/>
  <c r="T19" i="164"/>
  <c r="Q16"/>
  <c r="T7" i="169"/>
  <c r="P35" i="82"/>
  <c r="P36"/>
  <c r="N18" i="164"/>
  <c r="Q12"/>
  <c r="N21"/>
  <c r="N20"/>
  <c r="T6" i="169"/>
  <c r="T32" i="164"/>
  <c r="R17" i="169"/>
  <c r="Q35"/>
  <c r="T31" i="164"/>
  <c r="AQ22" i="127"/>
  <c r="AQ22" i="158"/>
  <c r="AS22"/>
  <c r="AT24" i="157"/>
  <c r="AQ24"/>
  <c r="AR24"/>
  <c r="AT26"/>
  <c r="AR25"/>
  <c r="AQ25"/>
  <c r="O31" i="167"/>
  <c r="O10"/>
  <c r="O6"/>
  <c r="O36"/>
  <c r="O33"/>
  <c r="O15"/>
  <c r="O37"/>
  <c r="O35" i="166"/>
  <c r="R20" i="82"/>
  <c r="R8"/>
  <c r="N18"/>
  <c r="R31"/>
  <c r="N15"/>
  <c r="R39"/>
  <c r="R38"/>
  <c r="P16"/>
  <c r="R34"/>
  <c r="S13"/>
  <c r="S15"/>
  <c r="R25"/>
  <c r="R30"/>
  <c r="R26"/>
  <c r="R32"/>
  <c r="S31"/>
  <c r="P34"/>
  <c r="Q14"/>
  <c r="R24"/>
  <c r="R28"/>
  <c r="J22" i="175"/>
  <c r="J23"/>
  <c r="H21"/>
  <c r="J23" i="174"/>
  <c r="J22"/>
  <c r="R10" i="137"/>
  <c r="L27" i="136"/>
  <c r="T6"/>
  <c r="L24"/>
  <c r="M26"/>
  <c r="V11"/>
  <c r="U15"/>
  <c r="S18"/>
  <c r="U32"/>
  <c r="V24"/>
  <c r="U14"/>
  <c r="S9"/>
  <c r="Q20"/>
  <c r="M24"/>
  <c r="V25"/>
  <c r="M27"/>
  <c r="V27"/>
  <c r="J26"/>
  <c r="V8"/>
  <c r="T10"/>
  <c r="V19"/>
  <c r="I25"/>
  <c r="T35"/>
  <c r="U37"/>
  <c r="R17"/>
  <c r="Q14"/>
  <c r="V20"/>
  <c r="K27"/>
  <c r="W18"/>
  <c r="S34"/>
  <c r="U29"/>
  <c r="U34"/>
  <c r="V33"/>
  <c r="V28"/>
  <c r="V16"/>
  <c r="T24"/>
  <c r="V30"/>
  <c r="M25"/>
  <c r="U19"/>
  <c r="U17"/>
  <c r="U36"/>
  <c r="S35"/>
  <c r="V12"/>
  <c r="S37"/>
  <c r="R34"/>
  <c r="R25" i="135"/>
  <c r="R24"/>
  <c r="R8"/>
  <c r="R28"/>
  <c r="R31"/>
  <c r="R35"/>
  <c r="R36"/>
  <c r="R33"/>
  <c r="R32"/>
  <c r="C25"/>
  <c r="R9"/>
  <c r="R26"/>
  <c r="R30"/>
  <c r="O34" i="133"/>
  <c r="O17"/>
  <c r="O13" i="167"/>
  <c r="O32"/>
  <c r="O26"/>
  <c r="O8"/>
  <c r="O18"/>
  <c r="O17"/>
  <c r="O9"/>
  <c r="O25"/>
  <c r="O12"/>
  <c r="O24"/>
  <c r="O30"/>
  <c r="O34"/>
  <c r="O29"/>
  <c r="O35"/>
  <c r="O7"/>
  <c r="O10" i="133"/>
  <c r="O30"/>
  <c r="O19" i="166"/>
  <c r="O17"/>
  <c r="O16"/>
  <c r="O10"/>
  <c r="O13" i="133"/>
  <c r="O38"/>
  <c r="C20" i="138"/>
  <c r="R11"/>
  <c r="R28"/>
  <c r="R12"/>
  <c r="R24" i="137"/>
  <c r="R7"/>
  <c r="R14"/>
  <c r="R31"/>
  <c r="R8"/>
  <c r="R25"/>
  <c r="R12"/>
  <c r="R29"/>
  <c r="R9"/>
  <c r="R15"/>
  <c r="C4" i="136"/>
  <c r="C4" i="82"/>
  <c r="C24" s="1"/>
  <c r="C5" i="136"/>
  <c r="R24" s="1"/>
  <c r="C5" i="82"/>
  <c r="C10" i="136"/>
  <c r="C10" i="82"/>
  <c r="I24" i="136"/>
  <c r="T33"/>
  <c r="S8" i="82"/>
  <c r="R35"/>
  <c r="S28"/>
  <c r="T6"/>
  <c r="S38"/>
  <c r="R37" i="79"/>
  <c r="C27"/>
  <c r="S32" i="82"/>
  <c r="S9"/>
  <c r="R16"/>
  <c r="S34"/>
  <c r="S39"/>
  <c r="N10"/>
  <c r="Q24" i="136"/>
  <c r="W13"/>
  <c r="S7"/>
  <c r="U20"/>
  <c r="T27"/>
  <c r="T9"/>
  <c r="T36"/>
  <c r="T30"/>
  <c r="Q31"/>
  <c r="T14"/>
  <c r="T25"/>
  <c r="T16"/>
  <c r="D24"/>
  <c r="G24"/>
  <c r="U33"/>
  <c r="Q6"/>
  <c r="T37"/>
  <c r="C17"/>
  <c r="C17" i="82"/>
  <c r="C18" i="136"/>
  <c r="R36" s="1"/>
  <c r="C18" i="82"/>
  <c r="O38" s="1"/>
  <c r="C13" i="136"/>
  <c r="C13" i="82"/>
  <c r="C6" i="136"/>
  <c r="C6" i="82"/>
  <c r="O8" s="1"/>
  <c r="R31" i="79"/>
  <c r="C12" i="82"/>
  <c r="O32" s="1"/>
  <c r="C12" i="136"/>
  <c r="R13" s="1"/>
  <c r="C9"/>
  <c r="R10" s="1"/>
  <c r="C9" i="82"/>
  <c r="C25" i="79"/>
  <c r="C14" i="136"/>
  <c r="R32" s="1"/>
  <c r="C14" i="82"/>
  <c r="R30" i="79"/>
  <c r="C11" i="136"/>
  <c r="R12" s="1"/>
  <c r="C11" i="82"/>
  <c r="O31" s="1"/>
  <c r="R38" i="79"/>
  <c r="C26"/>
  <c r="C19" i="136"/>
  <c r="C19" i="82"/>
  <c r="C27" s="1"/>
  <c r="S30"/>
  <c r="J24"/>
  <c r="S35"/>
  <c r="T29" i="136"/>
  <c r="H25"/>
  <c r="T34"/>
  <c r="W35"/>
  <c r="T8"/>
  <c r="P26" i="82"/>
  <c r="R13" i="79"/>
  <c r="R18"/>
  <c r="S37" i="82"/>
  <c r="S25"/>
  <c r="P9"/>
  <c r="P32"/>
  <c r="S33"/>
  <c r="P24"/>
  <c r="S26"/>
  <c r="P28"/>
  <c r="T32" i="136"/>
  <c r="T26"/>
  <c r="W10"/>
  <c r="S27"/>
  <c r="H24"/>
  <c r="U18"/>
  <c r="Q34"/>
  <c r="Q30"/>
  <c r="T28"/>
  <c r="T17"/>
  <c r="R16" i="135"/>
  <c r="C27"/>
  <c r="R17"/>
  <c r="P24" i="169"/>
  <c r="P16"/>
  <c r="N18"/>
  <c r="P17"/>
  <c r="S14"/>
  <c r="N14"/>
  <c r="S16"/>
  <c r="S17"/>
  <c r="R20"/>
  <c r="O14"/>
  <c r="T16"/>
  <c r="R15"/>
  <c r="S30"/>
  <c r="Q26"/>
  <c r="S24"/>
  <c r="T13"/>
  <c r="N12"/>
  <c r="J24"/>
  <c r="N19"/>
  <c r="P11" i="168"/>
  <c r="O9"/>
  <c r="P15"/>
  <c r="B26"/>
  <c r="R17"/>
  <c r="R35"/>
  <c r="T36"/>
  <c r="R18"/>
  <c r="T33"/>
  <c r="T26"/>
  <c r="T8"/>
  <c r="O10"/>
  <c r="T33" i="164"/>
  <c r="C26"/>
  <c r="S30"/>
  <c r="T21"/>
  <c r="S34"/>
  <c r="N37"/>
  <c r="S18"/>
  <c r="J26"/>
  <c r="O25"/>
  <c r="T35"/>
  <c r="Q6"/>
  <c r="T16"/>
  <c r="Q11"/>
  <c r="S26"/>
  <c r="O38" i="163"/>
  <c r="S36"/>
  <c r="R37"/>
  <c r="D26"/>
  <c r="N21"/>
  <c r="E24"/>
  <c r="O24"/>
  <c r="P19"/>
  <c r="R36"/>
  <c r="T17"/>
  <c r="S11"/>
  <c r="Q7"/>
  <c r="O36"/>
  <c r="R30"/>
  <c r="S16"/>
  <c r="P15"/>
  <c r="O31"/>
  <c r="S17"/>
  <c r="P18" i="164"/>
  <c r="Q10"/>
  <c r="E24"/>
  <c r="O26"/>
  <c r="P28"/>
  <c r="P11" i="169"/>
  <c r="R18"/>
  <c r="Q8"/>
  <c r="R19"/>
  <c r="S8" i="164"/>
  <c r="P10" i="169"/>
  <c r="O24"/>
  <c r="Q28"/>
  <c r="O31" i="164"/>
  <c r="P32"/>
  <c r="P36"/>
  <c r="T11" i="169"/>
  <c r="Q25"/>
  <c r="P24" i="164"/>
  <c r="R8" i="169"/>
  <c r="P19"/>
  <c r="Q24"/>
  <c r="B26"/>
  <c r="Q32"/>
  <c r="Q33"/>
  <c r="Q36"/>
  <c r="O7" i="164"/>
  <c r="Q30" i="169"/>
  <c r="O10" i="164"/>
  <c r="Q20"/>
  <c r="O15"/>
  <c r="O8"/>
  <c r="R37"/>
  <c r="R10" i="169"/>
  <c r="Q6"/>
  <c r="P8"/>
  <c r="Q37"/>
  <c r="J26"/>
  <c r="Q9"/>
  <c r="K26"/>
  <c r="Q31"/>
  <c r="Q34"/>
  <c r="R13"/>
  <c r="Q16" i="163"/>
  <c r="N18" i="168"/>
  <c r="R34" i="163"/>
  <c r="S34"/>
  <c r="O20"/>
  <c r="T18"/>
  <c r="O19"/>
  <c r="O16" i="168"/>
  <c r="T7"/>
  <c r="O15" i="163"/>
  <c r="P18"/>
  <c r="T35"/>
  <c r="S35"/>
  <c r="R6" i="168"/>
  <c r="O8"/>
  <c r="O25" i="163"/>
  <c r="S8"/>
  <c r="T37" i="168"/>
  <c r="P12"/>
  <c r="K26"/>
  <c r="S31"/>
  <c r="P14" i="163"/>
  <c r="S25"/>
  <c r="Q6"/>
  <c r="T31" i="168"/>
  <c r="T34"/>
  <c r="Q24" i="163"/>
  <c r="Q31" i="168"/>
  <c r="R8" i="163"/>
  <c r="R38"/>
  <c r="D24"/>
  <c r="S32"/>
  <c r="T20"/>
  <c r="Q17"/>
  <c r="R32"/>
  <c r="S30"/>
  <c r="S19"/>
  <c r="R35"/>
  <c r="N15"/>
  <c r="R6"/>
  <c r="O35"/>
  <c r="O24" i="168"/>
  <c r="R15"/>
  <c r="P37"/>
  <c r="Q7"/>
  <c r="Q30" i="163"/>
  <c r="Q36"/>
  <c r="R18"/>
  <c r="O33"/>
  <c r="T19" i="168"/>
  <c r="R31" i="163"/>
  <c r="R13"/>
  <c r="Q13" i="169"/>
  <c r="T11" i="164"/>
  <c r="R30"/>
  <c r="T9" i="169"/>
  <c r="R36"/>
  <c r="O6" i="164"/>
  <c r="N13" i="169"/>
  <c r="J24" i="164"/>
  <c r="S36"/>
  <c r="N33"/>
  <c r="S28"/>
  <c r="S24"/>
  <c r="O17"/>
  <c r="S9"/>
  <c r="Q30"/>
  <c r="P10"/>
  <c r="O20"/>
  <c r="N25"/>
  <c r="E26" i="169"/>
  <c r="R12"/>
  <c r="T37"/>
  <c r="P20"/>
  <c r="R14"/>
  <c r="T24"/>
  <c r="T14"/>
  <c r="O30"/>
  <c r="Q11"/>
  <c r="T17" i="164"/>
  <c r="S12"/>
  <c r="T18" i="169"/>
  <c r="R13" i="164"/>
  <c r="D24"/>
  <c r="I24"/>
  <c r="T33" i="169"/>
  <c r="T35"/>
  <c r="T26"/>
  <c r="T31"/>
  <c r="O11" i="164"/>
  <c r="T36" i="169"/>
  <c r="Q35" i="164"/>
  <c r="S32"/>
  <c r="R33"/>
  <c r="R18"/>
  <c r="R11"/>
  <c r="P21" i="169"/>
  <c r="T28"/>
  <c r="T34"/>
  <c r="P7"/>
  <c r="R16"/>
  <c r="I26"/>
  <c r="T8"/>
  <c r="N30"/>
  <c r="N17"/>
  <c r="P25" i="168"/>
  <c r="S12" i="163"/>
  <c r="Q18"/>
  <c r="P12"/>
  <c r="S37"/>
  <c r="O12" i="168"/>
  <c r="O7"/>
  <c r="P38"/>
  <c r="T10"/>
  <c r="Q30"/>
  <c r="Q35"/>
  <c r="P9"/>
  <c r="R9" i="163"/>
  <c r="S38"/>
  <c r="T37"/>
  <c r="N9"/>
  <c r="P34"/>
  <c r="Q9"/>
  <c r="O13" i="168"/>
  <c r="S38"/>
  <c r="P17"/>
  <c r="O36"/>
  <c r="O32"/>
  <c r="O26"/>
  <c r="P21"/>
  <c r="Q18"/>
  <c r="T6"/>
  <c r="S35"/>
  <c r="S11"/>
  <c r="O38"/>
  <c r="P31"/>
  <c r="R37"/>
  <c r="Q33"/>
  <c r="P26"/>
  <c r="O11" i="163"/>
  <c r="T32" i="168"/>
  <c r="P30"/>
  <c r="O33"/>
  <c r="T38"/>
  <c r="S6" i="163"/>
  <c r="P13" i="168"/>
  <c r="S24" i="163"/>
  <c r="T21"/>
  <c r="S24" i="168"/>
  <c r="Q32"/>
  <c r="Q34"/>
  <c r="O30"/>
  <c r="Q21"/>
  <c r="R26"/>
  <c r="R36"/>
  <c r="Q37"/>
  <c r="Q9"/>
  <c r="R17" i="163"/>
  <c r="E24" i="168"/>
  <c r="O37"/>
  <c r="O31"/>
  <c r="O21" i="163"/>
  <c r="T8"/>
  <c r="J26"/>
  <c r="Q19"/>
  <c r="T24"/>
  <c r="Q38"/>
  <c r="O35" i="168"/>
  <c r="Q25"/>
  <c r="Q12"/>
  <c r="Q36"/>
  <c r="Q16"/>
  <c r="P6"/>
  <c r="P32"/>
  <c r="Q8"/>
  <c r="O34"/>
  <c r="P24"/>
  <c r="P36"/>
  <c r="D24"/>
  <c r="S15" i="163"/>
  <c r="N13"/>
  <c r="R10"/>
  <c r="P35" i="168"/>
  <c r="T35"/>
  <c r="Q37" i="163"/>
  <c r="P33"/>
  <c r="S33"/>
  <c r="AT24" i="128"/>
  <c r="O17" i="130"/>
  <c r="O19" i="129"/>
  <c r="O45"/>
  <c r="O37"/>
  <c r="O20"/>
  <c r="X16"/>
  <c r="C36"/>
  <c r="O36"/>
  <c r="AP23" i="157"/>
  <c r="AT23"/>
  <c r="AO23"/>
  <c r="C37"/>
  <c r="S26" i="169"/>
  <c r="S8"/>
  <c r="Q17" i="164"/>
  <c r="Q33"/>
  <c r="N24" i="169"/>
  <c r="N6"/>
  <c r="S10"/>
  <c r="S28"/>
  <c r="T15" i="164"/>
  <c r="T14"/>
  <c r="Q14" i="169"/>
  <c r="S21"/>
  <c r="S20"/>
  <c r="S36"/>
  <c r="P33" i="164"/>
  <c r="S35" i="169"/>
  <c r="S31" i="164"/>
  <c r="S15"/>
  <c r="O12"/>
  <c r="P35"/>
  <c r="S33"/>
  <c r="N19"/>
  <c r="P30"/>
  <c r="N6"/>
  <c r="K24" i="169"/>
  <c r="P14"/>
  <c r="O25"/>
  <c r="S13" i="164"/>
  <c r="AR25" i="158"/>
  <c r="AO24"/>
  <c r="E26" i="164"/>
  <c r="P21"/>
  <c r="B26"/>
  <c r="O36"/>
  <c r="O32"/>
  <c r="N30"/>
  <c r="S21"/>
  <c r="Q7"/>
  <c r="O34"/>
  <c r="O28"/>
  <c r="P20"/>
  <c r="P17"/>
  <c r="T7"/>
  <c r="T30"/>
  <c r="R16"/>
  <c r="O30"/>
  <c r="O35"/>
  <c r="S7"/>
  <c r="O16"/>
  <c r="P25"/>
  <c r="N35"/>
  <c r="S19" i="169"/>
  <c r="S34"/>
  <c r="O11"/>
  <c r="C26"/>
  <c r="R21"/>
  <c r="S15"/>
  <c r="O33"/>
  <c r="O12"/>
  <c r="P31" i="164"/>
  <c r="S25" i="169"/>
  <c r="O33" i="164"/>
  <c r="O31" i="169"/>
  <c r="T30"/>
  <c r="R6"/>
  <c r="O13"/>
  <c r="S25" i="164"/>
  <c r="R11" i="169"/>
  <c r="Q15" i="164"/>
  <c r="N15" i="169"/>
  <c r="O37"/>
  <c r="O8"/>
  <c r="O26"/>
  <c r="S7"/>
  <c r="S6"/>
  <c r="P14" i="164"/>
  <c r="Q37"/>
  <c r="Q21"/>
  <c r="R25"/>
  <c r="R8"/>
  <c r="S31" i="169"/>
  <c r="S12"/>
  <c r="N26"/>
  <c r="B24"/>
  <c r="N37"/>
  <c r="O9"/>
  <c r="S9"/>
  <c r="P37" i="164"/>
  <c r="S11"/>
  <c r="R15"/>
  <c r="T9"/>
  <c r="O36" i="169"/>
  <c r="S13"/>
  <c r="S32"/>
  <c r="N33"/>
  <c r="T12" i="164"/>
  <c r="T20"/>
  <c r="O9"/>
  <c r="S37"/>
  <c r="O21"/>
  <c r="N16"/>
  <c r="O24"/>
  <c r="O13"/>
  <c r="Q8"/>
  <c r="O37"/>
  <c r="R19"/>
  <c r="P9"/>
  <c r="P13"/>
  <c r="T10"/>
  <c r="N11"/>
  <c r="S35"/>
  <c r="O16" i="169"/>
  <c r="P34"/>
  <c r="N8"/>
  <c r="N16"/>
  <c r="S33"/>
  <c r="N25"/>
  <c r="N10"/>
  <c r="N36"/>
  <c r="O35"/>
  <c r="Q10"/>
  <c r="O28"/>
  <c r="P8" i="164"/>
  <c r="O32" i="169"/>
  <c r="N7"/>
  <c r="N11"/>
  <c r="P34" i="164"/>
  <c r="I26"/>
  <c r="O34" i="169"/>
  <c r="T25"/>
  <c r="R7"/>
  <c r="N21"/>
  <c r="N9"/>
  <c r="N31"/>
  <c r="N35"/>
  <c r="S10" i="163"/>
  <c r="S9"/>
  <c r="N26" i="168"/>
  <c r="N36"/>
  <c r="N8"/>
  <c r="O30" i="163"/>
  <c r="O26"/>
  <c r="T13" i="168"/>
  <c r="N25"/>
  <c r="N7"/>
  <c r="Q6"/>
  <c r="Q24"/>
  <c r="Q13"/>
  <c r="R15" i="163"/>
  <c r="I26"/>
  <c r="O13"/>
  <c r="T36"/>
  <c r="R32" i="168"/>
  <c r="P11" i="163"/>
  <c r="T19"/>
  <c r="R25" i="168"/>
  <c r="O42" i="129"/>
  <c r="O38"/>
  <c r="S21" i="163"/>
  <c r="E26"/>
  <c r="T31"/>
  <c r="P17"/>
  <c r="P13"/>
  <c r="N10"/>
  <c r="Q34"/>
  <c r="R24"/>
  <c r="P10"/>
  <c r="P36"/>
  <c r="O17"/>
  <c r="T34"/>
  <c r="S31"/>
  <c r="R16"/>
  <c r="N16"/>
  <c r="B24" i="168"/>
  <c r="S9"/>
  <c r="S34"/>
  <c r="R19"/>
  <c r="S36"/>
  <c r="S26"/>
  <c r="S16"/>
  <c r="T12"/>
  <c r="P14"/>
  <c r="R8"/>
  <c r="R7"/>
  <c r="R24"/>
  <c r="P7" i="163"/>
  <c r="O8"/>
  <c r="R16" i="168"/>
  <c r="O37" i="163"/>
  <c r="Q8"/>
  <c r="Q17" i="168"/>
  <c r="N9"/>
  <c r="N33"/>
  <c r="Q35" i="163"/>
  <c r="T14" i="168"/>
  <c r="N24"/>
  <c r="Q33" i="163"/>
  <c r="R25"/>
  <c r="P21"/>
  <c r="Q38" i="168"/>
  <c r="S8"/>
  <c r="Q12" i="163"/>
  <c r="S14"/>
  <c r="S13"/>
  <c r="N12" i="168"/>
  <c r="Q32" i="163"/>
  <c r="Q15"/>
  <c r="R19"/>
  <c r="T9"/>
  <c r="P20"/>
  <c r="T26"/>
  <c r="S32" i="168"/>
  <c r="R20"/>
  <c r="T30" i="163"/>
  <c r="N34" i="168"/>
  <c r="Q19"/>
  <c r="R9"/>
  <c r="N37"/>
  <c r="R20" i="163"/>
  <c r="N11"/>
  <c r="AP25" i="157"/>
  <c r="AR26"/>
  <c r="N7" i="163"/>
  <c r="B26"/>
  <c r="R14"/>
  <c r="C26"/>
  <c r="T11"/>
  <c r="N6"/>
  <c r="O16"/>
  <c r="T38"/>
  <c r="O9"/>
  <c r="R38" i="168"/>
  <c r="Q14"/>
  <c r="N11"/>
  <c r="R34"/>
  <c r="Q10"/>
  <c r="N32"/>
  <c r="S37"/>
  <c r="S25"/>
  <c r="S33"/>
  <c r="R30"/>
  <c r="R31"/>
  <c r="T25" i="163"/>
  <c r="T32"/>
  <c r="T33"/>
  <c r="N38" i="168"/>
  <c r="Q11"/>
  <c r="N13"/>
  <c r="N30"/>
  <c r="Q21" i="163"/>
  <c r="O17" i="134"/>
  <c r="AQ26" i="157"/>
  <c r="AO22"/>
  <c r="AS26"/>
  <c r="AO24"/>
  <c r="AS24"/>
  <c r="AT25"/>
  <c r="AT22"/>
  <c r="AS23" i="127"/>
  <c r="O26" i="130"/>
  <c r="AR22" i="128"/>
  <c r="AR23"/>
  <c r="X16" i="130"/>
  <c r="O27"/>
  <c r="C36"/>
  <c r="AR26" i="128"/>
  <c r="AP26"/>
  <c r="AQ23"/>
  <c r="AQ25"/>
  <c r="AQ26"/>
  <c r="AS24"/>
  <c r="AT26"/>
  <c r="AS25"/>
  <c r="O31" i="130"/>
  <c r="O40"/>
  <c r="O22"/>
  <c r="AP23" i="128"/>
  <c r="AO26"/>
  <c r="O30" i="130"/>
  <c r="O19"/>
  <c r="O18"/>
  <c r="AS23" i="128"/>
  <c r="O28" i="130"/>
  <c r="AT22" i="128"/>
  <c r="C37"/>
  <c r="AO22"/>
  <c r="AP25"/>
  <c r="O29" i="130"/>
  <c r="X17"/>
  <c r="X18"/>
  <c r="AO25" i="128"/>
  <c r="AS24" i="127"/>
  <c r="AR22"/>
  <c r="O23" i="129"/>
  <c r="AR23" i="127"/>
  <c r="AQ24"/>
  <c r="AQ26"/>
  <c r="O18" i="129"/>
  <c r="O16" i="134"/>
  <c r="O11"/>
  <c r="O31"/>
  <c r="O13"/>
  <c r="O19"/>
  <c r="O37"/>
  <c r="O20"/>
  <c r="O38"/>
  <c r="O15"/>
  <c r="C26"/>
  <c r="O9"/>
  <c r="O30"/>
  <c r="O12"/>
  <c r="O10"/>
  <c r="R35" i="136"/>
  <c r="R18"/>
  <c r="R26"/>
  <c r="R31"/>
  <c r="R27"/>
  <c r="R33"/>
  <c r="R37"/>
  <c r="C27"/>
  <c r="R29"/>
  <c r="AO23" i="128"/>
  <c r="AS26"/>
  <c r="AS22"/>
  <c r="AO24"/>
  <c r="AT25"/>
  <c r="AT23"/>
  <c r="AP24"/>
  <c r="AQ22"/>
  <c r="AP22"/>
  <c r="AO24" i="127"/>
  <c r="AR26"/>
  <c r="AO25"/>
  <c r="AP26"/>
  <c r="AR25"/>
  <c r="AP25"/>
  <c r="AO23"/>
  <c r="AT22"/>
  <c r="AP23"/>
  <c r="AS25"/>
  <c r="AT23"/>
  <c r="AR24"/>
  <c r="AO22"/>
  <c r="AS22"/>
  <c r="AP22"/>
  <c r="AT24"/>
  <c r="AT26"/>
  <c r="AT25"/>
  <c r="AQ23"/>
  <c r="AP24"/>
  <c r="AR25" i="128"/>
  <c r="AQ24"/>
  <c r="AO26" i="127"/>
  <c r="AQ25"/>
  <c r="AS26"/>
  <c r="R33" i="126"/>
  <c r="R16"/>
  <c r="R31"/>
  <c r="R14"/>
  <c r="R29"/>
  <c r="R12"/>
  <c r="R27"/>
  <c r="R10"/>
  <c r="R4"/>
  <c r="R21"/>
  <c r="R22"/>
  <c r="R15"/>
  <c r="R5"/>
  <c r="R25"/>
  <c r="R8"/>
  <c r="R23"/>
  <c r="R6"/>
  <c r="R9"/>
  <c r="R7"/>
  <c r="O8" i="81"/>
  <c r="O25"/>
  <c r="O12"/>
  <c r="T8" i="82"/>
  <c r="T34"/>
  <c r="K24"/>
  <c r="Q7"/>
  <c r="Q16"/>
  <c r="T30"/>
  <c r="T9"/>
  <c r="T36"/>
  <c r="N9"/>
  <c r="N34"/>
  <c r="Q8"/>
  <c r="N33"/>
  <c r="O17"/>
  <c r="Q11"/>
  <c r="Q38"/>
  <c r="R17"/>
  <c r="Q19"/>
  <c r="T37"/>
  <c r="R36"/>
  <c r="Q30"/>
  <c r="N26"/>
  <c r="N30"/>
  <c r="N37"/>
  <c r="N24"/>
  <c r="O9"/>
  <c r="N25"/>
  <c r="O36"/>
  <c r="N35"/>
  <c r="T24"/>
  <c r="N36"/>
  <c r="N32"/>
  <c r="T38"/>
  <c r="T25"/>
  <c r="T32"/>
  <c r="T39"/>
  <c r="T33"/>
  <c r="T28"/>
  <c r="T35"/>
  <c r="N31"/>
  <c r="T31"/>
  <c r="O11" i="81"/>
  <c r="O17"/>
  <c r="R24" i="79"/>
  <c r="R36"/>
  <c r="R32"/>
  <c r="T16" i="82"/>
  <c r="N13"/>
  <c r="R7" i="79"/>
  <c r="R6"/>
  <c r="N38" i="82"/>
  <c r="O35"/>
  <c r="P39"/>
  <c r="R28" i="79"/>
  <c r="N17" i="82"/>
  <c r="N39"/>
  <c r="N28"/>
  <c r="B24"/>
  <c r="Q15"/>
  <c r="R11" i="79"/>
  <c r="O28" i="81"/>
  <c r="O19"/>
  <c r="O10"/>
  <c r="O20"/>
  <c r="O15"/>
  <c r="O16"/>
  <c r="R16" i="79"/>
  <c r="R17"/>
  <c r="R14"/>
  <c r="R10"/>
  <c r="AF31" i="2"/>
  <c r="AG31"/>
  <c r="AH31"/>
  <c r="AI31"/>
  <c r="AJ31"/>
  <c r="AK31"/>
  <c r="AL31"/>
  <c r="AF32"/>
  <c r="AG32"/>
  <c r="AH32"/>
  <c r="AI32"/>
  <c r="AJ32"/>
  <c r="AK32"/>
  <c r="AL32"/>
  <c r="AF33"/>
  <c r="AG33"/>
  <c r="AH33"/>
  <c r="AI33"/>
  <c r="AJ33"/>
  <c r="AK33"/>
  <c r="AL33"/>
  <c r="AF34"/>
  <c r="AG34"/>
  <c r="AH34"/>
  <c r="AI34"/>
  <c r="AJ34"/>
  <c r="AK34"/>
  <c r="AL34"/>
  <c r="AF36"/>
  <c r="AG36"/>
  <c r="AH36"/>
  <c r="AI36"/>
  <c r="AJ36"/>
  <c r="AK36"/>
  <c r="AL36"/>
  <c r="AF37"/>
  <c r="AG37"/>
  <c r="AH37"/>
  <c r="AI37"/>
  <c r="AJ37"/>
  <c r="AK37"/>
  <c r="AL37"/>
  <c r="AF38"/>
  <c r="AH38"/>
  <c r="AI38"/>
  <c r="AK38"/>
  <c r="AF39"/>
  <c r="AH39"/>
  <c r="AI39"/>
  <c r="AK39"/>
  <c r="AF41"/>
  <c r="AH41"/>
  <c r="AI41"/>
  <c r="AK41"/>
  <c r="AF42"/>
  <c r="AH42"/>
  <c r="AI42"/>
  <c r="AK42"/>
  <c r="AF43"/>
  <c r="AG43"/>
  <c r="AH43"/>
  <c r="AI43"/>
  <c r="AJ43"/>
  <c r="AK43"/>
  <c r="AL43"/>
  <c r="AF44"/>
  <c r="AG44"/>
  <c r="AH44"/>
  <c r="AI44"/>
  <c r="AJ44"/>
  <c r="AK44"/>
  <c r="AL44"/>
  <c r="AF45"/>
  <c r="AG45"/>
  <c r="AH45"/>
  <c r="AI45"/>
  <c r="AJ45"/>
  <c r="AK45"/>
  <c r="AL45"/>
  <c r="AF46"/>
  <c r="AG46"/>
  <c r="AH46"/>
  <c r="AI46"/>
  <c r="AJ46"/>
  <c r="AK46"/>
  <c r="AL46"/>
  <c r="AF48"/>
  <c r="AG48"/>
  <c r="AH48"/>
  <c r="AI48"/>
  <c r="AJ48"/>
  <c r="AK48"/>
  <c r="AL48"/>
  <c r="AF49"/>
  <c r="AG49"/>
  <c r="AH49"/>
  <c r="AI49"/>
  <c r="AJ49"/>
  <c r="AK49"/>
  <c r="AL49"/>
  <c r="AF50"/>
  <c r="AG50"/>
  <c r="AH50"/>
  <c r="AI50"/>
  <c r="AJ50"/>
  <c r="AK50"/>
  <c r="AL50"/>
  <c r="AF51"/>
  <c r="AG51"/>
  <c r="AH51"/>
  <c r="AI51"/>
  <c r="AJ51"/>
  <c r="AK51"/>
  <c r="AL51"/>
  <c r="AF52"/>
  <c r="AG52"/>
  <c r="AH52"/>
  <c r="AI52"/>
  <c r="AJ52"/>
  <c r="AK52"/>
  <c r="AL52"/>
  <c r="AF53"/>
  <c r="AG53"/>
  <c r="AH53"/>
  <c r="AI53"/>
  <c r="AJ53"/>
  <c r="AK53"/>
  <c r="AL53"/>
  <c r="AF54"/>
  <c r="AG54"/>
  <c r="AH54"/>
  <c r="AI54"/>
  <c r="AJ54"/>
  <c r="AK54"/>
  <c r="AL54"/>
  <c r="AF55"/>
  <c r="AG55"/>
  <c r="AH55"/>
  <c r="AI55"/>
  <c r="AJ55"/>
  <c r="AK55"/>
  <c r="AL55"/>
  <c r="AF56"/>
  <c r="AG56"/>
  <c r="AH56"/>
  <c r="AI56"/>
  <c r="AJ56"/>
  <c r="AK56"/>
  <c r="AL56"/>
  <c r="AF57"/>
  <c r="AG57"/>
  <c r="AH57"/>
  <c r="AI57"/>
  <c r="AJ57"/>
  <c r="AK57"/>
  <c r="AL57"/>
  <c r="AF58"/>
  <c r="AG58"/>
  <c r="AH58"/>
  <c r="AI58"/>
  <c r="AJ58"/>
  <c r="AK58"/>
  <c r="AL58"/>
  <c r="AF31" i="1"/>
  <c r="AG31"/>
  <c r="AH31"/>
  <c r="AI31"/>
  <c r="AJ31"/>
  <c r="AK31"/>
  <c r="AL31"/>
  <c r="AF32"/>
  <c r="AH32"/>
  <c r="AJ32"/>
  <c r="AK32"/>
  <c r="AL32"/>
  <c r="AF33"/>
  <c r="AG33"/>
  <c r="AH33"/>
  <c r="AI33"/>
  <c r="AJ33"/>
  <c r="AK33"/>
  <c r="AL33"/>
  <c r="AF34"/>
  <c r="AH34"/>
  <c r="AJ34"/>
  <c r="AK34"/>
  <c r="AL34"/>
  <c r="AF36"/>
  <c r="AH36"/>
  <c r="AJ36"/>
  <c r="AK36"/>
  <c r="AL36"/>
  <c r="AF37"/>
  <c r="AG37"/>
  <c r="AH37"/>
  <c r="AI37"/>
  <c r="AJ37"/>
  <c r="AK37"/>
  <c r="AF38"/>
  <c r="AH38"/>
  <c r="AJ38"/>
  <c r="AK38"/>
  <c r="AL38"/>
  <c r="AF39"/>
  <c r="AH39"/>
  <c r="AJ39"/>
  <c r="AK39"/>
  <c r="AL39"/>
  <c r="AF41"/>
  <c r="AH41"/>
  <c r="AJ41"/>
  <c r="AK41"/>
  <c r="AF56"/>
  <c r="AG56"/>
  <c r="AH56"/>
  <c r="AI56"/>
  <c r="AJ56"/>
  <c r="AK56"/>
  <c r="AL56"/>
  <c r="AF57"/>
  <c r="AG57"/>
  <c r="AH57"/>
  <c r="AI57"/>
  <c r="AJ57"/>
  <c r="AK57"/>
  <c r="AL57"/>
  <c r="AF58"/>
  <c r="AG58"/>
  <c r="AH58"/>
  <c r="AI58"/>
  <c r="AJ58"/>
  <c r="AK58"/>
  <c r="AL58"/>
  <c r="AF59"/>
  <c r="AG59"/>
  <c r="AH59"/>
  <c r="AI59"/>
  <c r="AJ59"/>
  <c r="AK59"/>
  <c r="AL59"/>
  <c r="X7" i="2"/>
  <c r="Y7"/>
  <c r="Z7"/>
  <c r="AA7"/>
  <c r="AB7"/>
  <c r="AC7"/>
  <c r="AD7"/>
  <c r="X8"/>
  <c r="Y8"/>
  <c r="Z8"/>
  <c r="AA8"/>
  <c r="AB8"/>
  <c r="AC8"/>
  <c r="AD8"/>
  <c r="X9"/>
  <c r="Y9"/>
  <c r="Z9"/>
  <c r="AA9"/>
  <c r="AB9"/>
  <c r="AC9"/>
  <c r="AD9"/>
  <c r="X10"/>
  <c r="Y10"/>
  <c r="Z10"/>
  <c r="AA10"/>
  <c r="AB10"/>
  <c r="AC10"/>
  <c r="AD10"/>
  <c r="X11"/>
  <c r="Y11"/>
  <c r="Z11"/>
  <c r="AA11"/>
  <c r="AB11"/>
  <c r="AC11"/>
  <c r="AD11"/>
  <c r="X12"/>
  <c r="Y12"/>
  <c r="Z12"/>
  <c r="AA12"/>
  <c r="AB12"/>
  <c r="AC12"/>
  <c r="AD12"/>
  <c r="X13"/>
  <c r="Z13"/>
  <c r="AA13"/>
  <c r="AC13"/>
  <c r="X14"/>
  <c r="Z14"/>
  <c r="AA14"/>
  <c r="AC14"/>
  <c r="X15"/>
  <c r="Z15"/>
  <c r="AC15"/>
  <c r="X16"/>
  <c r="Z16"/>
  <c r="AC16"/>
  <c r="X17"/>
  <c r="Z17"/>
  <c r="AA17"/>
  <c r="AC17"/>
  <c r="X18"/>
  <c r="Z18"/>
  <c r="AA18"/>
  <c r="AC18"/>
  <c r="X19"/>
  <c r="Y19"/>
  <c r="Z19"/>
  <c r="AA19"/>
  <c r="AB19"/>
  <c r="AC19"/>
  <c r="AD19"/>
  <c r="X20"/>
  <c r="Y20"/>
  <c r="Z20"/>
  <c r="AA20"/>
  <c r="AB20"/>
  <c r="AC20"/>
  <c r="AD20"/>
  <c r="X21"/>
  <c r="Y21"/>
  <c r="Z21"/>
  <c r="AA21"/>
  <c r="AB21"/>
  <c r="AC21"/>
  <c r="AD21"/>
  <c r="X22"/>
  <c r="Y22"/>
  <c r="Z22"/>
  <c r="AA22"/>
  <c r="AB22"/>
  <c r="AC22"/>
  <c r="AD22"/>
  <c r="X23"/>
  <c r="Y23"/>
  <c r="Z23"/>
  <c r="AA23"/>
  <c r="AB23"/>
  <c r="AC23"/>
  <c r="AD23"/>
  <c r="X24"/>
  <c r="Y24"/>
  <c r="Z24"/>
  <c r="AA24"/>
  <c r="AB24"/>
  <c r="AC24"/>
  <c r="AD24"/>
  <c r="X25"/>
  <c r="Y25"/>
  <c r="Z25"/>
  <c r="AA25"/>
  <c r="AB25"/>
  <c r="AC25"/>
  <c r="AD25"/>
  <c r="X26"/>
  <c r="Y26"/>
  <c r="Z26"/>
  <c r="AA26"/>
  <c r="AB26"/>
  <c r="AC26"/>
  <c r="AD26"/>
  <c r="X27"/>
  <c r="Y27"/>
  <c r="Z27"/>
  <c r="AA27"/>
  <c r="AB27"/>
  <c r="AC27"/>
  <c r="AD27"/>
  <c r="X28"/>
  <c r="Y28"/>
  <c r="Z28"/>
  <c r="AA28"/>
  <c r="AB28"/>
  <c r="AC28"/>
  <c r="AD28"/>
  <c r="X29"/>
  <c r="Y29"/>
  <c r="Z29"/>
  <c r="AA29"/>
  <c r="AB29"/>
  <c r="AC29"/>
  <c r="AD29"/>
  <c r="X30"/>
  <c r="Y30"/>
  <c r="Z30"/>
  <c r="AA30"/>
  <c r="AB30"/>
  <c r="AC30"/>
  <c r="AD30"/>
  <c r="X31"/>
  <c r="Y31"/>
  <c r="Z31"/>
  <c r="AA31"/>
  <c r="AB31"/>
  <c r="AC31"/>
  <c r="AD31"/>
  <c r="X32"/>
  <c r="Y32"/>
  <c r="Z32"/>
  <c r="AA32"/>
  <c r="AB32"/>
  <c r="AC32"/>
  <c r="AD32"/>
  <c r="X33"/>
  <c r="Y33"/>
  <c r="Z33"/>
  <c r="AA33"/>
  <c r="AB33"/>
  <c r="AC33"/>
  <c r="AD33"/>
  <c r="X34"/>
  <c r="Y34"/>
  <c r="Z34"/>
  <c r="AA34"/>
  <c r="AB34"/>
  <c r="AC34"/>
  <c r="AD34"/>
  <c r="X7" i="1"/>
  <c r="Z7"/>
  <c r="AB7"/>
  <c r="AC7"/>
  <c r="AD7"/>
  <c r="X8"/>
  <c r="Z8"/>
  <c r="AB8"/>
  <c r="AC8"/>
  <c r="AD8"/>
  <c r="X9"/>
  <c r="Z9"/>
  <c r="AB9"/>
  <c r="AC9"/>
  <c r="AD9"/>
  <c r="X10"/>
  <c r="Z10"/>
  <c r="AB10"/>
  <c r="AC10"/>
  <c r="AD10"/>
  <c r="X11"/>
  <c r="Z11"/>
  <c r="AB11"/>
  <c r="AC11"/>
  <c r="AD11"/>
  <c r="X12"/>
  <c r="Z12"/>
  <c r="AB12"/>
  <c r="AC12"/>
  <c r="X13"/>
  <c r="Z13"/>
  <c r="AB13"/>
  <c r="AC13"/>
  <c r="X14"/>
  <c r="Z14"/>
  <c r="AB14"/>
  <c r="AC14"/>
  <c r="AD14"/>
  <c r="X15"/>
  <c r="Z15"/>
  <c r="AB15"/>
  <c r="AC15"/>
  <c r="X16"/>
  <c r="Z16"/>
  <c r="AB16"/>
  <c r="AC16"/>
  <c r="X17"/>
  <c r="Z17"/>
  <c r="AB17"/>
  <c r="AC17"/>
  <c r="X18"/>
  <c r="Z18"/>
  <c r="AB18"/>
  <c r="AC18"/>
  <c r="X19"/>
  <c r="Y19"/>
  <c r="Z19"/>
  <c r="AA19"/>
  <c r="AB19"/>
  <c r="AC19"/>
  <c r="AD19"/>
  <c r="X20"/>
  <c r="Y20"/>
  <c r="Z20"/>
  <c r="AA20"/>
  <c r="AB20"/>
  <c r="AC20"/>
  <c r="AD20"/>
  <c r="X21"/>
  <c r="Y21"/>
  <c r="Z21"/>
  <c r="AA21"/>
  <c r="AB21"/>
  <c r="AC21"/>
  <c r="AD21"/>
  <c r="X22"/>
  <c r="Y22"/>
  <c r="Z22"/>
  <c r="AA22"/>
  <c r="AB22"/>
  <c r="AC22"/>
  <c r="AD22"/>
  <c r="X23"/>
  <c r="Y23"/>
  <c r="Z23"/>
  <c r="AA23"/>
  <c r="AB23"/>
  <c r="AC23"/>
  <c r="AD23"/>
  <c r="X24"/>
  <c r="Y24"/>
  <c r="Z24"/>
  <c r="AA24"/>
  <c r="AB24"/>
  <c r="AC24"/>
  <c r="AD24"/>
  <c r="X25"/>
  <c r="Y25"/>
  <c r="Z25"/>
  <c r="AA25"/>
  <c r="AB25"/>
  <c r="AC25"/>
  <c r="AD25"/>
  <c r="X26"/>
  <c r="Y26"/>
  <c r="Z26"/>
  <c r="AA26"/>
  <c r="AB26"/>
  <c r="AC26"/>
  <c r="AD26"/>
  <c r="X27"/>
  <c r="Y27"/>
  <c r="Z27"/>
  <c r="AA27"/>
  <c r="AB27"/>
  <c r="AC27"/>
  <c r="AD27"/>
  <c r="X28"/>
  <c r="Y28"/>
  <c r="Z28"/>
  <c r="AA28"/>
  <c r="AB28"/>
  <c r="AC28"/>
  <c r="AD28"/>
  <c r="X29"/>
  <c r="Y29"/>
  <c r="Z29"/>
  <c r="AA29"/>
  <c r="AB29"/>
  <c r="AC29"/>
  <c r="AD29"/>
  <c r="X30"/>
  <c r="Y30"/>
  <c r="Z30"/>
  <c r="AA30"/>
  <c r="AB30"/>
  <c r="AC30"/>
  <c r="AD30"/>
  <c r="X31"/>
  <c r="Y31"/>
  <c r="Z31"/>
  <c r="AA31"/>
  <c r="AB31"/>
  <c r="AC31"/>
  <c r="AD31"/>
  <c r="X32"/>
  <c r="Y32"/>
  <c r="Z32"/>
  <c r="AA32"/>
  <c r="AB32"/>
  <c r="AC32"/>
  <c r="AD32"/>
  <c r="X33"/>
  <c r="Y33"/>
  <c r="Z33"/>
  <c r="AA33"/>
  <c r="AB33"/>
  <c r="AC33"/>
  <c r="AD33"/>
  <c r="X34"/>
  <c r="Y34"/>
  <c r="Z34"/>
  <c r="AA34"/>
  <c r="AB34"/>
  <c r="AC34"/>
  <c r="AD34"/>
  <c r="AL30"/>
  <c r="AL30" i="2"/>
  <c r="AK30" i="1"/>
  <c r="AK30" i="2"/>
  <c r="AJ30" i="1"/>
  <c r="AJ30" i="2"/>
  <c r="AI30" i="1"/>
  <c r="AI30" i="2"/>
  <c r="AH30" i="1"/>
  <c r="AH30" i="2"/>
  <c r="AG30" i="1"/>
  <c r="AG30" i="2"/>
  <c r="AF30" i="1"/>
  <c r="AF30" i="2"/>
  <c r="AO22"/>
  <c r="Y6" i="1"/>
  <c r="Z6"/>
  <c r="AA6"/>
  <c r="AB6"/>
  <c r="AC6"/>
  <c r="AD6"/>
  <c r="Y6" i="2"/>
  <c r="Z6"/>
  <c r="AA6"/>
  <c r="AB6"/>
  <c r="AC6"/>
  <c r="AD6"/>
  <c r="X6" i="1"/>
  <c r="X6" i="2"/>
  <c r="AG7" i="1"/>
  <c r="AG6"/>
  <c r="AM8"/>
  <c r="AM10" s="1"/>
  <c r="AL8"/>
  <c r="AL10" s="1"/>
  <c r="AK8"/>
  <c r="AK10" s="1"/>
  <c r="AJ8"/>
  <c r="AJ10" s="1"/>
  <c r="AI8"/>
  <c r="AI10" s="1"/>
  <c r="AH8"/>
  <c r="AH10" s="1"/>
  <c r="AM7"/>
  <c r="AL7"/>
  <c r="AK7"/>
  <c r="AJ7"/>
  <c r="AI7"/>
  <c r="AH7"/>
  <c r="AM6"/>
  <c r="AL6"/>
  <c r="AK6"/>
  <c r="AJ6"/>
  <c r="AI6"/>
  <c r="AH6"/>
  <c r="AH6" i="2"/>
  <c r="AI6"/>
  <c r="AJ6"/>
  <c r="AK6"/>
  <c r="AL6"/>
  <c r="AM6"/>
  <c r="AH7"/>
  <c r="AI7"/>
  <c r="AJ7"/>
  <c r="AK7"/>
  <c r="AL7"/>
  <c r="AM7"/>
  <c r="AH8"/>
  <c r="AH10" s="1"/>
  <c r="AI8"/>
  <c r="AI10" s="1"/>
  <c r="AJ8"/>
  <c r="AJ10" s="1"/>
  <c r="AK8"/>
  <c r="AK10" s="1"/>
  <c r="AL8"/>
  <c r="AL10" s="1"/>
  <c r="AM8"/>
  <c r="AM10" s="1"/>
  <c r="AG7"/>
  <c r="AG6"/>
  <c r="O16" i="82" l="1"/>
  <c r="C25"/>
  <c r="C26"/>
  <c r="O25"/>
  <c r="O12"/>
  <c r="O11"/>
  <c r="C26" i="136"/>
  <c r="R28"/>
  <c r="R16"/>
  <c r="R15"/>
  <c r="C25"/>
  <c r="R25"/>
  <c r="R7"/>
  <c r="O13" i="82"/>
  <c r="R20" i="136"/>
  <c r="R30"/>
  <c r="R14"/>
  <c r="R8"/>
  <c r="O30" i="82"/>
  <c r="O34"/>
  <c r="R19" i="136"/>
  <c r="R6"/>
  <c r="R11"/>
  <c r="O39" i="82"/>
  <c r="O20"/>
  <c r="O6"/>
  <c r="O24"/>
  <c r="O28"/>
  <c r="O10"/>
  <c r="O37"/>
  <c r="O19"/>
  <c r="O18"/>
  <c r="O7"/>
  <c r="O33"/>
  <c r="O15"/>
  <c r="O14"/>
  <c r="AO22" i="1"/>
</calcChain>
</file>

<file path=xl/sharedStrings.xml><?xml version="1.0" encoding="utf-8"?>
<sst xmlns="http://schemas.openxmlformats.org/spreadsheetml/2006/main" count="25383" uniqueCount="619">
  <si>
    <t xml:space="preserve"> Current dollars</t>
  </si>
  <si>
    <t>Chained 2007 dollars</t>
  </si>
  <si>
    <t>All industries</t>
  </si>
  <si>
    <t>Forestry and logging [113]</t>
  </si>
  <si>
    <t>Wood product manufacturing [321]</t>
  </si>
  <si>
    <t>Paper Manufacturing [322]</t>
  </si>
  <si>
    <t>Pulp, paper and paperboard mills [3221]</t>
  </si>
  <si>
    <t>Converted paper product manufacturing [3222]</t>
  </si>
  <si>
    <t>Forest Products Sector</t>
  </si>
  <si>
    <t>x</t>
  </si>
  <si>
    <t>..</t>
  </si>
  <si>
    <t>Compound Annual Growth Rate</t>
  </si>
  <si>
    <t>1984-2013</t>
  </si>
  <si>
    <t>1984-1989</t>
  </si>
  <si>
    <t>1989-2000</t>
  </si>
  <si>
    <t>2000-2013</t>
  </si>
  <si>
    <t>All industries, total economy</t>
  </si>
  <si>
    <t>Paper manufacturing [322]</t>
  </si>
  <si>
    <t>1997-2013</t>
  </si>
  <si>
    <t>1997-2000</t>
  </si>
  <si>
    <t xml:space="preserve"> Forestry and logging [113]</t>
  </si>
  <si>
    <t>2000-2008</t>
  </si>
  <si>
    <t>2008-2013</t>
  </si>
  <si>
    <t>Forest products</t>
  </si>
  <si>
    <t>Annual Growth</t>
  </si>
  <si>
    <t>Price Growth</t>
  </si>
  <si>
    <t>Compoud Growth</t>
  </si>
  <si>
    <t>Trends</t>
  </si>
  <si>
    <t>2007-2011</t>
  </si>
  <si>
    <t>1984-2000</t>
  </si>
  <si>
    <t>Price Trends</t>
  </si>
  <si>
    <t>GDP Trends (2000=100)</t>
  </si>
  <si>
    <t>Compound Average Annual Growth</t>
  </si>
  <si>
    <t>1997-2012</t>
  </si>
  <si>
    <t>Millions of Chained 2007 dollars</t>
  </si>
  <si>
    <t>Real GDP per $1000 of Capital Stock</t>
  </si>
  <si>
    <t xml:space="preserve">Sawmills and wood preservation [3211] </t>
  </si>
  <si>
    <t xml:space="preserve">Veneer, plywood and engineered wood product manufacturing [3212] </t>
  </si>
  <si>
    <t xml:space="preserve">Other wood product manufacturing [3219] </t>
  </si>
  <si>
    <t>Legend:</t>
  </si>
  <si>
    <t>Footnotes:</t>
  </si>
  <si>
    <t>Source:</t>
  </si>
  <si>
    <t>Suppressed to meet the confidentiality requirements of the Statistics Act</t>
  </si>
  <si>
    <t>Not available</t>
  </si>
  <si>
    <t>For the chained dollars, the aggregates are not equal to the sum of their components.</t>
  </si>
  <si>
    <t>Compound Growth</t>
  </si>
  <si>
    <t>2. Statistics Canada. Table 379-0025 - Gross domestic product (GDP) at basic prices, by North American Industry Classiciation System (NAICS), and province, annual (dollars) (accessed: November 24, 2014).</t>
  </si>
  <si>
    <t>1. Statistics Canada. Table 379-0030 - Gross domestic product (GDP) at basic prices, by North American Industry Classification System (NAICS), provinces and territories, annual (dollars) (accessed: November 24, 2014).</t>
  </si>
  <si>
    <t>Notes:</t>
  </si>
  <si>
    <t xml:space="preserve">1. Chained 2002 Fisher dollar series are available for 1997-2007. These series were extended into the past (starting in 1996) using the growth rates of the corresponding constant-dollar series from the same CANSIM table. </t>
  </si>
  <si>
    <t xml:space="preserve">2. Chained-dollar series for "Paper Manufacturing [322]" is the sum of the chained-dollar series for "Pulp, Paper and Paperboard Mills [3221]" and "Converted Paper Product Manufacturing [3222]," both of which were construct as outlined in Note 2.  Since chained-dollar series should not be added, caution should be used interpreting the series "Paper Manufacturing [322]." Only true for pre-1997 estimates. </t>
  </si>
  <si>
    <t>4. Current dollar post-2006 estimates from Statistics Canada CANSIM Table 379-0030. Pre-2007 current dollar estimates from Statistics Canada CANSIM Table 379-0025. Post-1996 chained 2007 dollar estimates from Statistics Canada CANSIM Table 379-0030.</t>
  </si>
  <si>
    <t>Post-2006 data from Statistics Canada CANSIM Table 383-0030. Pre-2007 data calculated from Statistics Canada CANSIM Table 383-0010</t>
  </si>
  <si>
    <t>1. Statistics Canada. Table 383-0030 - Labour statistics by business sector industry and by non-commercial activity consistent with the industry accounts, provinces and territories, annual (accessed: November 24, 2014).</t>
  </si>
  <si>
    <t>2. Statistics Canada. Table 383-0010 - Labour statistics by business sector industry and by non-commercial activity consistent with the System of National Accounts, by North American Industry Classiciation System (NAICS), annual (accessed: November 24, 2014).</t>
  </si>
  <si>
    <t>Note:</t>
  </si>
  <si>
    <t>"x" means that data were not released by Statistics Canada for reasons of confidentiality.</t>
  </si>
  <si>
    <t>Capital stock from Statistics Canada CANSIM Table 031-0002.</t>
  </si>
  <si>
    <t>Geometric (infinite) net stock at year end.</t>
  </si>
  <si>
    <t>Capital stock includes all components: structures and machinery and equipment.</t>
  </si>
  <si>
    <t>Real GDP from Table 2.</t>
  </si>
  <si>
    <t>Fixed Capital Flows and Stocks - 2820</t>
  </si>
  <si>
    <t>Investment from Statistics Canada CANSIM Table 031-0002.</t>
  </si>
  <si>
    <t>Timber Tract Operations [1131]</t>
  </si>
  <si>
    <t>Forest Nurseries &amp; Gathering of Forest Prod. [1132]</t>
  </si>
  <si>
    <t>Logging [1133]</t>
  </si>
  <si>
    <t>Note: Table cells showing 0 refer to estimates that are suppressed (cannot be published) because they are below the confidentiality threshold.</t>
  </si>
  <si>
    <t>Source: unpublished Statistics Canada series (Labour Force Survey Custom Tabulation)</t>
  </si>
  <si>
    <t>2000-2007</t>
  </si>
  <si>
    <t>2007-2013</t>
  </si>
  <si>
    <t>2007-2012</t>
  </si>
  <si>
    <t>2001-2007</t>
  </si>
  <si>
    <t>2001-2013</t>
  </si>
  <si>
    <t>Source: Statistics Canada. Table 281-0024.</t>
  </si>
  <si>
    <t>Source: Statistics Canada Table 383-0030 and 383-0010.</t>
  </si>
  <si>
    <t>All Employees</t>
  </si>
  <si>
    <t>F</t>
  </si>
  <si>
    <t>Too unreliable to be published</t>
  </si>
  <si>
    <t>E</t>
  </si>
  <si>
    <t>Use with caution</t>
  </si>
  <si>
    <t>Total number of establishments</t>
  </si>
  <si>
    <t>Total employees per establishment</t>
  </si>
  <si>
    <t>Value added per establishment</t>
  </si>
  <si>
    <t>Value added (x 1,000)</t>
  </si>
  <si>
    <t>Total employees (persons)</t>
  </si>
  <si>
    <t>1990-1999</t>
  </si>
  <si>
    <t>Logging [1131]</t>
  </si>
  <si>
    <t xml:space="preserve">Wood product manufacturing [321] </t>
  </si>
  <si>
    <t xml:space="preserve">Paper manufacturing [322] </t>
  </si>
  <si>
    <t>Total</t>
  </si>
  <si>
    <t xml:space="preserve">Pulp, paper and paperboard mills [3221] </t>
  </si>
  <si>
    <t xml:space="preserve">Converted paper product manufacturing [3222] </t>
  </si>
  <si>
    <t xml:space="preserve">Sawmills and wood preservation [32111] </t>
  </si>
  <si>
    <t xml:space="preserve">Veneer, plywood and engineered wood product manufacturing [32121] </t>
  </si>
  <si>
    <t xml:space="preserve">Millwork [32191] </t>
  </si>
  <si>
    <t xml:space="preserve">Wood container and pallet manufacturing [32192] </t>
  </si>
  <si>
    <t xml:space="preserve">All other wood product manufacturing [32199] </t>
  </si>
  <si>
    <t xml:space="preserve">Pulp mills [32211] </t>
  </si>
  <si>
    <t xml:space="preserve">Paper mills [32212] </t>
  </si>
  <si>
    <t xml:space="preserve">Paperboard mills [32213] </t>
  </si>
  <si>
    <t xml:space="preserve">Paperboard container manufacturing [32221] </t>
  </si>
  <si>
    <t xml:space="preserve">Paper bag and coated and treated paper manufacturing [32222] </t>
  </si>
  <si>
    <t xml:space="preserve">Stationery product manufacturing [32223] </t>
  </si>
  <si>
    <t xml:space="preserve">Other converted paper product manufacturing [32229] </t>
  </si>
  <si>
    <t xml:space="preserve">Sawmills (except shingle and shake mills) [321111] </t>
  </si>
  <si>
    <t xml:space="preserve">Shingle and shake mills [321112] </t>
  </si>
  <si>
    <t xml:space="preserve">Wood preservation [321114] </t>
  </si>
  <si>
    <t xml:space="preserve">Hardwood veneer and plywood mills [321211] </t>
  </si>
  <si>
    <t xml:space="preserve">Softwood veneer and plywood mills [321212] </t>
  </si>
  <si>
    <t xml:space="preserve">Structural wood product manufacturing [321215] </t>
  </si>
  <si>
    <t xml:space="preserve">Particle board and fibreboard mills [321216] </t>
  </si>
  <si>
    <t xml:space="preserve">Waferboard mills [321217] </t>
  </si>
  <si>
    <t xml:space="preserve">Wood window and door manufacturing [321911] </t>
  </si>
  <si>
    <t xml:space="preserve">Other millwork [321919] </t>
  </si>
  <si>
    <t xml:space="preserve">Wood container and pallet manufacturing [321920] </t>
  </si>
  <si>
    <t xml:space="preserve">Manufactured (mobile) home manufacturing [321991] </t>
  </si>
  <si>
    <t xml:space="preserve">Prefabricated wood building manufacturing [321992] </t>
  </si>
  <si>
    <t xml:space="preserve">All other miscellaneous wood product manufacturing [321999] </t>
  </si>
  <si>
    <t xml:space="preserve">Mechanical pulp mills [322111] </t>
  </si>
  <si>
    <t xml:space="preserve">Chemical pulp mills [322112] </t>
  </si>
  <si>
    <t xml:space="preserve">Paper (except newsprint) mills [322121] </t>
  </si>
  <si>
    <t xml:space="preserve">Newsprint mills [322122] </t>
  </si>
  <si>
    <t xml:space="preserve">Paperboard mills [322130] </t>
  </si>
  <si>
    <t xml:space="preserve">Corrugated and solid fibre box manufacturing [322211] </t>
  </si>
  <si>
    <t xml:space="preserve">Folding paperboard box manufacturing [322212] </t>
  </si>
  <si>
    <t xml:space="preserve">Other paperboard container manufacturing [322219] </t>
  </si>
  <si>
    <t xml:space="preserve">Paper bag and coated and treated paper manufacturing [322220] </t>
  </si>
  <si>
    <t xml:space="preserve">Stationery product manufacturing [322230] </t>
  </si>
  <si>
    <t xml:space="preserve">Sanitary paper product manufacturing [322291] </t>
  </si>
  <si>
    <t xml:space="preserve">All other converted paper product manufacturing [322299] </t>
  </si>
  <si>
    <t>Forest Products Sector*</t>
  </si>
  <si>
    <t>* This is likely an underestimate since Forestry and Logging is approximated by the four-digit NAICS code for Logging only.</t>
  </si>
  <si>
    <t>Quebec</t>
  </si>
  <si>
    <t>Ontario</t>
  </si>
  <si>
    <t>All sizes</t>
  </si>
  <si>
    <t>0 to 4 employees</t>
  </si>
  <si>
    <t>5 to 19 employees</t>
  </si>
  <si>
    <t>20 to 49 employees</t>
  </si>
  <si>
    <t>50 to 99 employees</t>
  </si>
  <si>
    <t>100 to 299 employees</t>
  </si>
  <si>
    <t>300 to 499 employees</t>
  </si>
  <si>
    <t>500 and more employees</t>
  </si>
  <si>
    <t>The estimates are unadjusted for seasonal variation.</t>
  </si>
  <si>
    <t>Source: Table 281-0042</t>
  </si>
  <si>
    <t>A solid black bar indicates a break between Statistics Canada CANSIM Tables.</t>
  </si>
  <si>
    <t>Table 1A</t>
  </si>
  <si>
    <t>Table 1B</t>
  </si>
  <si>
    <t>.</t>
  </si>
  <si>
    <t>Table 1A: Gross Domestic Product, Quebec, Forest Products Sector, Millions of Dollars, 1984-2013</t>
  </si>
  <si>
    <t>Table 1C: Gross Domestic Product, Quebec, Forest Products Sector, 2007=100, 1984-2013</t>
  </si>
  <si>
    <t>Table 1D: Gross Domestic Product, Ontario, Forest Products Sector, 2007=100, 1984-2013</t>
  </si>
  <si>
    <t>Table 1E: Implicit Price Deflator, Quebec, 1984-2013</t>
  </si>
  <si>
    <t>Table 1F: Implicit Price Deflator, Ontario, 1984-2013</t>
  </si>
  <si>
    <t>Salaried employees paid a fixed salary</t>
  </si>
  <si>
    <t>Employees by the hour</t>
  </si>
  <si>
    <t>All employees</t>
  </si>
  <si>
    <t>Employees paid by the hour</t>
  </si>
  <si>
    <t>Forestry and Logging [113]</t>
  </si>
  <si>
    <t>Table 1B: Gross Domestic Product, Ontario, Forest Products Sector, Millions of Dollars, 1984-2013</t>
  </si>
  <si>
    <t>A Detailed Analysis of the Productivity Performance of the Quebec and Ontario Forest Products Sectors</t>
  </si>
  <si>
    <t>List of Tables</t>
  </si>
  <si>
    <t>GDP</t>
  </si>
  <si>
    <t>Table 1G: Share of Forest Products Sector in Gross Domestic Product, Quebec, 1984-2013</t>
  </si>
  <si>
    <t>Table 1H: Share of Forest Products Sector in Gross Domestic Product, Ontario, 1984-2013</t>
  </si>
  <si>
    <t>Table 2A: Hours Worked, Quebec, Forest Products Sector, Thousands of Hours, 1984-2013</t>
  </si>
  <si>
    <t>Table 2B: Hours Worked, Ontario, Forest Products Sector, Thousands of Hours, 1984-2013</t>
  </si>
  <si>
    <t>Table 2C: Hours Worked as a Share of All Industries, Quebec, Forest Products Sector, Thousands of Hours, 1984-2013</t>
  </si>
  <si>
    <t>Table 2D: Hours Worked as a Share of All Industries, Ontario, Forest Products Sector, Thousands of Hours, 1984-2013</t>
  </si>
  <si>
    <t>Table 2E: Hours Worked, Quebec, Forest Products Sector, 2007=100, 1984-2013</t>
  </si>
  <si>
    <t>Table 2F: Hours Worked, Ontario, Forest Products Sector, 2007=100, 1984-2013</t>
  </si>
  <si>
    <t>Table 3A: Labour Productivity, Quebec, Forest Products Sector, Chained 2007 Dollars per Hour Worked, 1997-2013</t>
  </si>
  <si>
    <t>Table 3B: Labour Productivity, Ontario, Forest Products Sector, Chained 2007 Dollars per Hour Worked, 1997-2013</t>
  </si>
  <si>
    <t>Table 4A: Employment, Labour Force Survey, Thousands of Persons, Quebec, 1997-2012</t>
  </si>
  <si>
    <t>Table 4B: Employment, Labour Force Survey, Thousands of Persons, Ontario, 1997-2012</t>
  </si>
  <si>
    <t>Table 4C: Employment, Survey of Employment, Payrolls and Hours (SEPH), Persons, Quebec, 2001-2013</t>
  </si>
  <si>
    <t>Table 4D: Employment, Survey of Employment, Payrolls, and Hours (SEPH), Persons, Ontario, 2001-2013</t>
  </si>
  <si>
    <t>Table 4E: Number of Jobs, Quebec, 1997-2013</t>
  </si>
  <si>
    <t>Table 4F: Number of Jobs, Ontario, 1997-2013</t>
  </si>
  <si>
    <t>Table 4I: Share of Employment, Labour Force Survey, Quebec, 1997-2012</t>
  </si>
  <si>
    <t>Table 4J: Share of Employment, Labour Force Survey, Ontario, 1997-2012</t>
  </si>
  <si>
    <t>Table 4K: Share of Employment, SEPH, Quebec, 2001-2013</t>
  </si>
  <si>
    <t>Table 4L: Share of Employment, SEPH, Ontario, 2001-2013</t>
  </si>
  <si>
    <t>Table 4M: Employment by Type, SEPH, Persons, Quebec, 2001-2013</t>
  </si>
  <si>
    <t>Table 4N: Employment by Type, SEPH, Persons, Ontario, 2001-2013</t>
  </si>
  <si>
    <t>Table 8G: Number of Establishments, Quebec, 1990-2010</t>
  </si>
  <si>
    <t>Table 8H: Number of Establishments, Ontario, 1990-2010</t>
  </si>
  <si>
    <t>Table 8M: Employment by Enterprise Size, Forestry, Logging and Support, Quebec and Ontario, 2001-2012</t>
  </si>
  <si>
    <t>Hours Worked</t>
  </si>
  <si>
    <t>Labour Productivity</t>
  </si>
  <si>
    <t>Capital Stock</t>
  </si>
  <si>
    <t>Table 5A: Average Weekly Hours Per Worker, Quebec, 1997-2012</t>
  </si>
  <si>
    <t>Table 5B: Average Weekly Hours Per Worker, Ontario, 1997-2012</t>
  </si>
  <si>
    <t>Table 3E: Labour Productivity, Quebec, Forest Products Sector, 2007=100, 1997-2013</t>
  </si>
  <si>
    <t>Table 3F: Labour Productivity, Ontario, Forest Products Sector, 2007=100, 1997-2013</t>
  </si>
  <si>
    <t>Industrial Aggregate Excluding Unclassified</t>
  </si>
  <si>
    <t>Forestry and Logging</t>
  </si>
  <si>
    <t>Wood Product Manufacturing</t>
  </si>
  <si>
    <t>Paper Manufacturing</t>
  </si>
  <si>
    <t>Total, Forestry and Logging [113]</t>
  </si>
  <si>
    <t>Total, Wood Product Manufacturing [321]</t>
  </si>
  <si>
    <t>Sawmills and Wood Preservation [3211]</t>
  </si>
  <si>
    <t>Veneer, Plywood and Engineered Wood Product Manufacturing [3212]</t>
  </si>
  <si>
    <t>Other Wood Product Manufacturing [3219]</t>
  </si>
  <si>
    <t>Total, Paper Manufacturing [322]</t>
  </si>
  <si>
    <t>Pulp, Paper and Paperboard mills [3221]</t>
  </si>
  <si>
    <t>Source: Statistics Canada, Survey of Employment, Payroll, and Hours (SEPH) CANSIM Table 281-0033</t>
  </si>
  <si>
    <t>Note : "F" means that the data is too unreliable to be published</t>
  </si>
  <si>
    <t>Table 2G: Average Weekly Hours for Employees Paid by the Hour, Forest Products Sector, Quebec, 2001-2013</t>
  </si>
  <si>
    <t>Table 2H: Average Weekly Hours for Employees Paid by the Hour, Forest Products Sector, Ontario, 2001-2013</t>
  </si>
  <si>
    <t xml:space="preserve">Paper Manufacturing </t>
  </si>
  <si>
    <t>Pulp, Paper and Paperboard Mills [3221]</t>
  </si>
  <si>
    <t>Source: Statistics Canada, Survey of Employment, Payroll, and Hours (SEPH) CANSIM Table 281-0038</t>
  </si>
  <si>
    <t>Note:"F" means that the data is too unreliable to be published</t>
  </si>
  <si>
    <t>Table 2I: Standard Work Week for Salaried Employees (paid a fixed salary, excluding overtime), Forest Products Sector, Quebec, 2001-2013</t>
  </si>
  <si>
    <t>Table 2J: Standard Work Week for Salaried Employees (paid a fixed salary, excluding overtime), Forest Products Sector, Ontario, 2001-2013</t>
  </si>
  <si>
    <t>Salaried Employees</t>
  </si>
  <si>
    <t>Employees Paid by the Hour</t>
  </si>
  <si>
    <t>All Employees (less Other Employees)</t>
  </si>
  <si>
    <t>(1)</t>
  </si>
  <si>
    <t>(2)</t>
  </si>
  <si>
    <t>(3) = (1)+(2)</t>
  </si>
  <si>
    <t>Table 2K: Hours Worked, Forest Products Sector, Quebec, SEPH, Thousands of Hours, 2001-2013</t>
  </si>
  <si>
    <t>Table 2L: Hours Worked, Forest Products Sector, Ontario, SEPH, Thousands of Hours, 2001-2013</t>
  </si>
  <si>
    <t>Forest products sector</t>
  </si>
  <si>
    <t>Table 7A: Investment, All Components, Quebec, Forest Products Sector, 1984-2013</t>
  </si>
  <si>
    <t>Table 7B: Investment, All Components, Ontario, Forest Products Sector, 1984-2013</t>
  </si>
  <si>
    <t>Millions of Current Dollars</t>
  </si>
  <si>
    <t>Millions of Constant 2007 Dollars</t>
  </si>
  <si>
    <t>Table 7C: Investment, Machinery and Equipment, Quebec, Forest Products Sector, 1984-2013</t>
  </si>
  <si>
    <t>Table 7E: Investment, Engineering Construction, Quebec, Forest Products Sector, 1984-2013</t>
  </si>
  <si>
    <t>Table 7D: Investment, Machinery and Equipment, Ontario, Forest Products Sector, 1984-2013</t>
  </si>
  <si>
    <t>Table 7F: Investment, Engineering Construction, Ontario, Forest Products Sector, 1984-2013</t>
  </si>
  <si>
    <t>Table 7G: Investment, Building Construction, Quebec, Forest Products Sector, 1984-2013</t>
  </si>
  <si>
    <t>Table 7H: Investment, Building Construction, Ontario, Forest Products Sector, 1984-2013</t>
  </si>
  <si>
    <t>Table 7I: Investment, Intellectural Property Products, Quebec, Forest Products Sector, 1984-2013</t>
  </si>
  <si>
    <t>Table 7J: Investment, Intellectural Property Products, Ontario, Forest Products Sector, 1984-2013</t>
  </si>
  <si>
    <t>Table 4G: Share of the Number of Jobs, Quebec, 1997-2013</t>
  </si>
  <si>
    <t>Table 4H: Share of the Number of Jobs, Ontario, 1997-2013</t>
  </si>
  <si>
    <t>Table 6A: Capital Stock, Quebec, Forest Products Sector, 1984-2013</t>
  </si>
  <si>
    <t>Table 6B: Capital Stock, Ontario, Forest Products Sector, 1984-2013</t>
  </si>
  <si>
    <t>As a Share of All Industries</t>
  </si>
  <si>
    <t>Index 2007=100</t>
  </si>
  <si>
    <t>Capital Intensity</t>
  </si>
  <si>
    <t>Full-time equivalent personnel</t>
  </si>
  <si>
    <t>1997-2007</t>
  </si>
  <si>
    <t>Calculated from Statistics Canada CANSIM Table 358-0161</t>
  </si>
  <si>
    <t>All Industries</t>
  </si>
  <si>
    <t>Forestry, logging and support activities for forestry</t>
  </si>
  <si>
    <t>Wood product manufacturing</t>
  </si>
  <si>
    <t>Paper manufacturing</t>
  </si>
  <si>
    <t>Table 9C: Research and Development, Ontario, All Industries Total and Forest Products Sector, 1994-2012</t>
  </si>
  <si>
    <t>Table 9D: Research and Development, Ontario, Forest Products Sector, 1994-2012</t>
  </si>
  <si>
    <t>Table 6E: Capital Productivity, Quebec, Forest Products Sector, 1984-2013</t>
  </si>
  <si>
    <t>Table 6F: Capital Productivity, Ontario, Forest Products Sector, 1984-2013</t>
  </si>
  <si>
    <t>Table 6G: Capital Intensity, Quebec, Forest Products Sector, 1984-2013</t>
  </si>
  <si>
    <t>Table 6H: Capital Intensity, Ontario, Forest Products Sector, 1984-2013</t>
  </si>
  <si>
    <t>QC</t>
  </si>
  <si>
    <t>ON</t>
  </si>
  <si>
    <t>Negative stock values are set to zero.</t>
  </si>
  <si>
    <t xml:space="preserve">Source: Statistics Canada CANSIM Table 153-0011 </t>
  </si>
  <si>
    <t>The values presented in method I are based on a present value calculation that assumes a positive return to capital (present value I).</t>
  </si>
  <si>
    <t>The values presented in method II are based on a present value calculation that assumes a zero return to capital (present value II).</t>
  </si>
  <si>
    <t>For concepts, sources and methods, see "Concepts, Sources and Methods of the Canadian System of Environmental and Resource Accounts", catalogue number 16-505-GPE.</t>
  </si>
  <si>
    <t>Method I</t>
  </si>
  <si>
    <t>Method II</t>
  </si>
  <si>
    <t xml:space="preserve"> Opening Stock</t>
  </si>
  <si>
    <t>Harvest</t>
  </si>
  <si>
    <t>Fire</t>
  </si>
  <si>
    <t>Mortality</t>
  </si>
  <si>
    <t>Roads</t>
  </si>
  <si>
    <t>Regeneration</t>
  </si>
  <si>
    <t>Closing Stock</t>
  </si>
  <si>
    <t>Source: Statistics Canada CANSIM Table 153-0030</t>
  </si>
  <si>
    <t>Statistics Canada, Environment Accounts and Statistics Division.</t>
  </si>
  <si>
    <t>Only the accessible, timber productive, non-reserved forestland is represented in this table.</t>
  </si>
  <si>
    <t>Nonreserved Accessible Opening Stock</t>
  </si>
  <si>
    <t>Nonreserved Accessible Closing Stock</t>
  </si>
  <si>
    <t>Nonstocked Accessible Closing Stock</t>
  </si>
  <si>
    <t>Source: Statistics Canada CANSIM Table 153-0029</t>
  </si>
  <si>
    <t>Only the accessible, timber productive, non-reserved forestland is represented in the Timber Asset Account.</t>
  </si>
  <si>
    <t>Table 10C: Timber Assets, Quebec and Ontario, Area in Thousands of Hectares, 1961-2003</t>
  </si>
  <si>
    <t>Table 10B: Timber Assets, Quebec and Ontario, Volume in Millions of Cubic Meters, 1961-2003</t>
  </si>
  <si>
    <t>1961-2000</t>
  </si>
  <si>
    <t>Source: Table 6A</t>
  </si>
  <si>
    <t>Source: Table 6B</t>
  </si>
  <si>
    <t>Source: Table 6B and 1B</t>
  </si>
  <si>
    <t>Source: Table 6A and 1A</t>
  </si>
  <si>
    <t>Source: Table 2A and 6A</t>
  </si>
  <si>
    <t>Source: Table 2B and 6B</t>
  </si>
  <si>
    <t>Source: Chen (2007)</t>
  </si>
  <si>
    <t>Table 11AA: Marginal Effective Tax Rate on Capital, Forestry, 1997-2006</t>
  </si>
  <si>
    <t>Geometric (infinite) depreciation from Statistics Canada CANSIM Table 031-0002.</t>
  </si>
  <si>
    <t>Table 7K: Depreciation, All Components, Quebec, Forest Products Sector, 1984-2013</t>
  </si>
  <si>
    <t>Table 7L: Depreciation, All Components, Ontario, Forest Products Sector, 1984-2013</t>
  </si>
  <si>
    <t>Table 7M:  Depreciation, Machinery and Equipment, Quebec, Forest Products Sector, 1984-2013</t>
  </si>
  <si>
    <t>Table 7N:  Depreciation, Machinery and Equipment, Ontario, Forest Products Sector, 1984-2013</t>
  </si>
  <si>
    <t>Table 7O:  Depreciation, Engineering Construction, Quebec, Forest Products Sector, 1984-2013</t>
  </si>
  <si>
    <t>Table 7P:  Depreciation, Engineering Construction, Ontario, Forest Products Sector, 1984-2013</t>
  </si>
  <si>
    <t>Table 7Q:  Depreciation, Building Construction, Quebec, Forest Products Sector, 1984-2013</t>
  </si>
  <si>
    <t>Table 7R:  Depreciation, Building Construction, Ontario, Forest Products Sector, 1984-2013</t>
  </si>
  <si>
    <t>Table 7S:  Depreciation, Intellectural Property Products, Quebec, Forest Products Sector, 1984-2013</t>
  </si>
  <si>
    <t>Table 7T:  Depreciation, Intellectural Property Products, Ontario, Forest Products Sector, 1984-2013</t>
  </si>
  <si>
    <t>Source: Table 1A</t>
  </si>
  <si>
    <t>Source: Table 1B</t>
  </si>
  <si>
    <t>Source: Table 2A</t>
  </si>
  <si>
    <t>Source: Table 2B</t>
  </si>
  <si>
    <t>Source: Table 2I and 4M</t>
  </si>
  <si>
    <t>Source: Table 2J and 4N</t>
  </si>
  <si>
    <t>Tables 1A and 2A</t>
  </si>
  <si>
    <t>Tables 3A</t>
  </si>
  <si>
    <t>Tables 1B and 2B</t>
  </si>
  <si>
    <t>Tables 3B</t>
  </si>
  <si>
    <t>Source: Table 4E</t>
  </si>
  <si>
    <t>Source: Table 4F</t>
  </si>
  <si>
    <t>Source: Table 4A</t>
  </si>
  <si>
    <t>Source: Table 4B</t>
  </si>
  <si>
    <t>Source: Table 4C</t>
  </si>
  <si>
    <t>Source: Table 4D</t>
  </si>
  <si>
    <t>Source: Table 2A and 4A</t>
  </si>
  <si>
    <t>Source: Table 2B and 4B</t>
  </si>
  <si>
    <t>Source: Table 2A and 4E</t>
  </si>
  <si>
    <t>Source: Table 2B and 4F</t>
  </si>
  <si>
    <t>Due to changing methodologies and definitions, annual growth rates should be interpreted with caution, even within a CANSIM series.</t>
  </si>
  <si>
    <t>1999-2003</t>
  </si>
  <si>
    <t>Source: Table 8A, 8C and 8E</t>
  </si>
  <si>
    <t>Source: Table 8B, 8D and 8F</t>
  </si>
  <si>
    <t>Table 8I: Number of Establishments, Wood Product Manufacturing, Quebec, 1990-2010</t>
  </si>
  <si>
    <t>Table 8J: Number of Establishments, Wood Product Manufacturing, Ontario, 1990-2010</t>
  </si>
  <si>
    <t>Table 8K: Number of Establishments, Paper Manufacturing, Quebec, 1990-2010</t>
  </si>
  <si>
    <t>Table 8L: Number of Establishments, Paper Manufacturing, Ontario, 1990-2010</t>
  </si>
  <si>
    <t>Table 7U: Real Net Investment, All Components, Quebec, Forest Products Sector, 1984-2013</t>
  </si>
  <si>
    <t>Table 7V: Real Net Investment, All Components, Ontario, Forest Products Sector, 1984-2013</t>
  </si>
  <si>
    <t>Table 7W: Real Net Investment, Machinery and Equipment, Quebec, Forest Products Sector, 1984-2013</t>
  </si>
  <si>
    <t>Table 7X: Real Net Investment, Machinery and Equipment, Ontario, Forest Products Sector, 1984-2013</t>
  </si>
  <si>
    <t>Table 7Y: Real Net Investment, Engineering Construction, Quebec, Forest Products Sector, 1984-2013</t>
  </si>
  <si>
    <t>Table 7Z: Real Net Investment, Engineering Construction, Ontario, Forest Products Sector, 1984-2013</t>
  </si>
  <si>
    <t>Table 7AA: Real Net Investment, Building Construction, Quebec, Forest Products Sector, 1984-2013</t>
  </si>
  <si>
    <t>Table 7AB: Real Net Investment, Building Construction, Ontario, Forest Products Sector, 1984-2013</t>
  </si>
  <si>
    <t>Table 7AC: Real Net Investment, Intellectural Property Products, Quebec, Forest Products Sector, 1984-2013</t>
  </si>
  <si>
    <t>Table 7AD: Real Net Investment, Intellectural Property Products, Ontario, Forest Products Sector, 1984-2013</t>
  </si>
  <si>
    <t>Table 10A: Present Value of Timber Stocks , Quebec and Ontario, Millions of Current Dollars, 1961-1997</t>
  </si>
  <si>
    <t>Share of Current Dollar GDP</t>
  </si>
  <si>
    <t>Table 1I: Share of Gross Domestic Product, Quebec, Forest Products Sector, Millions of Dollars, 1984-2011</t>
  </si>
  <si>
    <t>Source: Calculated by CSLS based on Table 1A</t>
  </si>
  <si>
    <t>Source: Calculated by CSLS using Table 1B</t>
  </si>
  <si>
    <t>Table 2M: Hours Worked as a Share of Forest Products Sector, Quebec, Forest Products Sector, Thousands of Hours, 1984-2013</t>
  </si>
  <si>
    <t>Table 2N: Hours Worked as a Share of Forest Products Sector, Ontario, Forest Products Sector, Thousands of Hours, 1984-2013</t>
  </si>
  <si>
    <t>Table 6C: Capital Stock as a Share of All Industries, Quebec, Forest Products Sector, 1984-2013</t>
  </si>
  <si>
    <t>Table 6D: Capital Stock as a Share of All Industries, Ontario, Forest Products Sector, 1984-2013</t>
  </si>
  <si>
    <t>Table 4O: Employment, Share of the Forest Products Sector, Labour Force Survey, Quebec, 1997-2012</t>
  </si>
  <si>
    <t>Table 4P: Employment, Share of the Forest Products Sector, Labour Force Survey, Ontario, 1997-2012</t>
  </si>
  <si>
    <t>Table 4Q: Employment, Share of the Forest Products Sector, SEPH, Quebec, 2001-2013</t>
  </si>
  <si>
    <t>Table 4R: Employment, Share of the Forest Products Sector, SEPH, Ontario, 2001-2013</t>
  </si>
  <si>
    <t>Table 6I: Capital Stock, Share of Forest Products Sector, Quebec, 1984-2013</t>
  </si>
  <si>
    <t>Source: Calculated by CSLS from Table 6B</t>
  </si>
  <si>
    <t>Source: Calculated by CSLS from Table 6A</t>
  </si>
  <si>
    <t>Table 6J: Capital Stock, Share of the Forest Products Sector, Ontario, 1984-2013</t>
  </si>
  <si>
    <t>Sawn Lumber Production</t>
  </si>
  <si>
    <t>Coniferous</t>
  </si>
  <si>
    <t>Non-Coniferous</t>
  </si>
  <si>
    <t>1961-2011</t>
  </si>
  <si>
    <t>1961-1973</t>
  </si>
  <si>
    <t>1973-1981</t>
  </si>
  <si>
    <t>1981-1989</t>
  </si>
  <si>
    <t>2000-2011</t>
  </si>
  <si>
    <t>Source: Statistics Canada CANSIM Table 303-0009</t>
  </si>
  <si>
    <t>Source: Labour Productivity Measures, Provinces and Territories (Annual)</t>
  </si>
  <si>
    <t>Intellectural Property Products: Research and developments, computer software and databases, and other intellectural property products, n.e.c.</t>
  </si>
  <si>
    <t>2007-2010</t>
  </si>
  <si>
    <t>Value added per employee</t>
  </si>
  <si>
    <t>Source: CANSIM 301-0004 and 301-0007</t>
  </si>
  <si>
    <t>Source: CANSIM 301-0006 and 301-0005</t>
  </si>
  <si>
    <t>Table 8A: Number of Establishments, Forestry and Logging, Quebec, 1990-2010</t>
  </si>
  <si>
    <t>Table 8B: Number of Establishments, Forestry anf Logging, Ontario, 1990-2010</t>
  </si>
  <si>
    <t>Table 8C: Number of Establishments, Wood Product Manufacturing, Quebec, 1990-2010</t>
  </si>
  <si>
    <t>Table 8D: Number of Establishments, Wood Product Manufacturing, Ontario, 1990-2010</t>
  </si>
  <si>
    <t>Table 8E: Number of Establishments, Paper Manufacturing, Quebec, 1990-2010</t>
  </si>
  <si>
    <t>Table 8F: Number of Establishments, Paper Manufacturing, Ontario, 1990-2010</t>
  </si>
  <si>
    <t>Table 1J: Shares of Gross Domestic Product, Ontario, Forest Products Sector, Millions of Dollars, 1984-2011</t>
  </si>
  <si>
    <t>Table 11A: Marginal Effective Tax Rates, Quebec and Ontario, 1997-2013</t>
  </si>
  <si>
    <t>Table 12A: Sawn Lumber Production, Thousands of Cubic Metres Dry, Quebec, 1946-2011</t>
  </si>
  <si>
    <t>Table 12B: Sawn Lumber Production, Thousands of Cubic Metres Dry, Ontario, 1946-2011</t>
  </si>
  <si>
    <t>Capital Productivity</t>
  </si>
  <si>
    <t>CAN</t>
  </si>
  <si>
    <t>NFL</t>
  </si>
  <si>
    <t>PEI</t>
  </si>
  <si>
    <t>NS</t>
  </si>
  <si>
    <t>NB</t>
  </si>
  <si>
    <t>MB</t>
  </si>
  <si>
    <t>SK</t>
  </si>
  <si>
    <t>AB</t>
  </si>
  <si>
    <t>BC</t>
  </si>
  <si>
    <t>2010-2013</t>
  </si>
  <si>
    <t>Current dollars</t>
  </si>
  <si>
    <t>Chained 2002 dollars</t>
  </si>
  <si>
    <t>Source: CANSIM Table 379-0030.</t>
  </si>
  <si>
    <t>All industries, total  Sector</t>
  </si>
  <si>
    <t>CAGR</t>
  </si>
  <si>
    <t>In LFS 0.0 are estimates with less than 1,500 for Canada, Quebec, Ontario, Alberta and British Columbia; less than 500 for Manitoba, Saskatchewan and the Atlantic regions except for Prince Edward Island which is less than 200.</t>
  </si>
  <si>
    <t>Calculated by CSLS based on tables 801 and 811</t>
  </si>
  <si>
    <t>Tables 802 and 812</t>
  </si>
  <si>
    <t>Tables 803 and 813</t>
  </si>
  <si>
    <t>Tables 804 and 814</t>
  </si>
  <si>
    <t>Tables 805 and 815</t>
  </si>
  <si>
    <t>Source: Calculated by CSLS based on tables 806 and 816</t>
  </si>
  <si>
    <t>Tables 807 and 817</t>
  </si>
  <si>
    <t>Tables 808 and 818</t>
  </si>
  <si>
    <t>Tables 809 and 819</t>
  </si>
  <si>
    <t>Tables 810 and 820</t>
  </si>
  <si>
    <t>CANSIM Table 031-0002</t>
  </si>
  <si>
    <t>Real GDP from Table 800A</t>
  </si>
  <si>
    <t>Capital stock includes all components</t>
  </si>
  <si>
    <t>Geometric (infinite) net stock at year end</t>
  </si>
  <si>
    <t>".." means that data is unavailable; "x" means suppressed due to Statistics Act</t>
  </si>
  <si>
    <t>Real GDP from Table 801</t>
  </si>
  <si>
    <t>Real GDP from Table 802</t>
  </si>
  <si>
    <t>Real GDP from Table 803</t>
  </si>
  <si>
    <t>Real GDP from Table 804</t>
  </si>
  <si>
    <t>Real GDP from Table 805</t>
  </si>
  <si>
    <t>Real GDP from Table 806</t>
  </si>
  <si>
    <t>Real GDP from Table 807</t>
  </si>
  <si>
    <t>Real GDP from Table 808</t>
  </si>
  <si>
    <t>Real GDP from Table 809</t>
  </si>
  <si>
    <t>Real GDP from Table 810</t>
  </si>
  <si>
    <t>i.   Real GDP</t>
  </si>
  <si>
    <t>ii.   Hours Worked</t>
  </si>
  <si>
    <t>iii.   Labour Productivity</t>
  </si>
  <si>
    <t>iv.   Capital Stock and Capital Productivity</t>
  </si>
  <si>
    <t>2. Canadian Provinces</t>
  </si>
  <si>
    <t>1. Quebec and Ontario</t>
  </si>
  <si>
    <t>i.   GDP</t>
  </si>
  <si>
    <t>iv.   Employment</t>
  </si>
  <si>
    <t>v.   Capital Stock</t>
  </si>
  <si>
    <t>vi.   Investment</t>
  </si>
  <si>
    <t>vii.   Establishments</t>
  </si>
  <si>
    <t>viii.   Research and Development</t>
  </si>
  <si>
    <t>ix.   Timber Stock</t>
  </si>
  <si>
    <t>x.   Marginal Effective Tax Rates</t>
  </si>
  <si>
    <t>xi.   Sawn Lumber Production</t>
  </si>
  <si>
    <t>Canada</t>
  </si>
  <si>
    <t>British Columbia</t>
  </si>
  <si>
    <t>Forestry and logging</t>
  </si>
  <si>
    <t>Pulp, paper &amp; paperboard mills</t>
  </si>
  <si>
    <t>Converted paper product manufacturing</t>
  </si>
  <si>
    <t>97-13</t>
  </si>
  <si>
    <t>00-13</t>
  </si>
  <si>
    <t>00-07</t>
  </si>
  <si>
    <t>07-13</t>
  </si>
  <si>
    <t>Note: Total compensation for all jobs</t>
  </si>
  <si>
    <t>Source: Statistics Canada. CANSIM Table 379-0030.</t>
  </si>
  <si>
    <t>Source: 6a and 6c</t>
  </si>
  <si>
    <t>Source: 6d and 28</t>
  </si>
  <si>
    <t>Source: 6a and 6b</t>
  </si>
  <si>
    <t>Source: 6b and 6c</t>
  </si>
  <si>
    <t>Decomposition for QC</t>
  </si>
  <si>
    <t>Decomposition for ON</t>
  </si>
  <si>
    <t>US ULC</t>
  </si>
  <si>
    <t>CAD ULC</t>
  </si>
  <si>
    <t>CAD/USD</t>
  </si>
  <si>
    <t>Y/H</t>
  </si>
  <si>
    <t>Comp/H</t>
  </si>
  <si>
    <t>ULC in USD</t>
  </si>
  <si>
    <t>USD/CAD</t>
  </si>
  <si>
    <t>ULC in CAD</t>
  </si>
  <si>
    <t>Real GDP per Hour</t>
  </si>
  <si>
    <t>Compensation per Hour</t>
  </si>
  <si>
    <t>Average Annual Percentage Change</t>
  </si>
  <si>
    <t>Log Change</t>
  </si>
  <si>
    <t>Percentage Contribution to Changes in ULC in USD</t>
  </si>
  <si>
    <t>Percentage Contribution to Changes in ULC in CAD</t>
  </si>
  <si>
    <t>Source: Statistics Canada. CANSIM Table 176-0049.</t>
  </si>
  <si>
    <t>Interprovincial exports</t>
  </si>
  <si>
    <t>Interprovincial imports</t>
  </si>
  <si>
    <t>International exports</t>
  </si>
  <si>
    <t>International imports</t>
  </si>
  <si>
    <t>Net interprovincial exports</t>
  </si>
  <si>
    <t>Net international exports</t>
  </si>
  <si>
    <t>Total commodities</t>
  </si>
  <si>
    <t>Forestry products and services</t>
  </si>
  <si>
    <t>Wood products</t>
  </si>
  <si>
    <t>Wood pulp, paper, paper products and paper stock</t>
  </si>
  <si>
    <t>Total Forest Products</t>
  </si>
  <si>
    <t>07-11</t>
  </si>
  <si>
    <t>Source: Statistics Canada. CANSIM Table 386-0003.</t>
  </si>
  <si>
    <t>v. Unit Labour Costs</t>
  </si>
  <si>
    <t>Table 900A: Labour Compensation, Canada, Quebec, Ontario and British Columbia, Thousands of Current Dollars, 1997-2013</t>
  </si>
  <si>
    <t>Table 900B: Hours Worked for All Jobs, Canada, Quebec, Ontario and British Columbia, Thousands, 1997-2013</t>
  </si>
  <si>
    <t>Table 900C: Real GDP, Canada, Quebec, Ontario and British Columbia, Millions of 2007 Chained Dollars, 1997-2013</t>
  </si>
  <si>
    <t>Table 900D: ULC, Current Canadian Dollars, 1997-2013</t>
  </si>
  <si>
    <t>Table 900E: ULC, Current US Dollars, 1997-2013</t>
  </si>
  <si>
    <t>Table 900F: Labour Compensation per Hour Worked, Canada, Quebec, Ontario and British Columbia, Current Dollars, 1997-2013</t>
  </si>
  <si>
    <t>Table 900G: Real GDP per Hour Worked, Canada, Quebec, Ontario and British Columbia, 2007 Chained Dollars, 1997-2013</t>
  </si>
  <si>
    <t>Table 13A: Labour Compensation, Thousands of Current Dollars, 1997-2013</t>
  </si>
  <si>
    <t>Table 13B: Hours Worked for All Jobs, Thousands, 1997-2013</t>
  </si>
  <si>
    <t>Table 13D: ULC, Current Canadian Dollars, 1997-2013</t>
  </si>
  <si>
    <t>Table 13C: Real GDP, Canada, Quebec, Millions of 2007 Chained Dollars, 1997-2013</t>
  </si>
  <si>
    <t>Table 13E: ULC, Current US Dollars, 1997-2013</t>
  </si>
  <si>
    <t>Table 13F: Labour Compensation per Hour Worked, Current Dollars, 1997-2013</t>
  </si>
  <si>
    <t>Table 13G: Real GDP per Hour Worked, 2007 Chained Dollars, 1997-2013</t>
  </si>
  <si>
    <t>Table 13H: Decomposition of Unit Labour Costs for the Forest Products Sector</t>
  </si>
  <si>
    <t>xii.   Unit Labour Costs</t>
  </si>
  <si>
    <t>Table 13A-13H: Unit Labour Costs in the Forest Products Sector, Quebec, 1997-2013</t>
  </si>
  <si>
    <t>Table 14A-14H: Unit Labour Costs in the Forest Products Sector, Ontario, 1997-2013</t>
  </si>
  <si>
    <t>Table 14A: Labour Compensation, Thousands of Current Dollars, 1997-2013</t>
  </si>
  <si>
    <t>Table 14B: Hours Worked for All Jobs, Thousands, 1997-2013</t>
  </si>
  <si>
    <t>Table 14C: Real GDP, Millions of 2007 Chained Dollars, 1997-2013</t>
  </si>
  <si>
    <t>Table 14D: ULC, Current Canadian Dollars, 1997-2013</t>
  </si>
  <si>
    <t>Table 14E: ULC, Current US Dollars, 1997-2013</t>
  </si>
  <si>
    <t>Table 14F: Labour Compensation per Hour Worked, Current Dollars, 1997-2013</t>
  </si>
  <si>
    <t>Table 14G: Real GDP per Hour Worked, 2007 Chained Dollars, 1997-2013</t>
  </si>
  <si>
    <t>Table 14H: Decomposition of Unit Labour Costs for the Forest Products Sector</t>
  </si>
  <si>
    <t>Table 16A: Canada-US Exchange Rate, 1997-2013</t>
  </si>
  <si>
    <t>Table 15A: Interprovincial and International Exports and Imports, Quebec, Millions of Current Dollars, 2007-2011</t>
  </si>
  <si>
    <t>xiii.   Imports, Exports and Net Exports</t>
  </si>
  <si>
    <t>xiv.   Additional Information</t>
  </si>
  <si>
    <t>Table 15B: Interprovincial and International Exports and Imports, Ontario, Millions of Current Dollars, 2007-2011</t>
  </si>
  <si>
    <t>vi. Imports, Exports and Net Exports</t>
  </si>
  <si>
    <t xml:space="preserve">3. Chained-dollar series for "Forest Products Sector" is the sum of the chained-dollar series for "Forestry and Logging," "Wood Product Manufacturing," and "Paper Manufacturing," all of which were constructed as outlined in Note 2.  Since chained-dollar series should not be added, caution should be used interpreting the series "Forestry Products Sector."  </t>
  </si>
  <si>
    <t xml:space="preserve">3. Chained-dollar series for "Forest Products Sector" is the sum of the chained-dollar series for "Forestry and Logging," "Wood Product Manufacturing," and "Paper Manufacturing," all of which were constructed as outlined in Note 2.  Since chained-dollar series should not be added, caution should be used interpreting the series "Forest Products Sector."  </t>
  </si>
  <si>
    <t>Source: unpublished time series. Contact Mintz.</t>
  </si>
  <si>
    <t xml:space="preserve">** These times series cannot be directly compared or linked. Analyze trends in each time series separately. </t>
  </si>
  <si>
    <t>Table 11AB: Marginal Effective Tax Rate on Capital, Forestry, 2005-2014</t>
  </si>
  <si>
    <t xml:space="preserve">** In the time series between 2005 and 2014, forestry refers to the combination of logging, paper and wood manufacturing. </t>
  </si>
  <si>
    <t>2000-2012</t>
  </si>
  <si>
    <t>2003-2007</t>
  </si>
  <si>
    <t>2000-2010</t>
  </si>
  <si>
    <t>Source: CANSIM Table 383-0030</t>
  </si>
  <si>
    <t>1998-2000</t>
  </si>
  <si>
    <t>1997-2011</t>
  </si>
  <si>
    <t>Table 9F: Research and Development Intensity, Quebec, Forest Products Sector, 1994-2012</t>
  </si>
  <si>
    <t>Table 9G: Research and Development Personnel Intensity, Quebec, All Industries Total and Forest Products Sector, 1994-2012</t>
  </si>
  <si>
    <t>Table 9H: Research and Development Personnel Intensity, Quebec, Forest Products Sector, 1994-2012</t>
  </si>
  <si>
    <t>Multifactor Productivity</t>
  </si>
  <si>
    <t>Capital Intensity Contribution</t>
  </si>
  <si>
    <t xml:space="preserve">* Labour compensation figures are from 383-0030. Nominal GDP figures are from 379-0030. Growth rates from 379-0025 were used to extend these backwards. </t>
  </si>
  <si>
    <t>* Capital compensation is one minus labour compensation.</t>
  </si>
  <si>
    <t xml:space="preserve">* Capital compensation multiplied by capital intensity generates capital intensity contributions. </t>
  </si>
  <si>
    <t xml:space="preserve">* Multifactor productivity is labour productivity minus capital intensity contributions. </t>
  </si>
  <si>
    <t>* For periods, the average capital compensation was used.</t>
  </si>
  <si>
    <t>xv. Growth Accounting</t>
  </si>
  <si>
    <t>Value added per establishment (x 1000)</t>
  </si>
  <si>
    <t>Table 7AE: Investment Intensity, Machinery and Equipment, Quebec, Forest Products Sector, 1984-2013</t>
  </si>
  <si>
    <t>Table 7AF: Investment Intensity, Machinery and Equipment, Ontario, Forest Products Sector, 1984-2013</t>
  </si>
  <si>
    <t>Table 9I: Research and Development Intensity, Ontario, All Industries Total and Forest Products Sector, 1994-2012</t>
  </si>
  <si>
    <t>Table 9J: Research and Development Intensity, Ontario, Forest Products Sector, 1994-2012</t>
  </si>
  <si>
    <t>Table 9K: Research and Development Personnel Intensity, Ontario, All Industries Total and Forest Products Sector, 1994-2012</t>
  </si>
  <si>
    <t>Table 9L: Research and Development Personnel Intensity, Ontario, Forest Products Sector, 1994-2012</t>
  </si>
  <si>
    <t>Table 17B: Growth Accounting, Ontario, 2000-2011</t>
  </si>
  <si>
    <t>Labour Productivity Growth</t>
  </si>
  <si>
    <t>Table 3D: Relative Labour Productivity, Ontario, Forest Products Sector, Per Cent, 1997-2013</t>
  </si>
  <si>
    <t>Table 3C: Relative Labour Productivity, Quebec, Forest Products Sector, Per Cent, 1997-2013</t>
  </si>
  <si>
    <t>Total  R&amp;D intramural expenditures</t>
  </si>
  <si>
    <t>Total R&amp;D current expenditures</t>
  </si>
  <si>
    <t>Total  R&amp;D capital expenditures</t>
  </si>
  <si>
    <t xml:space="preserve">Total R&amp;D personnel </t>
  </si>
  <si>
    <t>Table 18A: Gross Domestic Product, Canada, Forest Products Sector, Millions of Dollars, 2007-2013</t>
  </si>
  <si>
    <t>Table 18B: Gross Domestic Product, Newfoundland and Labrador, Forest Products Sector, Millions of Dollars, 2007-2013</t>
  </si>
  <si>
    <t>Table 18C: Gross Domestic Product, Prince Edward Island, Forest Products Sector, Millions of Dollars, 2007-2013</t>
  </si>
  <si>
    <t>Table 20: Average Weekly Hours Per Job, Quebec, 1997-2012</t>
  </si>
  <si>
    <t>Table 2P: Average Weekly Hours Per Job, Ontario, 1997-2012</t>
  </si>
  <si>
    <t>Table 18D: Gross Domestic Product, Nova Scotia, Forest Products Sector, Millions of Dollars, 2007-2013</t>
  </si>
  <si>
    <t>Table 18E: Gross Domestic Product, New Brunswick, Forest Products Sector, Millions of Dollars, 2007-2013</t>
  </si>
  <si>
    <t>Table 18F: Gross Domestic Product, Quebec, Forest Products Sector, Millions of Dollars, 2007-2013</t>
  </si>
  <si>
    <t>Table 18G: Gross Domestic Product, Ontario, Forest Products Sector, Millions of Dollars, 2007-2013</t>
  </si>
  <si>
    <t>Table 18H: Gross Domestic Product, Manitoba, Forest Products Sector, Millions of Dollars, 2007-2013</t>
  </si>
  <si>
    <t>Table 18I: Gross Domestic Product, Saskatchewan, Forest Products Sector, Millions of Dollars, 2007-2013</t>
  </si>
  <si>
    <t>Table 18J: Gross Domestic Product, Alberta, Forest Products Sector, Millions of Dollars, 2007-2013</t>
  </si>
  <si>
    <t>Table 18K: Gross Domestic Product, British Columbia, Forest Products Sector, Millions of Dollars, 2007-2013</t>
  </si>
  <si>
    <t>Table 19A: Hours Worked, Canada, Forest Products Sector, Thousands of Hours, 2007-2013</t>
  </si>
  <si>
    <t>Table 19B: Hours Worked, Newfoundland and Labrador, Forest Products Sector, Thousands of Hours, 2007-2013</t>
  </si>
  <si>
    <t>Table 19C: Hours Worked, Prince Edward Island, Forest Products Sector, Thousands of Hours, 2007-2013</t>
  </si>
  <si>
    <t>Table 19D: Hours Worked, Nova Scotia, Forest Products Sector, Thousands of Hours, 2007-2013</t>
  </si>
  <si>
    <t>Table 19E: Hours Worked, New Brunswick, Forest Products Sector, Thousands of Hours, 2007-2013</t>
  </si>
  <si>
    <t>Table 19F: Hours Worked, Quebec, Forest Products Sector, Thousands of Hours, 2007-2013</t>
  </si>
  <si>
    <t>Table 19G: Hours Worked, Ontario, Forest Products Sector, Thousands of Hours, 2007-2013</t>
  </si>
  <si>
    <t>Table 19H: Hours Worked, Manitoba, Forest Products Sector, Thousands of Hours, 2007-2013</t>
  </si>
  <si>
    <t>Table 19I: Hours Worked, Saskatchewan, Forest Products Sector, Thousands of Hours, 2007-2013</t>
  </si>
  <si>
    <t>Table 19J: Hours Worked, Alberta, Forest Products Sector, Thousands of Hours, 2007-2013</t>
  </si>
  <si>
    <t>Table 19K: Hours Worked, British Columbia, Forest Products Sector, Thousands of Hours, 2007-2013</t>
  </si>
  <si>
    <t>Table 20A: Labour Productivity, Canada, Forest Products Sector, Chained 2007 Dollars per Hour Worked, 2007-2013</t>
  </si>
  <si>
    <t>Table 20B: Labour Productivity, Newfoundland and Labrador, Forest Products Sector, Chained 2007 Dollars per Hour Worked, 2007-2013</t>
  </si>
  <si>
    <t>Table 20C: Labour Productivity, Prince Edward Island, Forest Products Sector, Chained 2007 Dollars per Hour Worked, 2007-2013</t>
  </si>
  <si>
    <t>Table 20D: Labour Productivity, Nova Scotia, Forest Products Sector, Chained 2007 Dollars per Hour Worked, 2007-2013</t>
  </si>
  <si>
    <t>Table 20E: Labour Productivity, New Brunswick, Forest Products Sector, Chained 2007 Dollars per Hour Worked, 2007-2013</t>
  </si>
  <si>
    <t>Table 20F: Labour Productivity, Quebec, Forest Products Sector, Chained 2007 Dollars per Hour Worked, 2007-2013</t>
  </si>
  <si>
    <t>Table 20G: Labour Productivity, Ontario, Forest Products Sector, Chained 2007 Dollars per Hour Worked, 2007-2013</t>
  </si>
  <si>
    <t>Table 20H: Labour Productivity, Manitoba, Forest Products Sector, Chained 2007 Dollars per Hour Worked, 2007-2013</t>
  </si>
  <si>
    <t>Table 20I: Labour Productivity, Saskatchewan, Forest Products Sector, Chained 2007 Dollars per Hour Worked, 2007-2013</t>
  </si>
  <si>
    <t>Table 20J: Labour Productivity, Alberta, Forest Products Sector, Chained 2007 Dollars per Hour Worked, 2007-2013</t>
  </si>
  <si>
    <t>Table 20K: Labour Productivity, British Columbia, Forest Products Sector, Chained 2007 Dollars per Hour Worked, 2007-2013</t>
  </si>
  <si>
    <t>Table 21A: Capital Stock and Capital Productivity, Canada, Forest Products Sector, 2007-2013</t>
  </si>
  <si>
    <t>Table 21B: Capital Stock and Capital Productivity, Newfoundland and Labrador, Forest Products Sector, 2007-2013</t>
  </si>
  <si>
    <t>Table 21C: Capital Stock and Capital Productivity, Prince Edward Island, Forest Products Sector, 2007-2013</t>
  </si>
  <si>
    <t>Table 21D: Capital Stock and Capital Productivity, Nova Scotia, Forest Products Sector, 2007-2013</t>
  </si>
  <si>
    <t>Table 21E: Capital Stock and Capital Productivity, New Brunswick, Forest Products Sector, 2007-2013</t>
  </si>
  <si>
    <t>Table 21F: Capital Stock and Capital Productivity, Quebec, Forest Products Sector, 2007-2013</t>
  </si>
  <si>
    <t>Table 21G: Capital Stock and Capital Productivity, Ontario, Forest Products Sector, 2007-2013</t>
  </si>
  <si>
    <t>Table 21H: Capital Stock and Capital Productivity, Manitoba, Forest Products Sector, 2007-2013</t>
  </si>
  <si>
    <t>Table 21I: Capital Stock and Capital Productivity, Saskatchewan, Forest Products Sector, 2007-2013</t>
  </si>
  <si>
    <t>Table 21J: Capital Stock and Capital Productivity, Alberta, Forest Products Sector, 2007-2013</t>
  </si>
  <si>
    <t>Table 21K: Capital Stock and Capital Productivity, British Columbia, Forest Products Sector, 2007-2013</t>
  </si>
  <si>
    <t>Table 22A-22G: Unit Labour Costs in the Forest Products Sector, Canada, Quebec, Ontario and British Columbia, 1997-2013</t>
  </si>
  <si>
    <t>Table 23A: International Exports and Imports, Canada, Quebec, Ontario and British Columbia, Millions of Current Dollars, 2007-2011</t>
  </si>
  <si>
    <t>Table 23B: Interprovincial Exports and Imports, Canada, Quebec, Ontario and British Columbia, Millions of Current Dollars, 2007-2011</t>
  </si>
  <si>
    <t>Summary of Canadian and Provincial Results for Real GDP, Hours Worked, Labour Productivity, Capital Stock and Capital Productivity</t>
  </si>
  <si>
    <t>Table 9A: R&amp;D, Quebec, All Industries Total and Forest Products Sector, 1994-2012</t>
  </si>
  <si>
    <t>Business enterprise R&amp;D current and capital expenditures</t>
  </si>
  <si>
    <t>R&amp;D Personnel</t>
  </si>
  <si>
    <t>R&amp;D professionals</t>
  </si>
  <si>
    <t>R&amp;D technical and adminstrative support staff</t>
  </si>
  <si>
    <t>Total R&amp;D intramural expenditures</t>
  </si>
  <si>
    <t>Table 9B: R&amp;D, Quebec, Forest Products Sector, 1994-2012</t>
  </si>
  <si>
    <t>Total R&amp;D capital expenditures</t>
  </si>
  <si>
    <t>Table 9E: R&amp;D Intensity, Quebec, All Industries Total and Forest Products Sector, 1994-2012</t>
  </si>
  <si>
    <t>50 and over employees</t>
  </si>
  <si>
    <t>Table 8N: Employment Distribution by Enterprise Size, Forestry, Logging and Support, Quebec and Ontario, 2001-2012</t>
  </si>
  <si>
    <t>Source: CSLS calculations based on Statistics Canada data.</t>
  </si>
  <si>
    <t>Source: Statistics Canada. Tables 383-0030.</t>
  </si>
  <si>
    <t>Calculated by CSLS based on tables 18A and 19A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</si>
</sst>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indexed="8"/>
      <name val="Calibri"/>
      <family val="2"/>
      <scheme val="minor"/>
    </font>
    <font>
      <sz val="10"/>
      <color theme="1"/>
      <name val="Times New Roman"/>
      <family val="1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9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0" fillId="32" borderId="0" applyNumberFormat="0" applyBorder="0" applyAlignment="0" applyProtection="0"/>
    <xf numFmtId="0" fontId="4" fillId="0" borderId="0"/>
    <xf numFmtId="0" fontId="4" fillId="0" borderId="0"/>
    <xf numFmtId="0" fontId="22" fillId="0" borderId="0"/>
    <xf numFmtId="0" fontId="22" fillId="0" borderId="0"/>
    <xf numFmtId="0" fontId="23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495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0" fontId="3" fillId="0" borderId="0" xfId="0" applyFont="1"/>
    <xf numFmtId="0" fontId="0" fillId="0" borderId="0" xfId="0"/>
    <xf numFmtId="0" fontId="0" fillId="0" borderId="0" xfId="0" applyFon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4" fontId="0" fillId="0" borderId="0" xfId="0" applyNumberFormat="1" applyFont="1" applyAlignment="1">
      <alignment horizontal="center" vertical="center" wrapText="1"/>
    </xf>
    <xf numFmtId="4" fontId="2" fillId="0" borderId="0" xfId="1" applyNumberFormat="1" applyFont="1" applyFill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1" fontId="0" fillId="0" borderId="0" xfId="0" applyNumberFormat="1" applyFont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left" wrapText="1"/>
    </xf>
    <xf numFmtId="3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1" fillId="0" borderId="0" xfId="0" applyFont="1" applyAlignment="1">
      <alignment vertical="center" wrapText="1"/>
    </xf>
    <xf numFmtId="3" fontId="0" fillId="0" borderId="0" xfId="0" applyNumberFormat="1" applyFill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Alignment="1">
      <alignment horizontal="center" vertical="center" wrapText="1"/>
    </xf>
    <xf numFmtId="3" fontId="4" fillId="0" borderId="0" xfId="1" applyNumberFormat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 applyFill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0" fontId="0" fillId="0" borderId="0" xfId="0" applyFont="1" applyAlignment="1">
      <alignment horizontal="center" vertical="center" wrapText="1"/>
    </xf>
    <xf numFmtId="0" fontId="0" fillId="0" borderId="0" xfId="0" applyFill="1" applyAlignment="1"/>
    <xf numFmtId="0" fontId="21" fillId="0" borderId="0" xfId="1" applyFont="1" applyAlignment="1">
      <alignment horizontal="center" vertical="center" wrapText="1"/>
    </xf>
    <xf numFmtId="4" fontId="0" fillId="0" borderId="0" xfId="0" applyNumberFormat="1" applyAlignment="1">
      <alignment horizontal="left" vertical="center"/>
    </xf>
    <xf numFmtId="0" fontId="4" fillId="0" borderId="10" xfId="1" applyFont="1" applyFill="1" applyBorder="1" applyAlignment="1">
      <alignment vertical="top"/>
    </xf>
    <xf numFmtId="0" fontId="4" fillId="0" borderId="0" xfId="1" applyFont="1" applyFill="1" applyBorder="1" applyAlignment="1">
      <alignment vertical="top"/>
    </xf>
    <xf numFmtId="0" fontId="0" fillId="0" borderId="0" xfId="0" applyFont="1" applyBorder="1"/>
    <xf numFmtId="0" fontId="2" fillId="0" borderId="10" xfId="1" applyFont="1" applyFill="1" applyBorder="1" applyAlignment="1">
      <alignment vertical="top"/>
    </xf>
    <xf numFmtId="0" fontId="0" fillId="0" borderId="0" xfId="0" applyFont="1" applyAlignment="1">
      <alignment horizontal="left" vertical="center"/>
    </xf>
    <xf numFmtId="1" fontId="4" fillId="0" borderId="0" xfId="1" applyNumberFormat="1" applyFont="1" applyAlignment="1">
      <alignment horizontal="center"/>
    </xf>
    <xf numFmtId="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4" fontId="0" fillId="0" borderId="0" xfId="0" applyNumberFormat="1" applyAlignment="1">
      <alignment horizontal="center"/>
    </xf>
    <xf numFmtId="4" fontId="2" fillId="0" borderId="0" xfId="1" applyNumberFormat="1" applyFont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 wrapText="1"/>
    </xf>
    <xf numFmtId="3" fontId="0" fillId="0" borderId="11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 wrapText="1"/>
    </xf>
    <xf numFmtId="4" fontId="0" fillId="0" borderId="1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/>
    <xf numFmtId="0" fontId="0" fillId="0" borderId="11" xfId="0" applyBorder="1" applyAlignment="1">
      <alignment horizontal="center"/>
    </xf>
    <xf numFmtId="3" fontId="0" fillId="0" borderId="0" xfId="0" applyNumberFormat="1" applyBorder="1" applyAlignment="1">
      <alignment horizontal="center" vertical="center" wrapText="1"/>
    </xf>
    <xf numFmtId="0" fontId="0" fillId="0" borderId="0" xfId="0"/>
    <xf numFmtId="0" fontId="0" fillId="0" borderId="0" xfId="0"/>
    <xf numFmtId="4" fontId="0" fillId="0" borderId="0" xfId="0" applyNumberFormat="1" applyBorder="1" applyAlignment="1">
      <alignment horizontal="center" vertical="center" wrapText="1"/>
    </xf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/>
    <xf numFmtId="3" fontId="2" fillId="0" borderId="11" xfId="0" applyNumberFormat="1" applyFont="1" applyBorder="1" applyAlignment="1">
      <alignment horizontal="center"/>
    </xf>
    <xf numFmtId="0" fontId="0" fillId="0" borderId="0" xfId="0"/>
    <xf numFmtId="2" fontId="2" fillId="0" borderId="11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0" fillId="0" borderId="11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3" fontId="0" fillId="0" borderId="12" xfId="0" applyNumberForma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" fontId="0" fillId="0" borderId="0" xfId="0" applyNumberFormat="1"/>
    <xf numFmtId="0" fontId="0" fillId="0" borderId="0" xfId="0" applyBorder="1"/>
    <xf numFmtId="0" fontId="0" fillId="0" borderId="0" xfId="0" applyFill="1" applyBorder="1" applyAlignment="1">
      <alignment vertical="top"/>
    </xf>
    <xf numFmtId="165" fontId="0" fillId="0" borderId="0" xfId="0" applyNumberForma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4" fillId="0" borderId="0" xfId="0" applyFont="1"/>
    <xf numFmtId="1" fontId="1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Font="1" applyAlignment="1">
      <alignment horizontal="center" vertical="center" wrapText="1"/>
    </xf>
    <xf numFmtId="0" fontId="0" fillId="0" borderId="0" xfId="0" applyFill="1" applyAlignment="1"/>
    <xf numFmtId="0" fontId="25" fillId="0" borderId="0" xfId="0" applyFont="1" applyFill="1" applyAlignment="1">
      <alignment wrapText="1"/>
    </xf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0" xfId="0" applyFont="1" applyFill="1" applyBorder="1"/>
    <xf numFmtId="2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/>
    <xf numFmtId="3" fontId="18" fillId="0" borderId="0" xfId="0" applyNumberFormat="1" applyFont="1" applyAlignment="1">
      <alignment horizontal="center" vertical="center" wrapText="1"/>
    </xf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Alignment="1"/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 vertical="center"/>
    </xf>
    <xf numFmtId="0" fontId="1" fillId="0" borderId="0" xfId="0" applyFon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/>
    <xf numFmtId="0" fontId="0" fillId="0" borderId="0" xfId="0"/>
    <xf numFmtId="0" fontId="1" fillId="0" borderId="0" xfId="0" applyFont="1" applyFill="1" applyBorder="1" applyAlignment="1">
      <alignment wrapText="1"/>
    </xf>
    <xf numFmtId="3" fontId="0" fillId="0" borderId="0" xfId="0" applyNumberFormat="1" applyFont="1" applyAlignment="1">
      <alignment horizontal="center"/>
    </xf>
    <xf numFmtId="0" fontId="0" fillId="0" borderId="0" xfId="0" applyFill="1" applyBorder="1" applyAlignment="1"/>
    <xf numFmtId="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/>
    <xf numFmtId="0" fontId="1" fillId="0" borderId="12" xfId="0" applyFont="1" applyFill="1" applyBorder="1" applyAlignment="1">
      <alignment horizontal="center" vertical="center" wrapText="1"/>
    </xf>
    <xf numFmtId="0" fontId="0" fillId="0" borderId="0" xfId="0"/>
    <xf numFmtId="3" fontId="0" fillId="0" borderId="0" xfId="0" applyNumberFormat="1" applyFont="1"/>
    <xf numFmtId="0" fontId="0" fillId="0" borderId="12" xfId="0" applyFill="1" applyBorder="1" applyAlignment="1">
      <alignment horizontal="center" vertical="center"/>
    </xf>
    <xf numFmtId="0" fontId="0" fillId="0" borderId="0" xfId="0"/>
    <xf numFmtId="0" fontId="0" fillId="0" borderId="12" xfId="0" applyBorder="1"/>
    <xf numFmtId="0" fontId="1" fillId="0" borderId="0" xfId="0" applyFont="1" applyFill="1"/>
    <xf numFmtId="0" fontId="0" fillId="0" borderId="0" xfId="0"/>
    <xf numFmtId="0" fontId="0" fillId="0" borderId="0" xfId="0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/>
    <xf numFmtId="0" fontId="1" fillId="0" borderId="0" xfId="0" applyFont="1" applyFill="1" applyBorder="1"/>
    <xf numFmtId="0" fontId="0" fillId="0" borderId="0" xfId="0"/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/>
    <xf numFmtId="2" fontId="0" fillId="0" borderId="0" xfId="0" applyNumberFormat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/>
    <xf numFmtId="0" fontId="0" fillId="0" borderId="0" xfId="0" applyFill="1" applyAlignment="1">
      <alignment horizontal="center"/>
    </xf>
    <xf numFmtId="0" fontId="1" fillId="0" borderId="0" xfId="0" applyFont="1"/>
    <xf numFmtId="0" fontId="0" fillId="0" borderId="0" xfId="0" applyFill="1" applyBorder="1" applyAlignment="1">
      <alignment horizontal="left" vertical="top"/>
    </xf>
    <xf numFmtId="0" fontId="0" fillId="0" borderId="0" xfId="0"/>
    <xf numFmtId="2" fontId="0" fillId="0" borderId="0" xfId="0" applyNumberFormat="1" applyAlignment="1">
      <alignment horizontal="center" vertical="center"/>
    </xf>
    <xf numFmtId="0" fontId="0" fillId="0" borderId="0" xfId="0" applyFill="1" applyBorder="1"/>
    <xf numFmtId="4" fontId="0" fillId="0" borderId="0" xfId="0" applyNumberFormat="1" applyFont="1" applyBorder="1" applyAlignment="1">
      <alignment horizontal="center" vertical="center" wrapText="1"/>
    </xf>
    <xf numFmtId="0" fontId="0" fillId="0" borderId="0" xfId="0" applyFill="1" applyAlignment="1"/>
    <xf numFmtId="165" fontId="0" fillId="0" borderId="0" xfId="0" applyNumberFormat="1" applyFill="1" applyBorder="1" applyAlignment="1">
      <alignment horizontal="center" vertical="center"/>
    </xf>
    <xf numFmtId="0" fontId="0" fillId="0" borderId="0" xfId="0" applyAlignment="1">
      <alignment horizontal="left"/>
    </xf>
    <xf numFmtId="4" fontId="0" fillId="0" borderId="11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wrapText="1"/>
    </xf>
    <xf numFmtId="0" fontId="0" fillId="0" borderId="0" xfId="0" applyAlignment="1">
      <alignment horizontal="left" vertical="center"/>
    </xf>
    <xf numFmtId="2" fontId="0" fillId="0" borderId="0" xfId="0" applyNumberForma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/>
    <xf numFmtId="0" fontId="0" fillId="0" borderId="0" xfId="0" applyNumberFormat="1"/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3" fontId="0" fillId="0" borderId="0" xfId="0" applyNumberFormat="1"/>
    <xf numFmtId="4" fontId="0" fillId="0" borderId="0" xfId="0" applyNumberFormat="1" applyFont="1"/>
    <xf numFmtId="2" fontId="0" fillId="0" borderId="0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26" fillId="0" borderId="0" xfId="48" applyFill="1" applyBorder="1" applyAlignment="1" applyProtection="1"/>
    <xf numFmtId="3" fontId="0" fillId="0" borderId="0" xfId="0" applyNumberFormat="1" applyFill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0" fillId="0" borderId="0" xfId="0" applyFill="1"/>
    <xf numFmtId="0" fontId="1" fillId="0" borderId="12" xfId="0" applyFont="1" applyFill="1" applyBorder="1" applyAlignment="1">
      <alignment horizontal="center"/>
    </xf>
    <xf numFmtId="165" fontId="0" fillId="0" borderId="12" xfId="0" applyNumberFormat="1" applyFill="1" applyBorder="1" applyAlignment="1">
      <alignment horizontal="center"/>
    </xf>
    <xf numFmtId="0" fontId="0" fillId="0" borderId="13" xfId="0" applyFill="1" applyBorder="1" applyAlignment="1">
      <alignment horizontal="left" vertical="top"/>
    </xf>
    <xf numFmtId="0" fontId="0" fillId="0" borderId="13" xfId="0" applyFill="1" applyBorder="1"/>
    <xf numFmtId="0" fontId="0" fillId="0" borderId="14" xfId="0" applyFill="1" applyBorder="1"/>
    <xf numFmtId="0" fontId="0" fillId="0" borderId="13" xfId="0" applyBorder="1"/>
    <xf numFmtId="0" fontId="1" fillId="0" borderId="0" xfId="0" applyFont="1" applyAlignment="1"/>
    <xf numFmtId="2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2" fontId="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165" fontId="21" fillId="0" borderId="0" xfId="0" applyNumberFormat="1" applyFont="1" applyFill="1"/>
    <xf numFmtId="0" fontId="27" fillId="0" borderId="0" xfId="0" applyFont="1" applyFill="1" applyBorder="1"/>
    <xf numFmtId="0" fontId="21" fillId="0" borderId="0" xfId="0" applyFont="1" applyFill="1" applyAlignment="1">
      <alignment horizontal="left"/>
    </xf>
    <xf numFmtId="3" fontId="0" fillId="0" borderId="0" xfId="0" applyNumberFormat="1" applyFill="1" applyBorder="1"/>
    <xf numFmtId="3" fontId="0" fillId="0" borderId="0" xfId="0" applyNumberFormat="1" applyFill="1" applyBorder="1" applyAlignment="1">
      <alignment horizontal="right"/>
    </xf>
    <xf numFmtId="2" fontId="0" fillId="0" borderId="0" xfId="0" applyNumberFormat="1" applyFill="1" applyAlignment="1">
      <alignment horizontal="center"/>
    </xf>
    <xf numFmtId="0" fontId="28" fillId="0" borderId="0" xfId="0" applyFont="1" applyFill="1"/>
    <xf numFmtId="0" fontId="29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4" fontId="0" fillId="0" borderId="0" xfId="0" applyNumberFormat="1" applyFont="1" applyAlignment="1">
      <alignment horizontal="center"/>
    </xf>
    <xf numFmtId="0" fontId="0" fillId="0" borderId="0" xfId="0" applyFont="1" applyFill="1"/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1" fillId="0" borderId="0" xfId="0" quotePrefix="1" applyFont="1" applyAlignment="1">
      <alignment horizontal="right"/>
    </xf>
    <xf numFmtId="164" fontId="29" fillId="0" borderId="0" xfId="0" applyNumberFormat="1" applyFont="1" applyAlignment="1">
      <alignment horizontal="center" vertical="center" wrapText="1"/>
    </xf>
    <xf numFmtId="164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1" fillId="0" borderId="0" xfId="0" applyFont="1" applyFill="1" applyAlignment="1"/>
    <xf numFmtId="0" fontId="23" fillId="0" borderId="0" xfId="47"/>
    <xf numFmtId="0" fontId="0" fillId="0" borderId="0" xfId="0" applyFont="1" applyAlignment="1">
      <alignment wrapText="1"/>
    </xf>
    <xf numFmtId="164" fontId="0" fillId="0" borderId="0" xfId="0" applyNumberFormat="1" applyFont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/>
    </xf>
    <xf numFmtId="16" fontId="1" fillId="0" borderId="0" xfId="0" quotePrefix="1" applyNumberFormat="1" applyFont="1" applyAlignment="1">
      <alignment horizontal="right"/>
    </xf>
    <xf numFmtId="4" fontId="0" fillId="0" borderId="0" xfId="0" applyNumberFormat="1" applyFont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/>
    <xf numFmtId="0" fontId="0" fillId="0" borderId="0" xfId="0" applyFill="1" applyBorder="1"/>
    <xf numFmtId="0" fontId="1" fillId="0" borderId="10" xfId="0" applyFont="1" applyFill="1" applyBorder="1"/>
    <xf numFmtId="0" fontId="0" fillId="0" borderId="13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/>
    <xf numFmtId="0" fontId="27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27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4" fontId="0" fillId="0" borderId="0" xfId="0" applyNumberFormat="1" applyFill="1" applyAlignment="1">
      <alignment horizontal="center"/>
    </xf>
    <xf numFmtId="2" fontId="0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164" fontId="2" fillId="0" borderId="0" xfId="1" applyNumberFormat="1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10" fontId="0" fillId="0" borderId="0" xfId="0" applyNumberFormat="1"/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2" fontId="2" fillId="0" borderId="0" xfId="0" applyNumberFormat="1" applyFont="1" applyBorder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2" fontId="0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Fill="1" applyAlignment="1"/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ill="1" applyAlignment="1"/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4" fontId="0" fillId="0" borderId="0" xfId="0" applyNumberFormat="1" applyFill="1" applyBorder="1" applyAlignment="1">
      <alignment horizontal="center"/>
    </xf>
    <xf numFmtId="0" fontId="0" fillId="0" borderId="0" xfId="0"/>
    <xf numFmtId="4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4" fontId="0" fillId="0" borderId="0" xfId="0" applyNumberFormat="1" applyFill="1" applyBorder="1" applyAlignment="1">
      <alignment horizontal="center"/>
    </xf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4" fontId="0" fillId="0" borderId="0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Fill="1" applyBorder="1" applyAlignment="1">
      <alignment horizontal="center" vertical="center" wrapText="1"/>
    </xf>
    <xf numFmtId="2" fontId="0" fillId="0" borderId="0" xfId="0" applyNumberFormat="1" applyFont="1"/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/>
    </xf>
    <xf numFmtId="0" fontId="1" fillId="0" borderId="0" xfId="0" applyFont="1"/>
    <xf numFmtId="4" fontId="0" fillId="0" borderId="0" xfId="0" applyNumberForma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/>
    </xf>
    <xf numFmtId="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" fillId="0" borderId="1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12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1" fillId="0" borderId="10" xfId="0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27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1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wrapText="1"/>
    </xf>
  </cellXfs>
  <cellStyles count="4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8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2 2" xfId="45"/>
    <cellStyle name="Normal 2 3" xfId="46"/>
    <cellStyle name="Normal 2 4" xfId="47"/>
    <cellStyle name="Normal 3" xfId="43"/>
    <cellStyle name="Normal 4" xfId="4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224"/>
  <sheetViews>
    <sheetView view="pageBreakPreview" topLeftCell="A13" zoomScaleNormal="115" zoomScaleSheetLayoutView="100" workbookViewId="0">
      <selection activeCell="A20" sqref="A20:A21"/>
    </sheetView>
  </sheetViews>
  <sheetFormatPr defaultRowHeight="15"/>
  <cols>
    <col min="1" max="1" width="141.85546875" bestFit="1" customWidth="1"/>
  </cols>
  <sheetData>
    <row r="1" spans="1:1" ht="21">
      <c r="A1" s="148" t="s">
        <v>159</v>
      </c>
    </row>
    <row r="2" spans="1:1" ht="18.75">
      <c r="A2" s="143" t="s">
        <v>160</v>
      </c>
    </row>
    <row r="3" spans="1:1" s="145" customFormat="1"/>
    <row r="4" spans="1:1" s="259" customFormat="1">
      <c r="A4" s="223" t="s">
        <v>429</v>
      </c>
    </row>
    <row r="5" spans="1:1">
      <c r="A5" s="223" t="s">
        <v>430</v>
      </c>
    </row>
    <row r="6" spans="1:1">
      <c r="A6" t="str">
        <f>'1A'!A1:U1</f>
        <v>Table 1A: Gross Domestic Product, Quebec, Forest Products Sector, Millions of Dollars, 1984-2013</v>
      </c>
    </row>
    <row r="7" spans="1:1">
      <c r="A7" t="str">
        <f>'1B'!A1:U1</f>
        <v>Table 1B: Gross Domestic Product, Ontario, Forest Products Sector, Millions of Dollars, 1984-2013</v>
      </c>
    </row>
    <row r="8" spans="1:1">
      <c r="A8" t="str">
        <f>'1C'!A1:U1</f>
        <v>Table 1C: Gross Domestic Product, Quebec, Forest Products Sector, 2007=100, 1984-2013</v>
      </c>
    </row>
    <row r="9" spans="1:1">
      <c r="A9" t="str">
        <f>'1D'!A1:U1</f>
        <v>Table 1D: Gross Domestic Product, Ontario, Forest Products Sector, 2007=100, 1984-2013</v>
      </c>
    </row>
    <row r="10" spans="1:1">
      <c r="A10" t="str">
        <f>'1E'!A1:K1</f>
        <v>Table 1E: Implicit Price Deflator, Quebec, 1984-2013</v>
      </c>
    </row>
    <row r="11" spans="1:1">
      <c r="A11" t="str">
        <f>'1F'!A1:K1</f>
        <v>Table 1F: Implicit Price Deflator, Ontario, 1984-2013</v>
      </c>
    </row>
    <row r="12" spans="1:1">
      <c r="A12" t="str">
        <f>'1G'!A1:U1</f>
        <v>Table 1G: Share of Forest Products Sector in Gross Domestic Product, Quebec, 1984-2013</v>
      </c>
    </row>
    <row r="13" spans="1:1">
      <c r="A13" t="str">
        <f>'1H'!A1:U1</f>
        <v>Table 1H: Share of Forest Products Sector in Gross Domestic Product, Ontario, 1984-2013</v>
      </c>
    </row>
    <row r="14" spans="1:1">
      <c r="A14" s="247" t="str">
        <f>'1I'!A1:J1</f>
        <v>Table 1I: Share of Gross Domestic Product, Quebec, Forest Products Sector, Millions of Dollars, 1984-2011</v>
      </c>
    </row>
    <row r="15" spans="1:1" s="239" customFormat="1">
      <c r="A15" s="239" t="str">
        <f>'1J'!A1:J1</f>
        <v>Table 1J: Shares of Gross Domestic Product, Ontario, Forest Products Sector, Millions of Dollars, 1984-2011</v>
      </c>
    </row>
    <row r="16" spans="1:1" s="239" customFormat="1"/>
    <row r="17" spans="1:1">
      <c r="A17" s="223" t="s">
        <v>425</v>
      </c>
    </row>
    <row r="18" spans="1:1">
      <c r="A18" t="str">
        <f>'2A'!A1:K1</f>
        <v>Table 2A: Hours Worked, Quebec, Forest Products Sector, Thousands of Hours, 1984-2013</v>
      </c>
    </row>
    <row r="19" spans="1:1">
      <c r="A19" t="str">
        <f>'2B'!A1:K1</f>
        <v>Table 2B: Hours Worked, Ontario, Forest Products Sector, Thousands of Hours, 1984-2013</v>
      </c>
    </row>
    <row r="20" spans="1:1">
      <c r="A20" t="str">
        <f>'2C'!A1:K1</f>
        <v>Table 2C: Hours Worked as a Share of All Industries, Quebec, Forest Products Sector, Thousands of Hours, 1984-2013</v>
      </c>
    </row>
    <row r="21" spans="1:1">
      <c r="A21" t="str">
        <f>'2D'!A1:K1</f>
        <v>Table 2D: Hours Worked as a Share of All Industries, Ontario, Forest Products Sector, Thousands of Hours, 1984-2013</v>
      </c>
    </row>
    <row r="22" spans="1:1">
      <c r="A22" t="str">
        <f>'2E'!A1:K1</f>
        <v>Table 2E: Hours Worked, Quebec, Forest Products Sector, 2007=100, 1984-2013</v>
      </c>
    </row>
    <row r="23" spans="1:1">
      <c r="A23" t="str">
        <f>'2F'!A1:K1</f>
        <v>Table 2F: Hours Worked, Ontario, Forest Products Sector, 2007=100, 1984-2013</v>
      </c>
    </row>
    <row r="24" spans="1:1" s="155" customFormat="1">
      <c r="A24" s="155" t="str">
        <f>'2G'!A1:J1</f>
        <v>Table 2G: Average Weekly Hours for Employees Paid by the Hour, Forest Products Sector, Quebec, 2001-2013</v>
      </c>
    </row>
    <row r="25" spans="1:1" s="155" customFormat="1">
      <c r="A25" s="155" t="str">
        <f>'2H'!A1:J1</f>
        <v>Table 2H: Average Weekly Hours for Employees Paid by the Hour, Forest Products Sector, Ontario, 2001-2013</v>
      </c>
    </row>
    <row r="26" spans="1:1" s="165" customFormat="1">
      <c r="A26" s="165" t="str">
        <f>'2I'!A1:J1</f>
        <v>Table 2I: Standard Work Week for Salaried Employees (paid a fixed salary, excluding overtime), Forest Products Sector, Quebec, 2001-2013</v>
      </c>
    </row>
    <row r="27" spans="1:1" s="165" customFormat="1">
      <c r="A27" s="165" t="str">
        <f>'2J'!A1:J1</f>
        <v>Table 2J: Standard Work Week for Salaried Employees (paid a fixed salary, excluding overtime), Forest Products Sector, Ontario, 2001-2013</v>
      </c>
    </row>
    <row r="28" spans="1:1" s="165" customFormat="1">
      <c r="A28" s="165" t="str">
        <f>'2K'!A1:J1</f>
        <v>Table 2K: Hours Worked, Forest Products Sector, Quebec, SEPH, Thousands of Hours, 2001-2013</v>
      </c>
    </row>
    <row r="29" spans="1:1" s="165" customFormat="1">
      <c r="A29" s="165" t="str">
        <f>'2L'!A1:J1</f>
        <v>Table 2L: Hours Worked, Forest Products Sector, Ontario, SEPH, Thousands of Hours, 2001-2013</v>
      </c>
    </row>
    <row r="30" spans="1:1" s="239" customFormat="1">
      <c r="A30" s="239" t="str">
        <f>'2M'!A1:J1</f>
        <v>Table 2M: Hours Worked as a Share of Forest Products Sector, Quebec, Forest Products Sector, Thousands of Hours, 1984-2013</v>
      </c>
    </row>
    <row r="31" spans="1:1" s="239" customFormat="1">
      <c r="A31" s="239" t="str">
        <f>'2N'!A1:J1</f>
        <v>Table 2N: Hours Worked as a Share of Forest Products Sector, Ontario, Forest Products Sector, Thousands of Hours, 1984-2013</v>
      </c>
    </row>
    <row r="32" spans="1:1" hidden="1">
      <c r="A32" t="str">
        <f>'5A'!A1:K1</f>
        <v>Table 5A: Average Weekly Hours Per Worker, Quebec, 1997-2012</v>
      </c>
    </row>
    <row r="33" spans="1:1" s="145" customFormat="1" hidden="1">
      <c r="A33" s="145" t="str">
        <f>'5B'!A1:K1</f>
        <v>Table 5B: Average Weekly Hours Per Worker, Ontario, 1997-2012</v>
      </c>
    </row>
    <row r="34" spans="1:1" s="145" customFormat="1">
      <c r="A34" s="145" t="str">
        <f>'2O'!A1:K1</f>
        <v>Table 20: Average Weekly Hours Per Job, Quebec, 1997-2012</v>
      </c>
    </row>
    <row r="35" spans="1:1" s="145" customFormat="1">
      <c r="A35" s="145" t="str">
        <f>'2P'!A1:K1</f>
        <v>Table 2P: Average Weekly Hours Per Job, Ontario, 1997-2012</v>
      </c>
    </row>
    <row r="36" spans="1:1" s="145" customFormat="1"/>
    <row r="37" spans="1:1">
      <c r="A37" s="223" t="s">
        <v>426</v>
      </c>
    </row>
    <row r="38" spans="1:1">
      <c r="A38" t="str">
        <f>'3A'!A1:K1</f>
        <v>Table 3A: Labour Productivity, Quebec, Forest Products Sector, Chained 2007 Dollars per Hour Worked, 1997-2013</v>
      </c>
    </row>
    <row r="39" spans="1:1">
      <c r="A39" t="str">
        <f>'3B'!A1:K1</f>
        <v>Table 3B: Labour Productivity, Ontario, Forest Products Sector, Chained 2007 Dollars per Hour Worked, 1997-2013</v>
      </c>
    </row>
    <row r="40" spans="1:1">
      <c r="A40" t="str">
        <f>'3C'!A1:K1</f>
        <v>Table 3C: Relative Labour Productivity, Quebec, Forest Products Sector, Per Cent, 1997-2013</v>
      </c>
    </row>
    <row r="41" spans="1:1">
      <c r="A41" t="str">
        <f>'3D'!A1:K1</f>
        <v>Table 3D: Relative Labour Productivity, Ontario, Forest Products Sector, Per Cent, 1997-2013</v>
      </c>
    </row>
    <row r="42" spans="1:1">
      <c r="A42" t="str">
        <f>'3E'!A1:K1</f>
        <v>Table 3E: Labour Productivity, Quebec, Forest Products Sector, 2007=100, 1997-2013</v>
      </c>
    </row>
    <row r="43" spans="1:1" s="145" customFormat="1">
      <c r="A43" s="145" t="str">
        <f>'3F'!A1:K1</f>
        <v>Table 3F: Labour Productivity, Ontario, Forest Products Sector, 2007=100, 1997-2013</v>
      </c>
    </row>
    <row r="44" spans="1:1" s="145" customFormat="1"/>
    <row r="45" spans="1:1">
      <c r="A45" s="223" t="s">
        <v>431</v>
      </c>
    </row>
    <row r="46" spans="1:1">
      <c r="A46" s="138" t="str">
        <f>'4A'!A1:N1</f>
        <v>Table 4A: Employment, Labour Force Survey, Thousands of Persons, Quebec, 1997-2012</v>
      </c>
    </row>
    <row r="47" spans="1:1">
      <c r="A47" t="str">
        <f>'4B'!A1:N1</f>
        <v>Table 4B: Employment, Labour Force Survey, Thousands of Persons, Ontario, 1997-2012</v>
      </c>
    </row>
    <row r="48" spans="1:1">
      <c r="A48" s="138" t="str">
        <f>'4C'!A1:N1</f>
        <v>Table 4C: Employment, Survey of Employment, Payrolls and Hours (SEPH), Persons, Quebec, 2001-2013</v>
      </c>
    </row>
    <row r="49" spans="1:1">
      <c r="A49" t="str">
        <f>'4D'!A1:N1</f>
        <v>Table 4D: Employment, Survey of Employment, Payrolls, and Hours (SEPH), Persons, Ontario, 2001-2013</v>
      </c>
    </row>
    <row r="50" spans="1:1">
      <c r="A50" s="138" t="str">
        <f>'4E'!A1:K1</f>
        <v>Table 4E: Number of Jobs, Quebec, 1997-2013</v>
      </c>
    </row>
    <row r="51" spans="1:1">
      <c r="A51" t="str">
        <f>'4F'!A1:K1</f>
        <v>Table 4F: Number of Jobs, Ontario, 1997-2013</v>
      </c>
    </row>
    <row r="52" spans="1:1">
      <c r="A52" s="138" t="str">
        <f>'4G'!A1:K1</f>
        <v>Table 4G: Share of the Number of Jobs, Quebec, 1997-2013</v>
      </c>
    </row>
    <row r="53" spans="1:1">
      <c r="A53" t="str">
        <f>'4H'!A1:K1</f>
        <v>Table 4H: Share of the Number of Jobs, Ontario, 1997-2013</v>
      </c>
    </row>
    <row r="54" spans="1:1">
      <c r="A54" s="138" t="str">
        <f>'4I'!A1:N1</f>
        <v>Table 4I: Share of Employment, Labour Force Survey, Quebec, 1997-2012</v>
      </c>
    </row>
    <row r="55" spans="1:1">
      <c r="A55" t="str">
        <f>'4J'!A1:N1</f>
        <v>Table 4J: Share of Employment, Labour Force Survey, Ontario, 1997-2012</v>
      </c>
    </row>
    <row r="56" spans="1:1">
      <c r="A56" s="138" t="str">
        <f>'4K'!A1:N1</f>
        <v>Table 4K: Share of Employment, SEPH, Quebec, 2001-2013</v>
      </c>
    </row>
    <row r="57" spans="1:1">
      <c r="A57" t="str">
        <f>'4L'!A1:N1</f>
        <v>Table 4L: Share of Employment, SEPH, Ontario, 2001-2013</v>
      </c>
    </row>
    <row r="58" spans="1:1">
      <c r="A58" s="138" t="str">
        <f>'4M'!A1:AM1</f>
        <v>Table 4M: Employment by Type, SEPH, Persons, Quebec, 2001-2013</v>
      </c>
    </row>
    <row r="59" spans="1:1">
      <c r="A59" t="str">
        <f>'4N'!A1:AN1</f>
        <v>Table 4N: Employment by Type, SEPH, Persons, Ontario, 2001-2013</v>
      </c>
    </row>
    <row r="60" spans="1:1" s="239" customFormat="1">
      <c r="A60" s="138" t="str">
        <f>'4O'!A1:M1</f>
        <v>Table 4O: Employment, Share of the Forest Products Sector, Labour Force Survey, Quebec, 1997-2012</v>
      </c>
    </row>
    <row r="61" spans="1:1" s="239" customFormat="1">
      <c r="A61" s="239" t="str">
        <f>'4P'!A1:M1</f>
        <v>Table 4P: Employment, Share of the Forest Products Sector, Labour Force Survey, Ontario, 1997-2012</v>
      </c>
    </row>
    <row r="62" spans="1:1" s="239" customFormat="1">
      <c r="A62" s="138" t="str">
        <f>'4Q'!A1:M1</f>
        <v>Table 4Q: Employment, Share of the Forest Products Sector, SEPH, Quebec, 2001-2013</v>
      </c>
    </row>
    <row r="63" spans="1:1" s="239" customFormat="1">
      <c r="A63" s="239" t="str">
        <f>'4R'!A1:M1</f>
        <v>Table 4R: Employment, Share of the Forest Products Sector, SEPH, Ontario, 2001-2013</v>
      </c>
    </row>
    <row r="65" spans="1:1">
      <c r="A65" s="223" t="s">
        <v>432</v>
      </c>
    </row>
    <row r="66" spans="1:1">
      <c r="A66" t="str">
        <f>'6A'!A1:P1</f>
        <v>Table 6A: Capital Stock, Quebec, Forest Products Sector, 1984-2013</v>
      </c>
    </row>
    <row r="67" spans="1:1">
      <c r="A67" t="str">
        <f>'6B'!A1:P1</f>
        <v>Table 6B: Capital Stock, Ontario, Forest Products Sector, 1984-2013</v>
      </c>
    </row>
    <row r="68" spans="1:1" s="197" customFormat="1">
      <c r="A68" s="197" t="str">
        <f>'6C'!A1:K1</f>
        <v>Table 6C: Capital Stock as a Share of All Industries, Quebec, Forest Products Sector, 1984-2013</v>
      </c>
    </row>
    <row r="69" spans="1:1" s="197" customFormat="1">
      <c r="A69" s="197" t="str">
        <f>'6D'!A1:K1</f>
        <v>Table 6D: Capital Stock as a Share of All Industries, Ontario, Forest Products Sector, 1984-2013</v>
      </c>
    </row>
    <row r="70" spans="1:1" s="197" customFormat="1">
      <c r="A70" s="197" t="str">
        <f>'6E'!A1:K1</f>
        <v>Table 6E: Capital Productivity, Quebec, Forest Products Sector, 1984-2013</v>
      </c>
    </row>
    <row r="71" spans="1:1" s="197" customFormat="1">
      <c r="A71" s="197" t="str">
        <f>'6F'!A1:K1</f>
        <v>Table 6F: Capital Productivity, Ontario, Forest Products Sector, 1984-2013</v>
      </c>
    </row>
    <row r="72" spans="1:1" s="197" customFormat="1">
      <c r="A72" s="197" t="str">
        <f>'6G'!A1:K1</f>
        <v>Table 6G: Capital Intensity, Quebec, Forest Products Sector, 1984-2013</v>
      </c>
    </row>
    <row r="73" spans="1:1" s="197" customFormat="1">
      <c r="A73" s="197" t="str">
        <f>'6H'!A1:K1</f>
        <v>Table 6H: Capital Intensity, Ontario, Forest Products Sector, 1984-2013</v>
      </c>
    </row>
    <row r="74" spans="1:1" s="239" customFormat="1">
      <c r="A74" s="239" t="str">
        <f>'6I'!A1:E1</f>
        <v>Table 6I: Capital Stock, Share of Forest Products Sector, Quebec, 1984-2013</v>
      </c>
    </row>
    <row r="75" spans="1:1" s="239" customFormat="1">
      <c r="A75" s="239" t="str">
        <f>'6J'!A1:E1</f>
        <v>Table 6J: Capital Stock, Share of the Forest Products Sector, Ontario, 1984-2013</v>
      </c>
    </row>
    <row r="77" spans="1:1">
      <c r="A77" s="223" t="s">
        <v>433</v>
      </c>
    </row>
    <row r="78" spans="1:1">
      <c r="A78" t="str">
        <f>'7A'!A1:F1</f>
        <v>Table 7A: Investment, All Components, Quebec, Forest Products Sector, 1984-2013</v>
      </c>
    </row>
    <row r="79" spans="1:1">
      <c r="A79" t="str">
        <f>'7B'!A1:P1</f>
        <v>Table 7B: Investment, All Components, Ontario, Forest Products Sector, 1984-2013</v>
      </c>
    </row>
    <row r="80" spans="1:1" s="181" customFormat="1">
      <c r="A80" s="181" t="str">
        <f>'7C'!A1:P1</f>
        <v>Table 7C: Investment, Machinery and Equipment, Quebec, Forest Products Sector, 1984-2013</v>
      </c>
    </row>
    <row r="81" spans="1:1" s="181" customFormat="1">
      <c r="A81" s="181" t="str">
        <f>'7D'!A1:P1</f>
        <v>Table 7D: Investment, Machinery and Equipment, Ontario, Forest Products Sector, 1984-2013</v>
      </c>
    </row>
    <row r="82" spans="1:1" s="181" customFormat="1">
      <c r="A82" s="181" t="str">
        <f>'7E'!A1:P1</f>
        <v>Table 7E: Investment, Engineering Construction, Quebec, Forest Products Sector, 1984-2013</v>
      </c>
    </row>
    <row r="83" spans="1:1" s="181" customFormat="1">
      <c r="A83" s="181" t="str">
        <f>'7F'!A1:P1</f>
        <v>Table 7F: Investment, Engineering Construction, Ontario, Forest Products Sector, 1984-2013</v>
      </c>
    </row>
    <row r="84" spans="1:1" s="181" customFormat="1">
      <c r="A84" s="181" t="str">
        <f>'7G'!A1:P1</f>
        <v>Table 7G: Investment, Building Construction, Quebec, Forest Products Sector, 1984-2013</v>
      </c>
    </row>
    <row r="85" spans="1:1" s="181" customFormat="1">
      <c r="A85" s="181" t="str">
        <f>'7H'!A1:P1</f>
        <v>Table 7H: Investment, Building Construction, Ontario, Forest Products Sector, 1984-2013</v>
      </c>
    </row>
    <row r="86" spans="1:1" s="181" customFormat="1">
      <c r="A86" s="181" t="str">
        <f>'7I'!A1:P1</f>
        <v>Table 7I: Investment, Intellectural Property Products, Quebec, Forest Products Sector, 1984-2013</v>
      </c>
    </row>
    <row r="87" spans="1:1" s="181" customFormat="1">
      <c r="A87" s="181" t="str">
        <f>'7J'!A1:P1</f>
        <v>Table 7J: Investment, Intellectural Property Products, Ontario, Forest Products Sector, 1984-2013</v>
      </c>
    </row>
    <row r="88" spans="1:1" s="181" customFormat="1">
      <c r="A88" s="181" t="str">
        <f>'7K'!A1:P1</f>
        <v>Table 7K: Depreciation, All Components, Quebec, Forest Products Sector, 1984-2013</v>
      </c>
    </row>
    <row r="89" spans="1:1" s="237" customFormat="1">
      <c r="A89" s="237" t="str">
        <f>'7L'!A1:P1</f>
        <v>Table 7L: Depreciation, All Components, Ontario, Forest Products Sector, 1984-2013</v>
      </c>
    </row>
    <row r="90" spans="1:1" s="237" customFormat="1">
      <c r="A90" s="237" t="str">
        <f>'7M'!A1:P1</f>
        <v>Table 7M:  Depreciation, Machinery and Equipment, Quebec, Forest Products Sector, 1984-2013</v>
      </c>
    </row>
    <row r="91" spans="1:1" s="237" customFormat="1">
      <c r="A91" s="237" t="str">
        <f>'7N'!A1:P1</f>
        <v>Table 7N:  Depreciation, Machinery and Equipment, Ontario, Forest Products Sector, 1984-2013</v>
      </c>
    </row>
    <row r="92" spans="1:1" s="237" customFormat="1">
      <c r="A92" s="237" t="str">
        <f>'7O'!A1:P1</f>
        <v>Table 7O:  Depreciation, Engineering Construction, Quebec, Forest Products Sector, 1984-2013</v>
      </c>
    </row>
    <row r="93" spans="1:1" s="237" customFormat="1">
      <c r="A93" s="237" t="str">
        <f>'7P'!A1:P1</f>
        <v>Table 7P:  Depreciation, Engineering Construction, Ontario, Forest Products Sector, 1984-2013</v>
      </c>
    </row>
    <row r="94" spans="1:1" s="237" customFormat="1">
      <c r="A94" s="237" t="str">
        <f>'7Q'!A1:P1</f>
        <v>Table 7Q:  Depreciation, Building Construction, Quebec, Forest Products Sector, 1984-2013</v>
      </c>
    </row>
    <row r="95" spans="1:1" s="237" customFormat="1">
      <c r="A95" s="237" t="str">
        <f>'7R'!A1:P1</f>
        <v>Table 7R:  Depreciation, Building Construction, Ontario, Forest Products Sector, 1984-2013</v>
      </c>
    </row>
    <row r="96" spans="1:1" s="237" customFormat="1">
      <c r="A96" s="237" t="str">
        <f>'7S'!A1:P1</f>
        <v>Table 7S:  Depreciation, Intellectural Property Products, Quebec, Forest Products Sector, 1984-2013</v>
      </c>
    </row>
    <row r="97" spans="1:1" s="237" customFormat="1">
      <c r="A97" s="237" t="str">
        <f>'7T'!A1:P1</f>
        <v>Table 7T:  Depreciation, Intellectural Property Products, Ontario, Forest Products Sector, 1984-2013</v>
      </c>
    </row>
    <row r="98" spans="1:1" s="237" customFormat="1">
      <c r="A98" s="237" t="str">
        <f>'7U'!A1:K1</f>
        <v>Table 7U: Real Net Investment, All Components, Quebec, Forest Products Sector, 1984-2013</v>
      </c>
    </row>
    <row r="99" spans="1:1" s="239" customFormat="1">
      <c r="A99" s="239" t="str">
        <f>'7V'!A1:K1</f>
        <v>Table 7V: Real Net Investment, All Components, Ontario, Forest Products Sector, 1984-2013</v>
      </c>
    </row>
    <row r="100" spans="1:1" s="239" customFormat="1">
      <c r="A100" s="239" t="str">
        <f>'7W'!A1:K1</f>
        <v>Table 7W: Real Net Investment, Machinery and Equipment, Quebec, Forest Products Sector, 1984-2013</v>
      </c>
    </row>
    <row r="101" spans="1:1" s="239" customFormat="1">
      <c r="A101" s="239" t="str">
        <f>'7X'!A1:K1</f>
        <v>Table 7X: Real Net Investment, Machinery and Equipment, Ontario, Forest Products Sector, 1984-2013</v>
      </c>
    </row>
    <row r="102" spans="1:1" s="239" customFormat="1">
      <c r="A102" s="239" t="str">
        <f>'7Y'!A1:K1</f>
        <v>Table 7Y: Real Net Investment, Engineering Construction, Quebec, Forest Products Sector, 1984-2013</v>
      </c>
    </row>
    <row r="103" spans="1:1" s="239" customFormat="1">
      <c r="A103" s="239" t="str">
        <f>'7Z'!A1:K1</f>
        <v>Table 7Z: Real Net Investment, Engineering Construction, Ontario, Forest Products Sector, 1984-2013</v>
      </c>
    </row>
    <row r="104" spans="1:1" s="239" customFormat="1">
      <c r="A104" s="239" t="str">
        <f>'7AA'!A1:K1</f>
        <v>Table 7AA: Real Net Investment, Building Construction, Quebec, Forest Products Sector, 1984-2013</v>
      </c>
    </row>
    <row r="105" spans="1:1" s="239" customFormat="1">
      <c r="A105" s="239" t="str">
        <f>'7AB'!A1:K1</f>
        <v>Table 7AB: Real Net Investment, Building Construction, Ontario, Forest Products Sector, 1984-2013</v>
      </c>
    </row>
    <row r="106" spans="1:1" s="239" customFormat="1">
      <c r="A106" s="239" t="str">
        <f>'7AC'!A1:K1</f>
        <v>Table 7AC: Real Net Investment, Intellectural Property Products, Quebec, Forest Products Sector, 1984-2013</v>
      </c>
    </row>
    <row r="107" spans="1:1" s="239" customFormat="1">
      <c r="A107" s="239" t="str">
        <f>'7AD'!A1:K1</f>
        <v>Table 7AD: Real Net Investment, Intellectural Property Products, Ontario, Forest Products Sector, 1984-2013</v>
      </c>
    </row>
    <row r="108" spans="1:1" s="429" customFormat="1">
      <c r="A108" s="429" t="str">
        <f>'7AE'!A1:F1</f>
        <v>Table 7AE: Investment Intensity, Machinery and Equipment, Quebec, Forest Products Sector, 1984-2013</v>
      </c>
    </row>
    <row r="109" spans="1:1" s="429" customFormat="1">
      <c r="A109" s="429" t="str">
        <f>'7AF'!A1:F1</f>
        <v>Table 7AF: Investment Intensity, Machinery and Equipment, Ontario, Forest Products Sector, 1984-2013</v>
      </c>
    </row>
    <row r="110" spans="1:1" s="239" customFormat="1"/>
    <row r="111" spans="1:1">
      <c r="A111" s="223" t="s">
        <v>434</v>
      </c>
    </row>
    <row r="112" spans="1:1">
      <c r="A112" t="str">
        <f>'8A'!A1:F1</f>
        <v>Table 8A: Number of Establishments, Forestry and Logging, Quebec, 1990-2010</v>
      </c>
    </row>
    <row r="113" spans="1:1">
      <c r="A113" t="str">
        <f>'8B'!A1:F1</f>
        <v>Table 8B: Number of Establishments, Forestry anf Logging, Ontario, 1990-2010</v>
      </c>
    </row>
    <row r="114" spans="1:1">
      <c r="A114" t="str">
        <f>'8C'!A1:X1</f>
        <v>Table 8C: Number of Establishments, Wood Product Manufacturing, Quebec, 1990-2010</v>
      </c>
    </row>
    <row r="115" spans="1:1">
      <c r="A115" t="str">
        <f>'8D'!A1:X1</f>
        <v>Table 8D: Number of Establishments, Wood Product Manufacturing, Ontario, 1990-2010</v>
      </c>
    </row>
    <row r="116" spans="1:1">
      <c r="A116" t="str">
        <f>'8E'!A1:R1</f>
        <v>Table 8E: Number of Establishments, Paper Manufacturing, Quebec, 1990-2010</v>
      </c>
    </row>
    <row r="117" spans="1:1">
      <c r="A117" t="str">
        <f>'8F'!A1:R1</f>
        <v>Table 8F: Number of Establishments, Paper Manufacturing, Ontario, 1990-2010</v>
      </c>
    </row>
    <row r="118" spans="1:1">
      <c r="A118" t="str">
        <f>'8G'!A1:E1</f>
        <v>Table 8G: Number of Establishments, Quebec, 1990-2010</v>
      </c>
    </row>
    <row r="119" spans="1:1">
      <c r="A119" t="str">
        <f>'8H'!A1:E1</f>
        <v>Table 8H: Number of Establishments, Ontario, 1990-2010</v>
      </c>
    </row>
    <row r="120" spans="1:1">
      <c r="A120" t="str">
        <f>'8I'!A1:X1</f>
        <v>Table 8I: Number of Establishments, Wood Product Manufacturing, Quebec, 1990-2010</v>
      </c>
    </row>
    <row r="121" spans="1:1">
      <c r="A121" t="str">
        <f>'8J'!A1:X1</f>
        <v>Table 8J: Number of Establishments, Wood Product Manufacturing, Ontario, 1990-2010</v>
      </c>
    </row>
    <row r="122" spans="1:1">
      <c r="A122" t="str">
        <f>'8K'!A1:W1</f>
        <v>Table 8K: Number of Establishments, Paper Manufacturing, Quebec, 1990-2010</v>
      </c>
    </row>
    <row r="123" spans="1:1">
      <c r="A123" t="str">
        <f>'8L'!A1:W1</f>
        <v>Table 8L: Number of Establishments, Paper Manufacturing, Ontario, 1990-2010</v>
      </c>
    </row>
    <row r="124" spans="1:1">
      <c r="A124" t="str">
        <f>'8M'!A1:S1</f>
        <v>Table 8M: Employment by Enterprise Size, Forestry, Logging and Support, Quebec and Ontario, 2001-2012</v>
      </c>
    </row>
    <row r="125" spans="1:1">
      <c r="A125" t="str">
        <f>'8N'!A1:S1</f>
        <v>Table 8N: Employment Distribution by Enterprise Size, Forestry, Logging and Support, Quebec and Ontario, 2001-2012</v>
      </c>
    </row>
    <row r="126" spans="1:1" s="429" customFormat="1"/>
    <row r="127" spans="1:1">
      <c r="A127" s="223" t="s">
        <v>435</v>
      </c>
    </row>
    <row r="128" spans="1:1">
      <c r="A128" t="str">
        <f>'9A'!A1:M1</f>
        <v>Table 9A: R&amp;D, Quebec, All Industries Total and Forest Products Sector, 1994-2012</v>
      </c>
    </row>
    <row r="129" spans="1:1">
      <c r="A129" t="str">
        <f>'9B'!A1:S1</f>
        <v>Table 9B: R&amp;D, Quebec, Forest Products Sector, 1994-2012</v>
      </c>
    </row>
    <row r="130" spans="1:1">
      <c r="A130" t="str">
        <f>'9C'!A1:M1</f>
        <v>Table 9C: Research and Development, Ontario, All Industries Total and Forest Products Sector, 1994-2012</v>
      </c>
    </row>
    <row r="131" spans="1:1">
      <c r="A131" t="str">
        <f>'9D'!A1:S1</f>
        <v>Table 9D: Research and Development, Ontario, Forest Products Sector, 1994-2012</v>
      </c>
    </row>
    <row r="132" spans="1:1" s="259" customFormat="1">
      <c r="A132" s="259" t="str">
        <f>'9E'!A1:G1</f>
        <v>Table 9E: R&amp;D Intensity, Quebec, All Industries Total and Forest Products Sector, 1994-2012</v>
      </c>
    </row>
    <row r="133" spans="1:1" s="259" customFormat="1">
      <c r="A133" s="259" t="str">
        <f>'9F'!A1:J1</f>
        <v>Table 9F: Research and Development Intensity, Quebec, Forest Products Sector, 1994-2012</v>
      </c>
    </row>
    <row r="134" spans="1:1" s="259" customFormat="1">
      <c r="A134" s="259" t="str">
        <f>'9G'!A1:G1</f>
        <v>Table 9G: Research and Development Personnel Intensity, Quebec, All Industries Total and Forest Products Sector, 1994-2012</v>
      </c>
    </row>
    <row r="135" spans="1:1" s="259" customFormat="1">
      <c r="A135" s="259" t="str">
        <f>'9H'!A1:J1</f>
        <v>Table 9H: Research and Development Personnel Intensity, Quebec, Forest Products Sector, 1994-2012</v>
      </c>
    </row>
    <row r="136" spans="1:1" s="429" customFormat="1">
      <c r="A136" s="429" t="str">
        <f>'9I'!A1:G1</f>
        <v>Table 9I: Research and Development Intensity, Ontario, All Industries Total and Forest Products Sector, 1994-2012</v>
      </c>
    </row>
    <row r="137" spans="1:1" s="429" customFormat="1">
      <c r="A137" s="429" t="str">
        <f>'9J'!A1:J1</f>
        <v>Table 9J: Research and Development Intensity, Ontario, Forest Products Sector, 1994-2012</v>
      </c>
    </row>
    <row r="138" spans="1:1" s="429" customFormat="1">
      <c r="A138" s="429" t="str">
        <f>'9K'!A1:G1</f>
        <v>Table 9K: Research and Development Personnel Intensity, Ontario, All Industries Total and Forest Products Sector, 1994-2012</v>
      </c>
    </row>
    <row r="139" spans="1:1" s="429" customFormat="1">
      <c r="A139" s="429" t="str">
        <f>'9L'!A1:J1</f>
        <v>Table 9L: Research and Development Personnel Intensity, Ontario, Forest Products Sector, 1994-2012</v>
      </c>
    </row>
    <row r="141" spans="1:1">
      <c r="A141" s="223" t="s">
        <v>436</v>
      </c>
    </row>
    <row r="142" spans="1:1">
      <c r="A142" t="str">
        <f>'10A'!A1</f>
        <v>Table 10A: Present Value of Timber Stocks , Quebec and Ontario, Millions of Current Dollars, 1961-1997</v>
      </c>
    </row>
    <row r="143" spans="1:1">
      <c r="A143" t="str">
        <f>'10B'!A1:O1</f>
        <v>Table 10B: Timber Assets, Quebec and Ontario, Volume in Millions of Cubic Meters, 1961-2003</v>
      </c>
    </row>
    <row r="144" spans="1:1">
      <c r="A144" t="str">
        <f>'10C'!A1:Q1</f>
        <v>Table 10C: Timber Assets, Quebec and Ontario, Area in Thousands of Hectares, 1961-2003</v>
      </c>
    </row>
    <row r="146" spans="1:1">
      <c r="A146" s="223" t="s">
        <v>437</v>
      </c>
    </row>
    <row r="147" spans="1:1">
      <c r="A147" t="str">
        <f>'11A'!A1</f>
        <v>Table 11A: Marginal Effective Tax Rates, Quebec and Ontario, 1997-2013</v>
      </c>
    </row>
    <row r="149" spans="1:1">
      <c r="A149" s="223" t="s">
        <v>438</v>
      </c>
    </row>
    <row r="150" spans="1:1">
      <c r="A150" t="str">
        <f>'12A'!A1:D1</f>
        <v>Table 12A: Sawn Lumber Production, Thousands of Cubic Metres Dry, Quebec, 1946-2011</v>
      </c>
    </row>
    <row r="151" spans="1:1">
      <c r="A151" t="str">
        <f>'12B'!A1:D1</f>
        <v>Table 12B: Sawn Lumber Production, Thousands of Cubic Metres Dry, Ontario, 1946-2011</v>
      </c>
    </row>
    <row r="152" spans="1:1" s="259" customFormat="1"/>
    <row r="153" spans="1:1" s="259" customFormat="1">
      <c r="A153" s="223" t="s">
        <v>500</v>
      </c>
    </row>
    <row r="154" spans="1:1" s="259" customFormat="1">
      <c r="A154" s="259" t="str">
        <f>'13A-13H'!A1:G1</f>
        <v>Table 13A-13H: Unit Labour Costs in the Forest Products Sector, Quebec, 1997-2013</v>
      </c>
    </row>
    <row r="155" spans="1:1" s="259" customFormat="1">
      <c r="A155" s="259" t="str">
        <f>'14A-14H'!A1:G1</f>
        <v>Table 14A-14H: Unit Labour Costs in the Forest Products Sector, Ontario, 1997-2013</v>
      </c>
    </row>
    <row r="157" spans="1:1" s="223" customFormat="1">
      <c r="A157" s="223" t="s">
        <v>513</v>
      </c>
    </row>
    <row r="158" spans="1:1" s="259" customFormat="1">
      <c r="A158" s="259" t="str">
        <f>'15A'!A1:P1</f>
        <v>Table 15A: Interprovincial and International Exports and Imports, Quebec, Millions of Current Dollars, 2007-2011</v>
      </c>
    </row>
    <row r="159" spans="1:1" s="259" customFormat="1">
      <c r="A159" s="259" t="str">
        <f>'15B'!A1:P1</f>
        <v>Table 15B: Interprovincial and International Exports and Imports, Ontario, Millions of Current Dollars, 2007-2011</v>
      </c>
    </row>
    <row r="160" spans="1:1" s="259" customFormat="1"/>
    <row r="161" spans="1:1" s="259" customFormat="1">
      <c r="A161" s="223" t="s">
        <v>514</v>
      </c>
    </row>
    <row r="162" spans="1:1" s="259" customFormat="1">
      <c r="A162" s="259" t="str">
        <f>'16A'!A1:E1</f>
        <v>Table 16A: Canada-US Exchange Rate, 1997-2013</v>
      </c>
    </row>
    <row r="163" spans="1:1" s="259" customFormat="1"/>
    <row r="164" spans="1:1" s="259" customFormat="1">
      <c r="A164" s="223" t="s">
        <v>539</v>
      </c>
    </row>
    <row r="165" spans="1:1" s="259" customFormat="1">
      <c r="A165" s="259" t="str">
        <f>'17A'!A1:T1</f>
        <v>Multifactor Productivity</v>
      </c>
    </row>
    <row r="166" spans="1:1" s="429" customFormat="1">
      <c r="A166" s="429" t="str">
        <f>'17B'!A1:T1</f>
        <v>Table 17B: Growth Accounting, Ontario, 2000-2011</v>
      </c>
    </row>
    <row r="167" spans="1:1">
      <c r="A167" s="259"/>
    </row>
    <row r="168" spans="1:1" s="259" customFormat="1">
      <c r="A168" s="223" t="s">
        <v>428</v>
      </c>
    </row>
    <row r="169" spans="1:1">
      <c r="A169" t="str">
        <f>'Provincial Summary'!A1:AT1</f>
        <v>Summary of Canadian and Provincial Results for Real GDP, Hours Worked, Labour Productivity, Capital Stock and Capital Productivity</v>
      </c>
    </row>
    <row r="170" spans="1:1" s="259" customFormat="1">
      <c r="A170" s="223" t="s">
        <v>424</v>
      </c>
    </row>
    <row r="171" spans="1:1">
      <c r="A171" t="str">
        <f>'18A'!A1:U1</f>
        <v>Table 18A: Gross Domestic Product, Canada, Forest Products Sector, Millions of Dollars, 2007-2013</v>
      </c>
    </row>
    <row r="172" spans="1:1">
      <c r="A172" t="str">
        <f>'18B'!A1:U1</f>
        <v>Table 18B: Gross Domestic Product, Newfoundland and Labrador, Forest Products Sector, Millions of Dollars, 2007-2013</v>
      </c>
    </row>
    <row r="173" spans="1:1">
      <c r="A173" t="str">
        <f>'18C'!A1:U1</f>
        <v>Table 18C: Gross Domestic Product, Prince Edward Island, Forest Products Sector, Millions of Dollars, 2007-2013</v>
      </c>
    </row>
    <row r="174" spans="1:1">
      <c r="A174" t="str">
        <f>'18D'!A1:U1</f>
        <v>Table 18D: Gross Domestic Product, Nova Scotia, Forest Products Sector, Millions of Dollars, 2007-2013</v>
      </c>
    </row>
    <row r="175" spans="1:1">
      <c r="A175" t="str">
        <f>'18E'!A1:U1</f>
        <v>Table 18E: Gross Domestic Product, New Brunswick, Forest Products Sector, Millions of Dollars, 2007-2013</v>
      </c>
    </row>
    <row r="176" spans="1:1">
      <c r="A176" t="str">
        <f>'18F'!A1:U1</f>
        <v>Table 18F: Gross Domestic Product, Quebec, Forest Products Sector, Millions of Dollars, 2007-2013</v>
      </c>
    </row>
    <row r="177" spans="1:1">
      <c r="A177" t="str">
        <f>'18G'!A1:U1</f>
        <v>Table 18G: Gross Domestic Product, Ontario, Forest Products Sector, Millions of Dollars, 2007-2013</v>
      </c>
    </row>
    <row r="178" spans="1:1">
      <c r="A178" t="str">
        <f>'18H'!A1:U1</f>
        <v>Table 18H: Gross Domestic Product, Manitoba, Forest Products Sector, Millions of Dollars, 2007-2013</v>
      </c>
    </row>
    <row r="179" spans="1:1">
      <c r="A179" t="str">
        <f>'18I'!A1:U1</f>
        <v>Table 18I: Gross Domestic Product, Saskatchewan, Forest Products Sector, Millions of Dollars, 2007-2013</v>
      </c>
    </row>
    <row r="180" spans="1:1">
      <c r="A180" t="str">
        <f>'18J'!A1:U1</f>
        <v>Table 18J: Gross Domestic Product, Alberta, Forest Products Sector, Millions of Dollars, 2007-2013</v>
      </c>
    </row>
    <row r="181" spans="1:1" s="259" customFormat="1">
      <c r="A181" t="str">
        <f>'18K'!A1:U1</f>
        <v>Table 18K: Gross Domestic Product, British Columbia, Forest Products Sector, Millions of Dollars, 2007-2013</v>
      </c>
    </row>
    <row r="182" spans="1:1">
      <c r="A182" s="223" t="s">
        <v>425</v>
      </c>
    </row>
    <row r="183" spans="1:1">
      <c r="A183" t="str">
        <f>'19A'!A1:K1</f>
        <v>Table 19A: Hours Worked, Canada, Forest Products Sector, Thousands of Hours, 2007-2013</v>
      </c>
    </row>
    <row r="184" spans="1:1">
      <c r="A184" t="str">
        <f>'19B'!A1:K1</f>
        <v>Table 19B: Hours Worked, Newfoundland and Labrador, Forest Products Sector, Thousands of Hours, 2007-2013</v>
      </c>
    </row>
    <row r="185" spans="1:1">
      <c r="A185" t="str">
        <f>'19C'!A1:K1</f>
        <v>Table 19C: Hours Worked, Prince Edward Island, Forest Products Sector, Thousands of Hours, 2007-2013</v>
      </c>
    </row>
    <row r="186" spans="1:1">
      <c r="A186" t="str">
        <f>'19D'!A1:K1</f>
        <v>Table 19D: Hours Worked, Nova Scotia, Forest Products Sector, Thousands of Hours, 2007-2013</v>
      </c>
    </row>
    <row r="187" spans="1:1">
      <c r="A187" t="str">
        <f>'19E'!A1:K1</f>
        <v>Table 19E: Hours Worked, New Brunswick, Forest Products Sector, Thousands of Hours, 2007-2013</v>
      </c>
    </row>
    <row r="188" spans="1:1">
      <c r="A188" t="str">
        <f>'19F'!A1:K1</f>
        <v>Table 19F: Hours Worked, Quebec, Forest Products Sector, Thousands of Hours, 2007-2013</v>
      </c>
    </row>
    <row r="189" spans="1:1">
      <c r="A189" t="str">
        <f>'19G'!A1:K1</f>
        <v>Table 19G: Hours Worked, Ontario, Forest Products Sector, Thousands of Hours, 2007-2013</v>
      </c>
    </row>
    <row r="190" spans="1:1">
      <c r="A190" t="str">
        <f>'19H'!A1:K1</f>
        <v>Table 19H: Hours Worked, Manitoba, Forest Products Sector, Thousands of Hours, 2007-2013</v>
      </c>
    </row>
    <row r="191" spans="1:1">
      <c r="A191" t="str">
        <f>'19I'!A1:K1</f>
        <v>Table 19I: Hours Worked, Saskatchewan, Forest Products Sector, Thousands of Hours, 2007-2013</v>
      </c>
    </row>
    <row r="192" spans="1:1">
      <c r="A192" t="str">
        <f>'19J'!A1:K1</f>
        <v>Table 19J: Hours Worked, Alberta, Forest Products Sector, Thousands of Hours, 2007-2013</v>
      </c>
    </row>
    <row r="193" spans="1:1" s="259" customFormat="1">
      <c r="A193" t="str">
        <f>'19K'!A1:K1</f>
        <v>Table 19K: Hours Worked, British Columbia, Forest Products Sector, Thousands of Hours, 2007-2013</v>
      </c>
    </row>
    <row r="194" spans="1:1">
      <c r="A194" s="223" t="s">
        <v>426</v>
      </c>
    </row>
    <row r="195" spans="1:1">
      <c r="A195" t="str">
        <f>'20A'!A1:K1</f>
        <v>Table 20A: Labour Productivity, Canada, Forest Products Sector, Chained 2007 Dollars per Hour Worked, 2007-2013</v>
      </c>
    </row>
    <row r="196" spans="1:1">
      <c r="A196" t="str">
        <f>'20B'!A1:K1</f>
        <v>Table 20B: Labour Productivity, Newfoundland and Labrador, Forest Products Sector, Chained 2007 Dollars per Hour Worked, 2007-2013</v>
      </c>
    </row>
    <row r="197" spans="1:1">
      <c r="A197" t="str">
        <f>'20C'!A1:K1</f>
        <v>Table 20C: Labour Productivity, Prince Edward Island, Forest Products Sector, Chained 2007 Dollars per Hour Worked, 2007-2013</v>
      </c>
    </row>
    <row r="198" spans="1:1">
      <c r="A198" t="str">
        <f>'20D'!A1:K1</f>
        <v>Table 20D: Labour Productivity, Nova Scotia, Forest Products Sector, Chained 2007 Dollars per Hour Worked, 2007-2013</v>
      </c>
    </row>
    <row r="199" spans="1:1">
      <c r="A199" t="str">
        <f>'20E'!A1:K1</f>
        <v>Table 20E: Labour Productivity, New Brunswick, Forest Products Sector, Chained 2007 Dollars per Hour Worked, 2007-2013</v>
      </c>
    </row>
    <row r="200" spans="1:1">
      <c r="A200" t="str">
        <f>'20F'!A1:K1</f>
        <v>Table 20F: Labour Productivity, Quebec, Forest Products Sector, Chained 2007 Dollars per Hour Worked, 2007-2013</v>
      </c>
    </row>
    <row r="201" spans="1:1">
      <c r="A201" t="str">
        <f>'20G'!A1:K1</f>
        <v>Table 20G: Labour Productivity, Ontario, Forest Products Sector, Chained 2007 Dollars per Hour Worked, 2007-2013</v>
      </c>
    </row>
    <row r="202" spans="1:1">
      <c r="A202" t="str">
        <f>'20H'!A1:K1</f>
        <v>Table 20H: Labour Productivity, Manitoba, Forest Products Sector, Chained 2007 Dollars per Hour Worked, 2007-2013</v>
      </c>
    </row>
    <row r="203" spans="1:1">
      <c r="A203" t="str">
        <f>'20I'!A1:K1</f>
        <v>Table 20I: Labour Productivity, Saskatchewan, Forest Products Sector, Chained 2007 Dollars per Hour Worked, 2007-2013</v>
      </c>
    </row>
    <row r="204" spans="1:1">
      <c r="A204" t="str">
        <f>'20J'!A1:K1</f>
        <v>Table 20J: Labour Productivity, Alberta, Forest Products Sector, Chained 2007 Dollars per Hour Worked, 2007-2013</v>
      </c>
    </row>
    <row r="205" spans="1:1" s="259" customFormat="1">
      <c r="A205" t="str">
        <f>'20K'!A1:K1</f>
        <v>Table 20K: Labour Productivity, British Columbia, Forest Products Sector, Chained 2007 Dollars per Hour Worked, 2007-2013</v>
      </c>
    </row>
    <row r="206" spans="1:1">
      <c r="A206" s="223" t="s">
        <v>427</v>
      </c>
    </row>
    <row r="207" spans="1:1">
      <c r="A207" t="str">
        <f>'21A'!A1:I1</f>
        <v>Table 21A: Capital Stock and Capital Productivity, Canada, Forest Products Sector, 2007-2013</v>
      </c>
    </row>
    <row r="208" spans="1:1">
      <c r="A208" t="str">
        <f>'21B'!A1:I1</f>
        <v>Table 21B: Capital Stock and Capital Productivity, Newfoundland and Labrador, Forest Products Sector, 2007-2013</v>
      </c>
    </row>
    <row r="209" spans="1:1">
      <c r="A209" t="str">
        <f>'21C'!A1:I1</f>
        <v>Table 21C: Capital Stock and Capital Productivity, Prince Edward Island, Forest Products Sector, 2007-2013</v>
      </c>
    </row>
    <row r="210" spans="1:1">
      <c r="A210" t="str">
        <f>'21D'!A1:I1</f>
        <v>Table 21D: Capital Stock and Capital Productivity, Nova Scotia, Forest Products Sector, 2007-2013</v>
      </c>
    </row>
    <row r="211" spans="1:1">
      <c r="A211" t="str">
        <f>'21E'!A1:I1</f>
        <v>Table 21E: Capital Stock and Capital Productivity, New Brunswick, Forest Products Sector, 2007-2013</v>
      </c>
    </row>
    <row r="212" spans="1:1">
      <c r="A212" t="str">
        <f>'21F'!A1:I1</f>
        <v>Table 21F: Capital Stock and Capital Productivity, Quebec, Forest Products Sector, 2007-2013</v>
      </c>
    </row>
    <row r="213" spans="1:1">
      <c r="A213" t="str">
        <f>'21G'!A1:I1</f>
        <v>Table 21G: Capital Stock and Capital Productivity, Ontario, Forest Products Sector, 2007-2013</v>
      </c>
    </row>
    <row r="214" spans="1:1">
      <c r="A214" t="str">
        <f>'21H'!A1:I1</f>
        <v>Table 21H: Capital Stock and Capital Productivity, Manitoba, Forest Products Sector, 2007-2013</v>
      </c>
    </row>
    <row r="215" spans="1:1">
      <c r="A215" t="str">
        <f>'21I'!A1:I1</f>
        <v>Table 21I: Capital Stock and Capital Productivity, Saskatchewan, Forest Products Sector, 2007-2013</v>
      </c>
    </row>
    <row r="216" spans="1:1">
      <c r="A216" t="str">
        <f>'21J'!A1:I1</f>
        <v>Table 21J: Capital Stock and Capital Productivity, Alberta, Forest Products Sector, 2007-2013</v>
      </c>
    </row>
    <row r="217" spans="1:1">
      <c r="A217" t="str">
        <f>'21K'!A1:I1</f>
        <v>Table 21K: Capital Stock and Capital Productivity, British Columbia, Forest Products Sector, 2007-2013</v>
      </c>
    </row>
    <row r="219" spans="1:1">
      <c r="A219" s="223" t="s">
        <v>484</v>
      </c>
    </row>
    <row r="220" spans="1:1">
      <c r="A220" t="str">
        <f>'22A-22G'!A1:Y1</f>
        <v>Table 22A-22G: Unit Labour Costs in the Forest Products Sector, Canada, Quebec, Ontario and British Columbia, 1997-2013</v>
      </c>
    </row>
    <row r="222" spans="1:1">
      <c r="A222" s="223" t="s">
        <v>516</v>
      </c>
    </row>
    <row r="223" spans="1:1">
      <c r="A223" t="str">
        <f>'23A'!A1:P1</f>
        <v>Table 23A: International Exports and Imports, Canada, Quebec, Ontario and British Columbia, Millions of Current Dollars, 2007-2011</v>
      </c>
    </row>
    <row r="224" spans="1:1">
      <c r="A224" t="str">
        <f>'23B'!A1:P1</f>
        <v>Table 23B: Interprovincial Exports and Imports, Canada, Quebec, Ontario and British Columbia, Millions of Current Dollars, 2007-2011</v>
      </c>
    </row>
  </sheetData>
  <pageMargins left="0.70866141732283472" right="0.70866141732283472" top="0.74803149606299213" bottom="0.74803149606299213" header="0.31496062992125984" footer="0.31496062992125984"/>
  <pageSetup scale="53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47"/>
  <sheetViews>
    <sheetView view="pageBreakPreview" topLeftCell="A7" zoomScaleNormal="100" zoomScaleSheetLayoutView="100" workbookViewId="0">
      <selection activeCell="E28" sqref="E28"/>
    </sheetView>
  </sheetViews>
  <sheetFormatPr defaultRowHeight="15"/>
  <cols>
    <col min="1" max="1" width="10.5703125" style="239" customWidth="1"/>
    <col min="2" max="10" width="9.140625" style="239" customWidth="1"/>
    <col min="11" max="12" width="9.140625" style="239"/>
    <col min="13" max="19" width="9.28515625" style="239" hidden="1" customWidth="1"/>
    <col min="20" max="35" width="0" style="239" hidden="1" customWidth="1"/>
    <col min="36" max="16384" width="9.140625" style="239"/>
  </cols>
  <sheetData>
    <row r="1" spans="1:36">
      <c r="A1" s="454" t="s">
        <v>342</v>
      </c>
      <c r="B1" s="454"/>
      <c r="C1" s="454"/>
      <c r="D1" s="454"/>
      <c r="E1" s="454"/>
      <c r="F1" s="454"/>
      <c r="G1" s="454"/>
      <c r="H1" s="454"/>
      <c r="I1" s="454"/>
      <c r="J1" s="45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>
      <c r="A2" s="182"/>
      <c r="B2" s="454" t="s">
        <v>341</v>
      </c>
      <c r="C2" s="454"/>
      <c r="D2" s="454"/>
      <c r="E2" s="454"/>
      <c r="F2" s="454"/>
      <c r="G2" s="454"/>
      <c r="H2" s="454"/>
      <c r="I2" s="454"/>
      <c r="J2" s="45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35">
      <c r="A3" s="182"/>
      <c r="B3" s="182" t="s">
        <v>8</v>
      </c>
      <c r="C3" s="182" t="s">
        <v>3</v>
      </c>
      <c r="D3" s="182" t="s">
        <v>4</v>
      </c>
      <c r="E3" s="182" t="s">
        <v>36</v>
      </c>
      <c r="F3" s="182" t="s">
        <v>37</v>
      </c>
      <c r="G3" s="182" t="s">
        <v>38</v>
      </c>
      <c r="H3" s="182" t="s">
        <v>5</v>
      </c>
      <c r="I3" s="182" t="s">
        <v>6</v>
      </c>
      <c r="J3" s="182" t="s">
        <v>7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>
      <c r="A4" s="182"/>
      <c r="B4" s="9"/>
      <c r="C4" s="9"/>
      <c r="D4" s="9"/>
      <c r="E4" s="9"/>
      <c r="F4" s="9"/>
      <c r="G4" s="9"/>
      <c r="H4" s="9"/>
      <c r="I4" s="9"/>
      <c r="J4" s="9"/>
      <c r="M4" s="2" t="s">
        <v>24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>
      <c r="A5" s="182">
        <v>1984</v>
      </c>
      <c r="B5" s="11">
        <f>'1A'!C5/'1A'!$C5*100</f>
        <v>100</v>
      </c>
      <c r="C5" s="11">
        <f>'1A'!D5/'1A'!$C5*100</f>
        <v>14.249736441372848</v>
      </c>
      <c r="D5" s="11">
        <f>'1A'!E5/'1A'!$C5*100</f>
        <v>23.819843036195383</v>
      </c>
      <c r="E5" s="11" t="s">
        <v>9</v>
      </c>
      <c r="F5" s="11" t="s">
        <v>9</v>
      </c>
      <c r="G5" s="11" t="s">
        <v>9</v>
      </c>
      <c r="H5" s="11">
        <f>'1A'!I5/'1A'!$C5*100</f>
        <v>61.930420522431774</v>
      </c>
      <c r="I5" s="11">
        <f>'1A'!J5/'1A'!$C5*100</f>
        <v>52.518449103900664</v>
      </c>
      <c r="J5" s="11">
        <f>'1A'!K5/'1A'!$C5*100</f>
        <v>9.411971418531099</v>
      </c>
      <c r="K5" s="251"/>
      <c r="M5" s="2" t="s">
        <v>2</v>
      </c>
      <c r="N5" s="2" t="s">
        <v>8</v>
      </c>
      <c r="O5" s="2" t="s">
        <v>3</v>
      </c>
      <c r="P5" s="2" t="s">
        <v>4</v>
      </c>
      <c r="Q5" s="2" t="s">
        <v>5</v>
      </c>
      <c r="R5" s="2" t="s">
        <v>6</v>
      </c>
      <c r="S5" s="2" t="s">
        <v>7</v>
      </c>
      <c r="T5" s="2"/>
      <c r="U5" s="2" t="s">
        <v>26</v>
      </c>
      <c r="V5" s="2" t="s">
        <v>2</v>
      </c>
      <c r="W5" s="2" t="s">
        <v>23</v>
      </c>
      <c r="X5" s="2" t="s">
        <v>3</v>
      </c>
      <c r="Y5" s="2" t="s">
        <v>4</v>
      </c>
      <c r="Z5" s="2" t="s">
        <v>5</v>
      </c>
      <c r="AA5" s="2" t="s">
        <v>6</v>
      </c>
      <c r="AB5" s="2" t="s">
        <v>7</v>
      </c>
      <c r="AC5" s="2"/>
      <c r="AD5" s="2"/>
      <c r="AE5" s="2"/>
      <c r="AF5" s="2"/>
      <c r="AG5" s="2"/>
      <c r="AH5" s="2"/>
      <c r="AI5" s="2"/>
      <c r="AJ5" s="2"/>
    </row>
    <row r="6" spans="1:36">
      <c r="A6" s="182">
        <v>1985</v>
      </c>
      <c r="B6" s="11">
        <f>'1A'!C6/'1A'!$C6*100</f>
        <v>100</v>
      </c>
      <c r="C6" s="11">
        <f>'1A'!D6/'1A'!$C6*100</f>
        <v>14.10497757599247</v>
      </c>
      <c r="D6" s="11">
        <f>'1A'!E6/'1A'!$C6*100</f>
        <v>23.221305575549529</v>
      </c>
      <c r="E6" s="11" t="s">
        <v>9</v>
      </c>
      <c r="F6" s="11" t="s">
        <v>9</v>
      </c>
      <c r="G6" s="11" t="s">
        <v>9</v>
      </c>
      <c r="H6" s="11">
        <f>'1A'!I6/'1A'!$C6*100</f>
        <v>62.673716848458007</v>
      </c>
      <c r="I6" s="11">
        <f>'1A'!J6/'1A'!$C6*100</f>
        <v>52.438956868390463</v>
      </c>
      <c r="J6" s="11">
        <f>'1A'!K6/'1A'!$C6*100</f>
        <v>10.234759980067549</v>
      </c>
      <c r="K6" s="251"/>
      <c r="M6" s="2" t="e">
        <f>((#REF!/#REF!)-1)*100</f>
        <v>#REF!</v>
      </c>
      <c r="N6" s="2" t="e">
        <f>((#REF!/#REF!)-1)*100</f>
        <v>#REF!</v>
      </c>
      <c r="O6" s="2" t="e">
        <f>((#REF!/#REF!)-1)*100</f>
        <v>#REF!</v>
      </c>
      <c r="P6" s="2" t="e">
        <f>((#REF!/#REF!)-1)*100</f>
        <v>#REF!</v>
      </c>
      <c r="Q6" s="2" t="e">
        <f>((#REF!/#REF!)-1)*100</f>
        <v>#REF!</v>
      </c>
      <c r="R6" s="2" t="e">
        <f>((#REF!/#REF!)-1)*100</f>
        <v>#REF!</v>
      </c>
      <c r="S6" s="2" t="e">
        <f>((#REF!/#REF!)-1)*100</f>
        <v>#REF!</v>
      </c>
      <c r="T6" s="2"/>
      <c r="U6" s="2" t="s">
        <v>21</v>
      </c>
      <c r="V6" s="2" t="e">
        <f>((#REF!/#REF!)^(1/8)-1)*100</f>
        <v>#REF!</v>
      </c>
      <c r="W6" s="2" t="e">
        <f>((#REF!/#REF!)^(1/8)-1)*100</f>
        <v>#REF!</v>
      </c>
      <c r="X6" s="2" t="e">
        <f>((#REF!/#REF!)^(1/8)-1)*100</f>
        <v>#REF!</v>
      </c>
      <c r="Y6" s="2" t="e">
        <f>((#REF!/#REF!)^(1/8)-1)*100</f>
        <v>#REF!</v>
      </c>
      <c r="Z6" s="2" t="e">
        <f>((#REF!/#REF!)^(1/8)-1)*100</f>
        <v>#REF!</v>
      </c>
      <c r="AA6" s="2" t="e">
        <f>((#REF!/#REF!)^(1/8)-1)*100</f>
        <v>#REF!</v>
      </c>
      <c r="AB6" s="2" t="e">
        <f>((#REF!/#REF!)^(1/8)-1)*100</f>
        <v>#REF!</v>
      </c>
      <c r="AC6" s="2"/>
      <c r="AD6" s="2"/>
      <c r="AE6" s="2"/>
      <c r="AF6" s="2"/>
      <c r="AG6" s="2"/>
      <c r="AH6" s="2"/>
      <c r="AI6" s="2"/>
      <c r="AJ6" s="2"/>
    </row>
    <row r="7" spans="1:36">
      <c r="A7" s="182">
        <v>1986</v>
      </c>
      <c r="B7" s="11">
        <f>'1A'!C7/'1A'!$C7*100</f>
        <v>100</v>
      </c>
      <c r="C7" s="11">
        <f>'1A'!D7/'1A'!$C7*100</f>
        <v>13.022998060404545</v>
      </c>
      <c r="D7" s="11">
        <f>'1A'!E7/'1A'!$C7*100</f>
        <v>23.448953374140405</v>
      </c>
      <c r="E7" s="11" t="s">
        <v>9</v>
      </c>
      <c r="F7" s="11" t="s">
        <v>9</v>
      </c>
      <c r="G7" s="11" t="s">
        <v>9</v>
      </c>
      <c r="H7" s="11">
        <f>'1A'!I7/'1A'!$C7*100</f>
        <v>63.528048565455052</v>
      </c>
      <c r="I7" s="11">
        <f>'1A'!J7/'1A'!$C7*100</f>
        <v>54.66636439205017</v>
      </c>
      <c r="J7" s="11">
        <f>'1A'!K7/'1A'!$C7*100</f>
        <v>8.8616841734048712</v>
      </c>
      <c r="K7" s="251"/>
      <c r="M7" s="2" t="e">
        <f>((#REF!/#REF!)-1)*100</f>
        <v>#REF!</v>
      </c>
      <c r="N7" s="2" t="e">
        <f>((#REF!/#REF!)-1)*100</f>
        <v>#REF!</v>
      </c>
      <c r="O7" s="2" t="e">
        <f>((#REF!/#REF!)-1)*100</f>
        <v>#REF!</v>
      </c>
      <c r="P7" s="2" t="e">
        <f>((#REF!/#REF!)-1)*100</f>
        <v>#REF!</v>
      </c>
      <c r="Q7" s="2" t="e">
        <f>((#REF!/#REF!)-1)*100</f>
        <v>#REF!</v>
      </c>
      <c r="R7" s="2" t="e">
        <f>((#REF!/#REF!)-1)*100</f>
        <v>#REF!</v>
      </c>
      <c r="S7" s="2" t="e">
        <f>((#REF!/#REF!)-1)*100</f>
        <v>#REF!</v>
      </c>
      <c r="T7" s="2"/>
      <c r="U7" s="2" t="s">
        <v>22</v>
      </c>
      <c r="V7" s="2" t="e">
        <f>((#REF!/#REF!)^(1/5)-1)*100</f>
        <v>#REF!</v>
      </c>
      <c r="W7" s="2" t="e">
        <f>((#REF!/#REF!)^(1/5)-1)*100</f>
        <v>#REF!</v>
      </c>
      <c r="X7" s="2" t="e">
        <f>((#REF!/#REF!)^(1/5)-1)*100</f>
        <v>#REF!</v>
      </c>
      <c r="Y7" s="2" t="e">
        <f>((#REF!/#REF!)^(1/5)-1)*100</f>
        <v>#REF!</v>
      </c>
      <c r="Z7" s="2" t="e">
        <f>((#REF!/#REF!)^(1/5)-1)*100</f>
        <v>#REF!</v>
      </c>
      <c r="AA7" s="2" t="e">
        <f>((#REF!/#REF!)^(1/5)-1)*100</f>
        <v>#REF!</v>
      </c>
      <c r="AB7" s="2" t="e">
        <f>((#REF!/#REF!)^(1/5)-1)*100</f>
        <v>#REF!</v>
      </c>
      <c r="AC7" s="2"/>
      <c r="AD7" s="2"/>
      <c r="AE7" s="2"/>
      <c r="AF7" s="2"/>
      <c r="AG7" s="2"/>
      <c r="AH7" s="2"/>
      <c r="AI7" s="2"/>
      <c r="AJ7" s="2"/>
    </row>
    <row r="8" spans="1:36">
      <c r="A8" s="182">
        <v>1987</v>
      </c>
      <c r="B8" s="11">
        <f>'1A'!C8/'1A'!$C8*100</f>
        <v>100</v>
      </c>
      <c r="C8" s="11">
        <f>'1A'!D8/'1A'!$C8*100</f>
        <v>15.040802410751599</v>
      </c>
      <c r="D8" s="11">
        <f>'1A'!E8/'1A'!$C8*100</f>
        <v>23.929349141059763</v>
      </c>
      <c r="E8" s="11" t="s">
        <v>9</v>
      </c>
      <c r="F8" s="11" t="s">
        <v>9</v>
      </c>
      <c r="G8" s="11" t="s">
        <v>9</v>
      </c>
      <c r="H8" s="11">
        <f>'1A'!I8/'1A'!$C8*100</f>
        <v>61.029848448188638</v>
      </c>
      <c r="I8" s="11">
        <f>'1A'!J8/'1A'!$C8*100</f>
        <v>52.36785957811847</v>
      </c>
      <c r="J8" s="11">
        <f>'1A'!K8/'1A'!$C8*100</f>
        <v>8.6619888700701662</v>
      </c>
      <c r="K8" s="251"/>
      <c r="M8" s="2" t="e">
        <f>((#REF!/#REF!)-1)*100</f>
        <v>#REF!</v>
      </c>
      <c r="N8" s="2" t="e">
        <f>((#REF!/#REF!)-1)*100</f>
        <v>#REF!</v>
      </c>
      <c r="O8" s="2" t="e">
        <f>((#REF!/#REF!)-1)*100</f>
        <v>#REF!</v>
      </c>
      <c r="P8" s="2" t="e">
        <f>((#REF!/#REF!)-1)*100</f>
        <v>#REF!</v>
      </c>
      <c r="Q8" s="2" t="e">
        <f>((#REF!/#REF!)-1)*100</f>
        <v>#REF!</v>
      </c>
      <c r="R8" s="2" t="e">
        <f>((#REF!/#REF!)-1)*100</f>
        <v>#REF!</v>
      </c>
      <c r="S8" s="2" t="e">
        <f>((#REF!/#REF!)-1)*100</f>
        <v>#REF!</v>
      </c>
      <c r="T8" s="2"/>
      <c r="U8" s="2" t="s">
        <v>15</v>
      </c>
      <c r="V8" s="2" t="e">
        <f>((#REF!/#REF!)^(1/13)-1)*100</f>
        <v>#REF!</v>
      </c>
      <c r="W8" s="2" t="e">
        <f>((#REF!/#REF!)^(1/13)-1)*100</f>
        <v>#REF!</v>
      </c>
      <c r="X8" s="2" t="e">
        <f>((#REF!/#REF!)^(1/13)-1)*100</f>
        <v>#REF!</v>
      </c>
      <c r="Y8" s="2" t="e">
        <f>((#REF!/#REF!)^(1/13)-1)*100</f>
        <v>#REF!</v>
      </c>
      <c r="Z8" s="2" t="e">
        <f>((#REF!/#REF!)^(1/13)-1)*100</f>
        <v>#REF!</v>
      </c>
      <c r="AA8" s="2" t="e">
        <f>((#REF!/#REF!)^(1/13)-1)*100</f>
        <v>#REF!</v>
      </c>
      <c r="AB8" s="2" t="e">
        <f>((#REF!/#REF!)^(1/13)-1)*100</f>
        <v>#REF!</v>
      </c>
      <c r="AC8" s="2"/>
      <c r="AD8" s="2"/>
      <c r="AE8" s="2"/>
      <c r="AF8" s="2"/>
      <c r="AG8" s="2"/>
      <c r="AH8" s="2"/>
      <c r="AI8" s="2"/>
      <c r="AJ8" s="2"/>
    </row>
    <row r="9" spans="1:36">
      <c r="A9" s="182">
        <v>1988</v>
      </c>
      <c r="B9" s="11">
        <f>'1A'!C9/'1A'!$C9*100</f>
        <v>100</v>
      </c>
      <c r="C9" s="11">
        <f>'1A'!D9/'1A'!$C9*100</f>
        <v>15.460612011783331</v>
      </c>
      <c r="D9" s="11">
        <f>'1A'!E9/'1A'!$C9*100</f>
        <v>22.472495541171519</v>
      </c>
      <c r="E9" s="11" t="s">
        <v>9</v>
      </c>
      <c r="F9" s="11" t="s">
        <v>9</v>
      </c>
      <c r="G9" s="11" t="s">
        <v>9</v>
      </c>
      <c r="H9" s="11">
        <f>'1A'!I9/'1A'!$C9*100</f>
        <v>62.066892447045142</v>
      </c>
      <c r="I9" s="11">
        <f>'1A'!J9/'1A'!$C9*100</f>
        <v>53.576080639666536</v>
      </c>
      <c r="J9" s="11">
        <f>'1A'!K9/'1A'!$C9*100</f>
        <v>8.4908118073786092</v>
      </c>
      <c r="K9" s="251"/>
      <c r="M9" s="2" t="e">
        <f>((#REF!/#REF!)-1)*100</f>
        <v>#REF!</v>
      </c>
      <c r="N9" s="2" t="e">
        <f>((#REF!/#REF!)-1)*100</f>
        <v>#REF!</v>
      </c>
      <c r="O9" s="2" t="e">
        <f>((#REF!/#REF!)-1)*100</f>
        <v>#REF!</v>
      </c>
      <c r="P9" s="2" t="e">
        <f>((#REF!/#REF!)-1)*100</f>
        <v>#REF!</v>
      </c>
      <c r="Q9" s="2" t="e">
        <f>((#REF!/#REF!)-1)*100</f>
        <v>#REF!</v>
      </c>
      <c r="R9" s="2" t="e">
        <f>((#REF!/#REF!)-1)*100</f>
        <v>#REF!</v>
      </c>
      <c r="S9" s="2" t="e">
        <f>((#REF!/#REF!)-1)*100</f>
        <v>#REF!</v>
      </c>
      <c r="T9" s="2"/>
      <c r="U9" s="2" t="s">
        <v>29</v>
      </c>
      <c r="V9" s="2" t="e">
        <f>((#REF!/#REF!)^(1/16)-1)*100</f>
        <v>#REF!</v>
      </c>
      <c r="W9" s="2" t="e">
        <f>((#REF!/#REF!)^(1/16)-1)*100</f>
        <v>#REF!</v>
      </c>
      <c r="X9" s="2" t="e">
        <f>((#REF!/#REF!)^(1/16)-1)*100</f>
        <v>#REF!</v>
      </c>
      <c r="Y9" s="2" t="e">
        <f>((#REF!/#REF!)^(1/16)-1)*100</f>
        <v>#REF!</v>
      </c>
      <c r="Z9" s="2" t="e">
        <f>((#REF!/#REF!)^(1/16)-1)*100</f>
        <v>#REF!</v>
      </c>
      <c r="AA9" s="2" t="e">
        <f>((#REF!/#REF!)^(1/16)-1)*100</f>
        <v>#REF!</v>
      </c>
      <c r="AB9" s="2" t="e">
        <f>((#REF!/#REF!)^(1/16)-1)*100</f>
        <v>#REF!</v>
      </c>
      <c r="AC9" s="2"/>
      <c r="AD9" s="2"/>
      <c r="AE9" s="2"/>
      <c r="AF9" s="2"/>
      <c r="AG9" s="2"/>
      <c r="AH9" s="2"/>
      <c r="AI9" s="2"/>
      <c r="AJ9" s="2"/>
    </row>
    <row r="10" spans="1:36">
      <c r="A10" s="182">
        <v>1989</v>
      </c>
      <c r="B10" s="11">
        <f>'1A'!C10/'1A'!$C10*100</f>
        <v>100</v>
      </c>
      <c r="C10" s="11">
        <f>'1A'!D10/'1A'!$C10*100</f>
        <v>18.309286295329024</v>
      </c>
      <c r="D10" s="11">
        <f>'1A'!E10/'1A'!$C10*100</f>
        <v>22.819711435543947</v>
      </c>
      <c r="E10" s="11" t="s">
        <v>9</v>
      </c>
      <c r="F10" s="11" t="s">
        <v>9</v>
      </c>
      <c r="G10" s="11" t="s">
        <v>9</v>
      </c>
      <c r="H10" s="11">
        <f>'1A'!I10/'1A'!$C10*100</f>
        <v>58.871002269127025</v>
      </c>
      <c r="I10" s="11">
        <f>'1A'!J10/'1A'!$C10*100</f>
        <v>48.704885045168474</v>
      </c>
      <c r="J10" s="11">
        <f>'1A'!K10/'1A'!$C10*100</f>
        <v>10.166117223958556</v>
      </c>
      <c r="K10" s="251"/>
      <c r="M10" s="2" t="e">
        <f>((#REF!/#REF!)-1)*100</f>
        <v>#REF!</v>
      </c>
      <c r="N10" s="2" t="e">
        <f>((#REF!/#REF!)-1)*100</f>
        <v>#REF!</v>
      </c>
      <c r="O10" s="2" t="e">
        <f>((#REF!/#REF!)-1)*100</f>
        <v>#REF!</v>
      </c>
      <c r="P10" s="2" t="e">
        <f>((#REF!/#REF!)-1)*100</f>
        <v>#REF!</v>
      </c>
      <c r="Q10" s="2" t="e">
        <f>((#REF!/#REF!)-1)*100</f>
        <v>#REF!</v>
      </c>
      <c r="R10" s="2" t="e">
        <f>((#REF!/#REF!)-1)*100</f>
        <v>#REF!</v>
      </c>
      <c r="S10" s="2" t="e">
        <f>((#REF!/#REF!)-1)*100</f>
        <v>#REF!</v>
      </c>
      <c r="T10" s="2"/>
      <c r="U10" s="2" t="s">
        <v>15</v>
      </c>
      <c r="V10" s="2" t="e">
        <f t="shared" ref="V10:AB10" si="0">V8</f>
        <v>#REF!</v>
      </c>
      <c r="W10" s="2" t="e">
        <f t="shared" si="0"/>
        <v>#REF!</v>
      </c>
      <c r="X10" s="2" t="e">
        <f t="shared" si="0"/>
        <v>#REF!</v>
      </c>
      <c r="Y10" s="2" t="e">
        <f t="shared" si="0"/>
        <v>#REF!</v>
      </c>
      <c r="Z10" s="2" t="e">
        <f t="shared" si="0"/>
        <v>#REF!</v>
      </c>
      <c r="AA10" s="2" t="e">
        <f t="shared" si="0"/>
        <v>#REF!</v>
      </c>
      <c r="AB10" s="2" t="e">
        <f t="shared" si="0"/>
        <v>#REF!</v>
      </c>
      <c r="AC10" s="2"/>
      <c r="AD10" s="2"/>
      <c r="AE10" s="2"/>
      <c r="AF10" s="2"/>
      <c r="AG10" s="2"/>
      <c r="AH10" s="2"/>
      <c r="AI10" s="2"/>
      <c r="AJ10" s="2"/>
    </row>
    <row r="11" spans="1:36">
      <c r="A11" s="182">
        <v>1990</v>
      </c>
      <c r="B11" s="11">
        <f>'1A'!C11/'1A'!$C11*100</f>
        <v>100</v>
      </c>
      <c r="C11" s="11">
        <f>'1A'!D11/'1A'!$C11*100</f>
        <v>17.352453700367512</v>
      </c>
      <c r="D11" s="11">
        <f>'1A'!E11/'1A'!$C11*100</f>
        <v>23.230285124066199</v>
      </c>
      <c r="E11" s="11" t="s">
        <v>9</v>
      </c>
      <c r="F11" s="11" t="s">
        <v>9</v>
      </c>
      <c r="G11" s="11" t="s">
        <v>9</v>
      </c>
      <c r="H11" s="11">
        <f>'1A'!I11/'1A'!$C11*100</f>
        <v>59.417261175566281</v>
      </c>
      <c r="I11" s="11">
        <f>'1A'!J11/'1A'!$C11*100</f>
        <v>48.372606951550523</v>
      </c>
      <c r="J11" s="11">
        <f>'1A'!K11/'1A'!$C11*100</f>
        <v>11.044654224015757</v>
      </c>
      <c r="K11" s="251"/>
      <c r="M11" s="2" t="e">
        <f>((#REF!/#REF!)-1)*100</f>
        <v>#REF!</v>
      </c>
      <c r="N11" s="2" t="e">
        <f>((#REF!/#REF!)-1)*100</f>
        <v>#REF!</v>
      </c>
      <c r="O11" s="2" t="e">
        <f>((#REF!/#REF!)-1)*100</f>
        <v>#REF!</v>
      </c>
      <c r="P11" s="2" t="e">
        <f>((#REF!/#REF!)-1)*100</f>
        <v>#REF!</v>
      </c>
      <c r="Q11" s="2" t="e">
        <f>((#REF!/#REF!)-1)*100</f>
        <v>#REF!</v>
      </c>
      <c r="R11" s="2" t="e">
        <f>((#REF!/#REF!)-1)*100</f>
        <v>#REF!</v>
      </c>
      <c r="S11" s="2" t="e">
        <f>((#REF!/#REF!)-1)*100</f>
        <v>#REF!</v>
      </c>
      <c r="T11" s="2"/>
      <c r="U11" s="2" t="s">
        <v>12</v>
      </c>
      <c r="V11" s="2" t="e">
        <f>((#REF!/#REF!)^(1/29)-1)*100</f>
        <v>#REF!</v>
      </c>
      <c r="W11" s="2" t="e">
        <f>((#REF!/#REF!)^(1/29)-1)*100</f>
        <v>#REF!</v>
      </c>
      <c r="X11" s="2" t="e">
        <f>((#REF!/#REF!)^(1/29)-1)*100</f>
        <v>#REF!</v>
      </c>
      <c r="Y11" s="2" t="e">
        <f>((#REF!/#REF!)^(1/29)-1)*100</f>
        <v>#REF!</v>
      </c>
      <c r="Z11" s="2" t="e">
        <f>((#REF!/#REF!)^(1/29)-1)*100</f>
        <v>#REF!</v>
      </c>
      <c r="AA11" s="2" t="e">
        <f>((#REF!/#REF!)^(1/29)-1)*100</f>
        <v>#REF!</v>
      </c>
      <c r="AB11" s="2" t="e">
        <f>((#REF!/#REF!)^(1/29)-1)*100</f>
        <v>#REF!</v>
      </c>
      <c r="AC11" s="2"/>
      <c r="AD11" s="2"/>
      <c r="AE11" s="2"/>
      <c r="AF11" s="2"/>
      <c r="AG11" s="2"/>
      <c r="AH11" s="2"/>
      <c r="AI11" s="2"/>
      <c r="AJ11" s="2"/>
    </row>
    <row r="12" spans="1:36">
      <c r="A12" s="182">
        <v>1991</v>
      </c>
      <c r="B12" s="11">
        <f>'1A'!C12/'1A'!$C12*100</f>
        <v>100</v>
      </c>
      <c r="C12" s="11">
        <f>'1A'!D12/'1A'!$C12*100</f>
        <v>16.520057230671402</v>
      </c>
      <c r="D12" s="11">
        <f>'1A'!E12/'1A'!$C12*100</f>
        <v>24.164061258014947</v>
      </c>
      <c r="E12" s="11" t="s">
        <v>9</v>
      </c>
      <c r="F12" s="11" t="s">
        <v>9</v>
      </c>
      <c r="G12" s="11" t="s">
        <v>9</v>
      </c>
      <c r="H12" s="11">
        <f>'1A'!I12/'1A'!$C12*100</f>
        <v>59.315881511313648</v>
      </c>
      <c r="I12" s="11">
        <f>'1A'!J12/'1A'!$C12*100</f>
        <v>45.156589475915425</v>
      </c>
      <c r="J12" s="11">
        <f>'1A'!K12/'1A'!$C12*100</f>
        <v>14.159292035398231</v>
      </c>
      <c r="K12" s="251"/>
      <c r="M12" s="2" t="e">
        <f>((#REF!/#REF!)-1)*100</f>
        <v>#REF!</v>
      </c>
      <c r="N12" s="2" t="e">
        <f>((#REF!/#REF!)-1)*100</f>
        <v>#REF!</v>
      </c>
      <c r="O12" s="2" t="e">
        <f>((#REF!/#REF!)-1)*100</f>
        <v>#REF!</v>
      </c>
      <c r="P12" s="2" t="e">
        <f>((#REF!/#REF!)-1)*100</f>
        <v>#REF!</v>
      </c>
      <c r="Q12" s="2" t="e">
        <f>((#REF!/#REF!)-1)*100</f>
        <v>#REF!</v>
      </c>
      <c r="R12" s="2" t="e">
        <f>((#REF!/#REF!)-1)*100</f>
        <v>#REF!</v>
      </c>
      <c r="S12" s="2" t="e">
        <f>((#REF!/#REF!)-1)*100</f>
        <v>#REF!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>
      <c r="A13" s="182">
        <v>1992</v>
      </c>
      <c r="B13" s="11" t="s">
        <v>9</v>
      </c>
      <c r="C13" s="11" t="s">
        <v>9</v>
      </c>
      <c r="D13" s="11" t="s">
        <v>9</v>
      </c>
      <c r="E13" s="11" t="s">
        <v>9</v>
      </c>
      <c r="F13" s="11" t="s">
        <v>9</v>
      </c>
      <c r="G13" s="11" t="s">
        <v>9</v>
      </c>
      <c r="H13" s="11" t="s">
        <v>9</v>
      </c>
      <c r="I13" s="11" t="s">
        <v>9</v>
      </c>
      <c r="J13" s="11" t="s">
        <v>9</v>
      </c>
      <c r="K13" s="251"/>
      <c r="M13" s="2" t="e">
        <f>((#REF!/#REF!)-1)*100</f>
        <v>#REF!</v>
      </c>
      <c r="N13" s="2"/>
      <c r="O13" s="2" t="e">
        <f>((#REF!/#REF!)-1)*100</f>
        <v>#REF!</v>
      </c>
      <c r="P13" s="2" t="e">
        <f>((#REF!/#REF!)-1)*100</f>
        <v>#REF!</v>
      </c>
      <c r="Q13" s="2"/>
      <c r="R13" s="2" t="e">
        <f>((#REF!/#REF!)-1)*100</f>
        <v>#REF!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>
      <c r="A14" s="182">
        <v>1993</v>
      </c>
      <c r="B14" s="11" t="s">
        <v>9</v>
      </c>
      <c r="C14" s="11" t="s">
        <v>9</v>
      </c>
      <c r="D14" s="11" t="s">
        <v>9</v>
      </c>
      <c r="E14" s="11" t="s">
        <v>9</v>
      </c>
      <c r="F14" s="11" t="s">
        <v>9</v>
      </c>
      <c r="G14" s="11" t="s">
        <v>9</v>
      </c>
      <c r="H14" s="11" t="s">
        <v>9</v>
      </c>
      <c r="I14" s="11" t="s">
        <v>9</v>
      </c>
      <c r="J14" s="11" t="s">
        <v>9</v>
      </c>
      <c r="K14" s="251"/>
      <c r="M14" s="2" t="e">
        <f>((#REF!/#REF!)-1)*100</f>
        <v>#REF!</v>
      </c>
      <c r="N14" s="2"/>
      <c r="O14" s="2" t="e">
        <f>((#REF!/#REF!)-1)*100</f>
        <v>#REF!</v>
      </c>
      <c r="P14" s="2" t="e">
        <f>((#REF!/#REF!)-1)*100</f>
        <v>#REF!</v>
      </c>
      <c r="Q14" s="2"/>
      <c r="R14" s="2" t="e">
        <f>((#REF!/#REF!)-1)*100</f>
        <v>#REF!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>
      <c r="A15" s="182">
        <v>1994</v>
      </c>
      <c r="B15" s="11" t="s">
        <v>9</v>
      </c>
      <c r="C15" s="11" t="s">
        <v>9</v>
      </c>
      <c r="D15" s="11" t="s">
        <v>9</v>
      </c>
      <c r="E15" s="11" t="s">
        <v>9</v>
      </c>
      <c r="F15" s="11" t="s">
        <v>9</v>
      </c>
      <c r="G15" s="11" t="s">
        <v>9</v>
      </c>
      <c r="H15" s="11" t="s">
        <v>9</v>
      </c>
      <c r="I15" s="11" t="s">
        <v>9</v>
      </c>
      <c r="J15" s="11" t="s">
        <v>9</v>
      </c>
      <c r="K15" s="251"/>
      <c r="M15" s="2" t="e">
        <f>((#REF!/#REF!)-1)*100</f>
        <v>#REF!</v>
      </c>
      <c r="N15" s="2"/>
      <c r="O15" s="2" t="e">
        <f>((#REF!/#REF!)-1)*100</f>
        <v>#REF!</v>
      </c>
      <c r="P15" s="2"/>
      <c r="Q15" s="2"/>
      <c r="R15" s="2" t="e">
        <f>((#REF!/#REF!)-1)*100</f>
        <v>#REF!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>
      <c r="A16" s="182">
        <v>1995</v>
      </c>
      <c r="B16" s="11" t="s">
        <v>9</v>
      </c>
      <c r="C16" s="11" t="s">
        <v>9</v>
      </c>
      <c r="D16" s="11" t="s">
        <v>9</v>
      </c>
      <c r="E16" s="11" t="s">
        <v>9</v>
      </c>
      <c r="F16" s="11" t="s">
        <v>9</v>
      </c>
      <c r="G16" s="11" t="s">
        <v>9</v>
      </c>
      <c r="H16" s="11" t="s">
        <v>9</v>
      </c>
      <c r="I16" s="11" t="s">
        <v>9</v>
      </c>
      <c r="J16" s="11" t="s">
        <v>9</v>
      </c>
      <c r="K16" s="251"/>
      <c r="M16" s="2" t="e">
        <f>((#REF!/#REF!)-1)*100</f>
        <v>#REF!</v>
      </c>
      <c r="N16" s="2"/>
      <c r="O16" s="2" t="e">
        <f>((#REF!/#REF!)-1)*100</f>
        <v>#REF!</v>
      </c>
      <c r="P16" s="2"/>
      <c r="Q16" s="2"/>
      <c r="R16" s="2" t="e">
        <f>((#REF!/#REF!)-1)*100</f>
        <v>#REF!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>
      <c r="A17" s="182">
        <v>1996</v>
      </c>
      <c r="B17" s="11" t="s">
        <v>9</v>
      </c>
      <c r="C17" s="11" t="s">
        <v>9</v>
      </c>
      <c r="D17" s="11" t="s">
        <v>9</v>
      </c>
      <c r="E17" s="11" t="s">
        <v>9</v>
      </c>
      <c r="F17" s="11" t="s">
        <v>9</v>
      </c>
      <c r="G17" s="11" t="s">
        <v>9</v>
      </c>
      <c r="H17" s="11" t="s">
        <v>9</v>
      </c>
      <c r="I17" s="11" t="s">
        <v>9</v>
      </c>
      <c r="J17" s="11" t="s">
        <v>9</v>
      </c>
      <c r="K17" s="251"/>
      <c r="M17" s="2" t="e">
        <f>((#REF!/#REF!)-1)*100</f>
        <v>#REF!</v>
      </c>
      <c r="N17" s="2"/>
      <c r="O17" s="2" t="e">
        <f>((#REF!/#REF!)-1)*100</f>
        <v>#REF!</v>
      </c>
      <c r="P17" s="2" t="e">
        <f>((#REF!/#REF!)-1)*100</f>
        <v>#REF!</v>
      </c>
      <c r="Q17" s="2"/>
      <c r="R17" s="2" t="e">
        <f>((#REF!/#REF!)-1)*100</f>
        <v>#REF!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>
      <c r="A18" s="182">
        <v>1997</v>
      </c>
      <c r="B18" s="11">
        <f>'1A'!C18/'1A'!$C18*100</f>
        <v>100</v>
      </c>
      <c r="C18" s="11">
        <f>'1A'!D18/'1A'!$C18*100</f>
        <v>11.201875166673684</v>
      </c>
      <c r="D18" s="11">
        <f>'1A'!E18/'1A'!$C18*100</f>
        <v>33.890549777534488</v>
      </c>
      <c r="E18" s="11" t="s">
        <v>9</v>
      </c>
      <c r="F18" s="11" t="s">
        <v>9</v>
      </c>
      <c r="G18" s="11" t="s">
        <v>9</v>
      </c>
      <c r="H18" s="11">
        <f>'1A'!I18/'1A'!$C18*100</f>
        <v>54.907575055791824</v>
      </c>
      <c r="I18" s="11">
        <f>'1A'!J18/'1A'!$C18*100</f>
        <v>44.606790461352759</v>
      </c>
      <c r="J18" s="11">
        <f>'1A'!K18/'1A'!$C18*100</f>
        <v>10.300784594439063</v>
      </c>
      <c r="K18" s="251"/>
      <c r="M18" s="2" t="e">
        <f>((#REF!/#REF!)-1)*100</f>
        <v>#REF!</v>
      </c>
      <c r="N18" s="2"/>
      <c r="O18" s="2" t="e">
        <f>((#REF!/#REF!)-1)*100</f>
        <v>#REF!</v>
      </c>
      <c r="P18" s="2" t="e">
        <f>((#REF!/#REF!)-1)*100</f>
        <v>#REF!</v>
      </c>
      <c r="Q18" s="2"/>
      <c r="R18" s="2" t="e">
        <f>((#REF!/#REF!)-1)*100</f>
        <v>#REF!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>
      <c r="A19" s="182">
        <v>1998</v>
      </c>
      <c r="B19" s="11">
        <f>'1A'!C19/'1A'!$C19*100</f>
        <v>100</v>
      </c>
      <c r="C19" s="11">
        <f>'1A'!D19/'1A'!$C19*100</f>
        <v>12.425524458018323</v>
      </c>
      <c r="D19" s="11">
        <f>'1A'!E19/'1A'!$C19*100</f>
        <v>31.071947128623638</v>
      </c>
      <c r="E19" s="11" t="s">
        <v>9</v>
      </c>
      <c r="F19" s="11" t="s">
        <v>9</v>
      </c>
      <c r="G19" s="11" t="s">
        <v>9</v>
      </c>
      <c r="H19" s="11">
        <f>'1A'!I19/'1A'!$C19*100</f>
        <v>56.502528413358036</v>
      </c>
      <c r="I19" s="11">
        <f>'1A'!J19/'1A'!$C19*100</f>
        <v>43.720272367696388</v>
      </c>
      <c r="J19" s="11">
        <f>'1A'!K19/'1A'!$C19*100</f>
        <v>12.782256045661642</v>
      </c>
      <c r="K19" s="251"/>
      <c r="M19" s="2" t="e">
        <f>((#REF!/#REF!)-1)*100</f>
        <v>#REF!</v>
      </c>
      <c r="N19" s="2" t="e">
        <f>((#REF!/#REF!)-1)*100</f>
        <v>#REF!</v>
      </c>
      <c r="O19" s="2" t="e">
        <f>((#REF!/#REF!)-1)*100</f>
        <v>#REF!</v>
      </c>
      <c r="P19" s="2" t="e">
        <f>((#REF!/#REF!)-1)*100</f>
        <v>#REF!</v>
      </c>
      <c r="Q19" s="2" t="e">
        <f>((#REF!/#REF!)-1)*100</f>
        <v>#REF!</v>
      </c>
      <c r="R19" s="2" t="e">
        <f>((#REF!/#REF!)-1)*100</f>
        <v>#REF!</v>
      </c>
      <c r="S19" s="2" t="e">
        <f>((#REF!/#REF!)-1)*100</f>
        <v>#REF!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>
      <c r="A20" s="182">
        <v>1999</v>
      </c>
      <c r="B20" s="11">
        <f>'1A'!C20/'1A'!$C20*100</f>
        <v>100</v>
      </c>
      <c r="C20" s="11">
        <f>'1A'!D20/'1A'!$C20*100</f>
        <v>11.725000303504876</v>
      </c>
      <c r="D20" s="11">
        <f>'1A'!E20/'1A'!$C20*100</f>
        <v>37.848271843245804</v>
      </c>
      <c r="E20" s="11" t="s">
        <v>9</v>
      </c>
      <c r="F20" s="11" t="s">
        <v>9</v>
      </c>
      <c r="G20" s="11" t="s">
        <v>9</v>
      </c>
      <c r="H20" s="11">
        <f>'1A'!I20/'1A'!$C20*100</f>
        <v>50.426727853249332</v>
      </c>
      <c r="I20" s="11">
        <f>'1A'!J20/'1A'!$C20*100</f>
        <v>36.48735598693716</v>
      </c>
      <c r="J20" s="11">
        <f>'1A'!K20/'1A'!$C20*100</f>
        <v>13.939371866312175</v>
      </c>
      <c r="K20" s="251"/>
      <c r="M20" s="2" t="e">
        <f>((#REF!/#REF!)-1)*100</f>
        <v>#REF!</v>
      </c>
      <c r="N20" s="2" t="e">
        <f>((#REF!/#REF!)-1)*100</f>
        <v>#REF!</v>
      </c>
      <c r="O20" s="2" t="e">
        <f>((#REF!/#REF!)-1)*100</f>
        <v>#REF!</v>
      </c>
      <c r="P20" s="2" t="e">
        <f>((#REF!/#REF!)-1)*100</f>
        <v>#REF!</v>
      </c>
      <c r="Q20" s="2" t="e">
        <f>((#REF!/#REF!)-1)*100</f>
        <v>#REF!</v>
      </c>
      <c r="R20" s="2" t="e">
        <f>((#REF!/#REF!)-1)*100</f>
        <v>#REF!</v>
      </c>
      <c r="S20" s="2" t="e">
        <f>((#REF!/#REF!)-1)*100</f>
        <v>#REF!</v>
      </c>
      <c r="T20" s="2"/>
      <c r="U20" s="2" t="s">
        <v>30</v>
      </c>
      <c r="V20" s="2"/>
      <c r="W20" s="2"/>
      <c r="X20" s="2"/>
      <c r="Y20" s="2"/>
      <c r="Z20" s="2"/>
      <c r="AA20" s="2"/>
      <c r="AB20" s="2"/>
      <c r="AC20" s="2"/>
      <c r="AD20" s="2" t="s">
        <v>25</v>
      </c>
      <c r="AE20" s="2"/>
      <c r="AF20" s="2"/>
      <c r="AG20" s="2"/>
      <c r="AH20" s="2"/>
      <c r="AI20" s="2"/>
      <c r="AJ20" s="2"/>
    </row>
    <row r="21" spans="1:36">
      <c r="A21" s="182">
        <v>2000</v>
      </c>
      <c r="B21" s="11">
        <f>'1A'!C21/'1A'!$C21*100</f>
        <v>100</v>
      </c>
      <c r="C21" s="11">
        <f>'1A'!D21/'1A'!$C21*100</f>
        <v>12.747281117888148</v>
      </c>
      <c r="D21" s="11">
        <f>'1A'!E21/'1A'!$C21*100</f>
        <v>34.839341229117593</v>
      </c>
      <c r="E21" s="11" t="s">
        <v>9</v>
      </c>
      <c r="F21" s="11" t="s">
        <v>9</v>
      </c>
      <c r="G21" s="11" t="s">
        <v>9</v>
      </c>
      <c r="H21" s="11">
        <f>'1A'!I21/'1A'!$C21*100</f>
        <v>52.413377652994278</v>
      </c>
      <c r="I21" s="11">
        <f>'1A'!J21/'1A'!$C21*100</f>
        <v>41.149514312453618</v>
      </c>
      <c r="J21" s="11">
        <f>'1A'!K21/'1A'!$C21*100</f>
        <v>11.263863340540658</v>
      </c>
      <c r="K21" s="251"/>
      <c r="M21" s="2" t="e">
        <f>((#REF!/#REF!)-1)*100</f>
        <v>#REF!</v>
      </c>
      <c r="N21" s="2" t="e">
        <f>((#REF!/#REF!)-1)*100</f>
        <v>#REF!</v>
      </c>
      <c r="O21" s="2" t="e">
        <f>((#REF!/#REF!)-1)*100</f>
        <v>#REF!</v>
      </c>
      <c r="P21" s="2" t="e">
        <f>((#REF!/#REF!)-1)*100</f>
        <v>#REF!</v>
      </c>
      <c r="Q21" s="2" t="e">
        <f>((#REF!/#REF!)-1)*100</f>
        <v>#REF!</v>
      </c>
      <c r="R21" s="2" t="e">
        <f>((#REF!/#REF!)-1)*100</f>
        <v>#REF!</v>
      </c>
      <c r="S21" s="2" t="e">
        <f>((#REF!/#REF!)-1)*100</f>
        <v>#REF!</v>
      </c>
      <c r="T21" s="2"/>
      <c r="U21" s="2" t="s">
        <v>2</v>
      </c>
      <c r="V21" s="2" t="s">
        <v>3</v>
      </c>
      <c r="W21" s="2" t="s">
        <v>4</v>
      </c>
      <c r="X21" s="2" t="s">
        <v>5</v>
      </c>
      <c r="Y21" s="2" t="s">
        <v>6</v>
      </c>
      <c r="Z21" s="2" t="s">
        <v>7</v>
      </c>
      <c r="AA21" s="2"/>
      <c r="AB21" s="2"/>
      <c r="AC21" s="2"/>
      <c r="AD21" s="2" t="s">
        <v>2</v>
      </c>
      <c r="AE21" s="2" t="s">
        <v>3</v>
      </c>
      <c r="AF21" s="2" t="s">
        <v>4</v>
      </c>
      <c r="AG21" s="2" t="s">
        <v>5</v>
      </c>
      <c r="AH21" s="2" t="s">
        <v>6</v>
      </c>
      <c r="AI21" s="2" t="s">
        <v>7</v>
      </c>
      <c r="AJ21" s="2"/>
    </row>
    <row r="22" spans="1:36">
      <c r="A22" s="182">
        <v>2001</v>
      </c>
      <c r="B22" s="11">
        <f>'1A'!C22/'1A'!$C22*100</f>
        <v>100</v>
      </c>
      <c r="C22" s="11">
        <f>'1A'!D22/'1A'!$C22*100</f>
        <v>11.579312665629073</v>
      </c>
      <c r="D22" s="11">
        <f>'1A'!E22/'1A'!$C22*100</f>
        <v>34.781054137046226</v>
      </c>
      <c r="E22" s="11" t="s">
        <v>9</v>
      </c>
      <c r="F22" s="11" t="s">
        <v>9</v>
      </c>
      <c r="G22" s="11" t="s">
        <v>9</v>
      </c>
      <c r="H22" s="11">
        <f>'1A'!I22/'1A'!$C22*100</f>
        <v>53.639633197324684</v>
      </c>
      <c r="I22" s="11">
        <f>'1A'!J22/'1A'!$C22*100</f>
        <v>41.141210617086607</v>
      </c>
      <c r="J22" s="11">
        <f>'1A'!K22/'1A'!$C22*100</f>
        <v>12.498422580238085</v>
      </c>
      <c r="K22" s="251"/>
      <c r="M22" s="2" t="e">
        <f>((#REF!/#REF!)-1)*100</f>
        <v>#REF!</v>
      </c>
      <c r="N22" s="2" t="e">
        <f>((#REF!/#REF!)-1)*100</f>
        <v>#REF!</v>
      </c>
      <c r="O22" s="2" t="e">
        <f>((#REF!/#REF!)-1)*100</f>
        <v>#REF!</v>
      </c>
      <c r="P22" s="2" t="e">
        <f>((#REF!/#REF!)-1)*100</f>
        <v>#REF!</v>
      </c>
      <c r="Q22" s="2" t="e">
        <f>((#REF!/#REF!)-1)*100</f>
        <v>#REF!</v>
      </c>
      <c r="R22" s="2" t="e">
        <f>((#REF!/#REF!)-1)*100</f>
        <v>#REF!</v>
      </c>
      <c r="S22" s="2" t="e">
        <f>((#REF!/#REF!)-1)*100</f>
        <v>#REF!</v>
      </c>
      <c r="T22" s="2">
        <v>2007</v>
      </c>
      <c r="U22" s="2" t="e">
        <f>((#REF!/#REF!))*100</f>
        <v>#REF!</v>
      </c>
      <c r="V22" s="2" t="e">
        <f>((C28/#REF!))*100</f>
        <v>#REF!</v>
      </c>
      <c r="W22" s="2" t="e">
        <f>((D28/#REF!))*100</f>
        <v>#REF!</v>
      </c>
      <c r="X22" s="2" t="e">
        <f>((H28/#REF!))*100</f>
        <v>#REF!</v>
      </c>
      <c r="Y22" s="2" t="e">
        <f>((I28/#REF!))*100</f>
        <v>#REF!</v>
      </c>
      <c r="Z22" s="2" t="e">
        <f>((J28/#REF!))*100</f>
        <v>#REF!</v>
      </c>
      <c r="AA22" s="2"/>
      <c r="AB22" s="2"/>
      <c r="AC22" s="2">
        <v>2008</v>
      </c>
      <c r="AD22" s="2" t="e">
        <f>((U23/U22)-1)*100</f>
        <v>#REF!</v>
      </c>
      <c r="AE22" s="2" t="e">
        <f t="shared" ref="AE22:AI25" si="1">((V23/V22)-1)*100</f>
        <v>#REF!</v>
      </c>
      <c r="AF22" s="2" t="e">
        <f t="shared" si="1"/>
        <v>#REF!</v>
      </c>
      <c r="AG22" s="2" t="e">
        <f t="shared" si="1"/>
        <v>#REF!</v>
      </c>
      <c r="AH22" s="2" t="e">
        <f t="shared" si="1"/>
        <v>#REF!</v>
      </c>
      <c r="AI22" s="2" t="e">
        <f t="shared" si="1"/>
        <v>#REF!</v>
      </c>
      <c r="AJ22" s="2"/>
    </row>
    <row r="23" spans="1:36">
      <c r="A23" s="182">
        <v>2002</v>
      </c>
      <c r="B23" s="11">
        <f>'1A'!C23/'1A'!$C23*100</f>
        <v>100</v>
      </c>
      <c r="C23" s="11">
        <f>'1A'!D23/'1A'!$C23*100</f>
        <v>13.27114086593865</v>
      </c>
      <c r="D23" s="11">
        <f>'1A'!E23/'1A'!$C23*100</f>
        <v>38.338363606431429</v>
      </c>
      <c r="E23" s="11" t="s">
        <v>9</v>
      </c>
      <c r="F23" s="11" t="s">
        <v>9</v>
      </c>
      <c r="G23" s="11" t="s">
        <v>9</v>
      </c>
      <c r="H23" s="11">
        <f>'1A'!I23/'1A'!$C23*100</f>
        <v>48.390495527629923</v>
      </c>
      <c r="I23" s="11">
        <f>'1A'!J23/'1A'!$C23*100</f>
        <v>34.539867200790212</v>
      </c>
      <c r="J23" s="11">
        <f>'1A'!K23/'1A'!$C23*100</f>
        <v>13.850628326839709</v>
      </c>
      <c r="K23" s="251"/>
      <c r="M23" s="2" t="e">
        <f>((#REF!/#REF!)-1)*100</f>
        <v>#REF!</v>
      </c>
      <c r="N23" s="2" t="e">
        <f>((#REF!/#REF!)-1)*100</f>
        <v>#REF!</v>
      </c>
      <c r="O23" s="2" t="e">
        <f>((#REF!/#REF!)-1)*100</f>
        <v>#REF!</v>
      </c>
      <c r="P23" s="2" t="e">
        <f>((#REF!/#REF!)-1)*100</f>
        <v>#REF!</v>
      </c>
      <c r="Q23" s="2" t="e">
        <f>((#REF!/#REF!)-1)*100</f>
        <v>#REF!</v>
      </c>
      <c r="R23" s="2" t="e">
        <f>((#REF!/#REF!)-1)*100</f>
        <v>#REF!</v>
      </c>
      <c r="S23" s="2" t="e">
        <f>((#REF!/#REF!)-1)*100</f>
        <v>#REF!</v>
      </c>
      <c r="T23" s="2">
        <v>2008</v>
      </c>
      <c r="U23" s="2" t="e">
        <f>((#REF!/#REF!))*100</f>
        <v>#REF!</v>
      </c>
      <c r="V23" s="2" t="e">
        <f>((C29/#REF!))*100</f>
        <v>#REF!</v>
      </c>
      <c r="W23" s="2" t="e">
        <f>((D29/#REF!))*100</f>
        <v>#REF!</v>
      </c>
      <c r="X23" s="2" t="e">
        <f>((H29/#REF!))*100</f>
        <v>#REF!</v>
      </c>
      <c r="Y23" s="2" t="e">
        <f>((I29/#REF!))*100</f>
        <v>#REF!</v>
      </c>
      <c r="Z23" s="2" t="e">
        <f>((J29/#REF!))*100</f>
        <v>#REF!</v>
      </c>
      <c r="AA23" s="2"/>
      <c r="AB23" s="2"/>
      <c r="AC23" s="2">
        <v>2009</v>
      </c>
      <c r="AD23" s="2" t="e">
        <f t="shared" ref="AD23:AD25" si="2">((U24/U23)-1)*100</f>
        <v>#REF!</v>
      </c>
      <c r="AE23" s="2" t="e">
        <f t="shared" si="1"/>
        <v>#REF!</v>
      </c>
      <c r="AF23" s="2" t="e">
        <f t="shared" si="1"/>
        <v>#REF!</v>
      </c>
      <c r="AG23" s="2" t="e">
        <f t="shared" si="1"/>
        <v>#REF!</v>
      </c>
      <c r="AH23" s="2" t="e">
        <f t="shared" si="1"/>
        <v>#REF!</v>
      </c>
      <c r="AI23" s="2" t="e">
        <f t="shared" si="1"/>
        <v>#REF!</v>
      </c>
      <c r="AJ23" s="2"/>
    </row>
    <row r="24" spans="1:36">
      <c r="A24" s="182">
        <v>2003</v>
      </c>
      <c r="B24" s="11">
        <f>'1A'!C24/'1A'!$C24*100</f>
        <v>100</v>
      </c>
      <c r="C24" s="11">
        <f>'1A'!D24/'1A'!$C24*100</f>
        <v>13.623680849216878</v>
      </c>
      <c r="D24" s="11">
        <f>'1A'!E24/'1A'!$C24*100</f>
        <v>40.579620282989623</v>
      </c>
      <c r="E24" s="11" t="s">
        <v>9</v>
      </c>
      <c r="F24" s="11" t="s">
        <v>9</v>
      </c>
      <c r="G24" s="11" t="s">
        <v>9</v>
      </c>
      <c r="H24" s="11">
        <f>'1A'!I24/'1A'!$C24*100</f>
        <v>45.796698867793502</v>
      </c>
      <c r="I24" s="11">
        <f>'1A'!J24/'1A'!$C24*100</f>
        <v>31.39919889879587</v>
      </c>
      <c r="J24" s="11">
        <f>'1A'!K24/'1A'!$C24*100</f>
        <v>14.397499968997632</v>
      </c>
      <c r="K24" s="251"/>
      <c r="M24" s="2" t="e">
        <f>((#REF!/#REF!)-1)*100</f>
        <v>#REF!</v>
      </c>
      <c r="N24" s="2" t="e">
        <f>((#REF!/#REF!)-1)*100</f>
        <v>#REF!</v>
      </c>
      <c r="O24" s="2" t="e">
        <f>((#REF!/#REF!)-1)*100</f>
        <v>#REF!</v>
      </c>
      <c r="P24" s="2" t="e">
        <f>((#REF!/#REF!)-1)*100</f>
        <v>#REF!</v>
      </c>
      <c r="Q24" s="2" t="e">
        <f>((#REF!/#REF!)-1)*100</f>
        <v>#REF!</v>
      </c>
      <c r="R24" s="2" t="e">
        <f>((#REF!/#REF!)-1)*100</f>
        <v>#REF!</v>
      </c>
      <c r="S24" s="2" t="e">
        <f>((#REF!/#REF!)-1)*100</f>
        <v>#REF!</v>
      </c>
      <c r="T24" s="2">
        <v>2009</v>
      </c>
      <c r="U24" s="2" t="e">
        <f>((#REF!/#REF!))*100</f>
        <v>#REF!</v>
      </c>
      <c r="V24" s="2" t="e">
        <f>((C30/#REF!))*100</f>
        <v>#REF!</v>
      </c>
      <c r="W24" s="2" t="e">
        <f>((D30/#REF!))*100</f>
        <v>#REF!</v>
      </c>
      <c r="X24" s="2" t="e">
        <f>((H30/#REF!))*100</f>
        <v>#REF!</v>
      </c>
      <c r="Y24" s="2" t="e">
        <f>((I30/#REF!))*100</f>
        <v>#REF!</v>
      </c>
      <c r="Z24" s="2" t="e">
        <f>((J30/#REF!))*100</f>
        <v>#REF!</v>
      </c>
      <c r="AA24" s="2"/>
      <c r="AB24" s="2"/>
      <c r="AC24" s="2">
        <v>2010</v>
      </c>
      <c r="AD24" s="2" t="e">
        <f t="shared" si="2"/>
        <v>#REF!</v>
      </c>
      <c r="AE24" s="2" t="e">
        <f t="shared" si="1"/>
        <v>#REF!</v>
      </c>
      <c r="AF24" s="2" t="e">
        <f t="shared" si="1"/>
        <v>#REF!</v>
      </c>
      <c r="AG24" s="2" t="e">
        <f t="shared" si="1"/>
        <v>#REF!</v>
      </c>
      <c r="AH24" s="2" t="e">
        <f t="shared" si="1"/>
        <v>#REF!</v>
      </c>
      <c r="AI24" s="2" t="e">
        <f t="shared" si="1"/>
        <v>#REF!</v>
      </c>
      <c r="AJ24" s="2"/>
    </row>
    <row r="25" spans="1:36">
      <c r="A25" s="182">
        <v>2004</v>
      </c>
      <c r="B25" s="11">
        <f>'1A'!C25/'1A'!$C25*100</f>
        <v>100</v>
      </c>
      <c r="C25" s="11">
        <f>'1A'!D25/'1A'!$C25*100</f>
        <v>15.145508275669171</v>
      </c>
      <c r="D25" s="11">
        <f>'1A'!E25/'1A'!$C25*100</f>
        <v>42.814578798234201</v>
      </c>
      <c r="E25" s="11" t="s">
        <v>9</v>
      </c>
      <c r="F25" s="11" t="s">
        <v>9</v>
      </c>
      <c r="G25" s="11" t="s">
        <v>9</v>
      </c>
      <c r="H25" s="11">
        <f>'1A'!I25/'1A'!$C25*100</f>
        <v>42.039912926096626</v>
      </c>
      <c r="I25" s="11">
        <f>'1A'!J25/'1A'!$C25*100</f>
        <v>27.194785294725705</v>
      </c>
      <c r="J25" s="11">
        <f>'1A'!K25/'1A'!$C25*100</f>
        <v>14.845127631370927</v>
      </c>
      <c r="K25" s="251"/>
      <c r="M25" s="2" t="e">
        <f>((#REF!/#REF!)-1)*100</f>
        <v>#REF!</v>
      </c>
      <c r="N25" s="2" t="e">
        <f>((#REF!/#REF!)-1)*100</f>
        <v>#REF!</v>
      </c>
      <c r="O25" s="2" t="e">
        <f>((#REF!/#REF!)-1)*100</f>
        <v>#REF!</v>
      </c>
      <c r="P25" s="2" t="e">
        <f>((#REF!/#REF!)-1)*100</f>
        <v>#REF!</v>
      </c>
      <c r="Q25" s="2" t="e">
        <f>((#REF!/#REF!)-1)*100</f>
        <v>#REF!</v>
      </c>
      <c r="R25" s="2" t="e">
        <f>((#REF!/#REF!)-1)*100</f>
        <v>#REF!</v>
      </c>
      <c r="S25" s="2" t="e">
        <f>((#REF!/#REF!)-1)*100</f>
        <v>#REF!</v>
      </c>
      <c r="T25" s="2">
        <v>2010</v>
      </c>
      <c r="U25" s="2" t="e">
        <f>((#REF!/#REF!))*100</f>
        <v>#REF!</v>
      </c>
      <c r="V25" s="2" t="e">
        <f>((C31/#REF!))*100</f>
        <v>#REF!</v>
      </c>
      <c r="W25" s="2" t="e">
        <f>((D31/#REF!))*100</f>
        <v>#REF!</v>
      </c>
      <c r="X25" s="2" t="e">
        <f>((H31/#REF!))*100</f>
        <v>#REF!</v>
      </c>
      <c r="Y25" s="2" t="e">
        <f>((I31/#REF!))*100</f>
        <v>#REF!</v>
      </c>
      <c r="Z25" s="2" t="e">
        <f>((J31/#REF!))*100</f>
        <v>#REF!</v>
      </c>
      <c r="AA25" s="2"/>
      <c r="AB25" s="2"/>
      <c r="AC25" s="2">
        <v>2011</v>
      </c>
      <c r="AD25" s="2" t="e">
        <f t="shared" si="2"/>
        <v>#REF!</v>
      </c>
      <c r="AE25" s="2" t="e">
        <f t="shared" si="1"/>
        <v>#REF!</v>
      </c>
      <c r="AF25" s="2" t="e">
        <f t="shared" si="1"/>
        <v>#REF!</v>
      </c>
      <c r="AG25" s="2" t="e">
        <f t="shared" si="1"/>
        <v>#REF!</v>
      </c>
      <c r="AH25" s="2" t="e">
        <f t="shared" si="1"/>
        <v>#REF!</v>
      </c>
      <c r="AI25" s="2" t="e">
        <f t="shared" si="1"/>
        <v>#REF!</v>
      </c>
      <c r="AJ25" s="2"/>
    </row>
    <row r="26" spans="1:36">
      <c r="A26" s="182">
        <v>2005</v>
      </c>
      <c r="B26" s="11">
        <f>'1A'!C26/'1A'!$C26*100</f>
        <v>100</v>
      </c>
      <c r="C26" s="11">
        <f>'1A'!D26/'1A'!$C26*100</f>
        <v>15.200509229789944</v>
      </c>
      <c r="D26" s="11">
        <f>'1A'!E26/'1A'!$C26*100</f>
        <v>39.164400208321275</v>
      </c>
      <c r="E26" s="11" t="s">
        <v>9</v>
      </c>
      <c r="F26" s="11" t="s">
        <v>9</v>
      </c>
      <c r="G26" s="11" t="s">
        <v>9</v>
      </c>
      <c r="H26" s="11">
        <f>'1A'!I26/'1A'!$C26*100</f>
        <v>45.635090561888781</v>
      </c>
      <c r="I26" s="11">
        <f>'1A'!J26/'1A'!$C26*100</f>
        <v>31.875470169550368</v>
      </c>
      <c r="J26" s="11">
        <f>'1A'!K26/'1A'!$C26*100</f>
        <v>13.759620392338407</v>
      </c>
      <c r="K26" s="251"/>
      <c r="M26" s="2" t="e">
        <f>((#REF!/#REF!)-1)*100</f>
        <v>#REF!</v>
      </c>
      <c r="N26" s="2" t="e">
        <f>((#REF!/#REF!)-1)*100</f>
        <v>#REF!</v>
      </c>
      <c r="O26" s="2" t="e">
        <f>((#REF!/#REF!)-1)*100</f>
        <v>#REF!</v>
      </c>
      <c r="P26" s="2" t="e">
        <f>((#REF!/#REF!)-1)*100</f>
        <v>#REF!</v>
      </c>
      <c r="Q26" s="2" t="e">
        <f>((#REF!/#REF!)-1)*100</f>
        <v>#REF!</v>
      </c>
      <c r="R26" s="2" t="e">
        <f>((#REF!/#REF!)-1)*100</f>
        <v>#REF!</v>
      </c>
      <c r="S26" s="2" t="e">
        <f>((#REF!/#REF!)-1)*100</f>
        <v>#REF!</v>
      </c>
      <c r="T26" s="2">
        <v>2011</v>
      </c>
      <c r="U26" s="2" t="e">
        <f>((#REF!/#REF!))*100</f>
        <v>#REF!</v>
      </c>
      <c r="V26" s="2" t="e">
        <f>((C32/#REF!))*100</f>
        <v>#REF!</v>
      </c>
      <c r="W26" s="2" t="e">
        <f>((D32/#REF!))*100</f>
        <v>#REF!</v>
      </c>
      <c r="X26" s="2" t="e">
        <f>((H32/#REF!))*100</f>
        <v>#REF!</v>
      </c>
      <c r="Y26" s="2" t="e">
        <f>((I32/#REF!))*100</f>
        <v>#REF!</v>
      </c>
      <c r="Z26" s="2" t="e">
        <f>((J32/#REF!))*100</f>
        <v>#REF!</v>
      </c>
      <c r="AA26" s="2"/>
      <c r="AB26" s="2"/>
      <c r="AC26" s="2" t="s">
        <v>28</v>
      </c>
      <c r="AD26" s="2" t="e">
        <f>((U26/U22)^(1/4)-1)*100</f>
        <v>#REF!</v>
      </c>
      <c r="AE26" s="2" t="e">
        <f>((V26/V22)^(1/4)-1)*100</f>
        <v>#REF!</v>
      </c>
      <c r="AF26" s="2" t="e">
        <f t="shared" ref="AF26:AI26" si="3">((W26/W22)^(1/4)-1)*100</f>
        <v>#REF!</v>
      </c>
      <c r="AG26" s="2" t="e">
        <f t="shared" si="3"/>
        <v>#REF!</v>
      </c>
      <c r="AH26" s="2" t="e">
        <f t="shared" si="3"/>
        <v>#REF!</v>
      </c>
      <c r="AI26" s="2" t="e">
        <f t="shared" si="3"/>
        <v>#REF!</v>
      </c>
      <c r="AJ26" s="2"/>
    </row>
    <row r="27" spans="1:36" ht="15.75" thickBot="1">
      <c r="A27" s="182">
        <v>2006</v>
      </c>
      <c r="B27" s="75">
        <f>'1A'!C27/'1A'!$C27*100</f>
        <v>100</v>
      </c>
      <c r="C27" s="75">
        <f>'1A'!D27/'1A'!$C27*100</f>
        <v>17.363296251331732</v>
      </c>
      <c r="D27" s="75">
        <f>'1A'!E27/'1A'!$C27*100</f>
        <v>35.887366517182429</v>
      </c>
      <c r="E27" s="75" t="s">
        <v>9</v>
      </c>
      <c r="F27" s="75" t="s">
        <v>9</v>
      </c>
      <c r="G27" s="75" t="s">
        <v>9</v>
      </c>
      <c r="H27" s="75">
        <f>'1A'!I27/'1A'!$C27*100</f>
        <v>46.749337231485839</v>
      </c>
      <c r="I27" s="75">
        <f>'1A'!J27/'1A'!$C27*100</f>
        <v>33.240008919501498</v>
      </c>
      <c r="J27" s="75">
        <f>'1A'!K27/'1A'!$C27*100</f>
        <v>13.509328311984342</v>
      </c>
      <c r="K27" s="251"/>
      <c r="M27" s="2" t="e">
        <f>((#REF!/#REF!)-1)*100</f>
        <v>#REF!</v>
      </c>
      <c r="N27" s="2" t="e">
        <f>((#REF!/#REF!)-1)*100</f>
        <v>#REF!</v>
      </c>
      <c r="O27" s="2" t="e">
        <f>((#REF!/#REF!)-1)*100</f>
        <v>#REF!</v>
      </c>
      <c r="P27" s="2" t="e">
        <f>((#REF!/#REF!)-1)*100</f>
        <v>#REF!</v>
      </c>
      <c r="Q27" s="2" t="e">
        <f>((#REF!/#REF!)-1)*100</f>
        <v>#REF!</v>
      </c>
      <c r="R27" s="2" t="e">
        <f>((#REF!/#REF!)-1)*100</f>
        <v>#REF!</v>
      </c>
      <c r="S27" s="2" t="e">
        <f>((#REF!/#REF!)-1)*100</f>
        <v>#REF!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>
      <c r="A28" s="182">
        <v>2007</v>
      </c>
      <c r="B28" s="11">
        <f>'1A'!C28/'1A'!$C28*100</f>
        <v>100</v>
      </c>
      <c r="C28" s="11">
        <f>'1A'!D28/'1A'!$C28*100</f>
        <v>13.288859035813513</v>
      </c>
      <c r="D28" s="11">
        <f>'1A'!E28/'1A'!$C28*100</f>
        <v>39.12466033645773</v>
      </c>
      <c r="E28" s="11">
        <f>'1A'!F28/'1A'!$C28*100</f>
        <v>13.937654565993954</v>
      </c>
      <c r="F28" s="11">
        <f>'1A'!G28/'1A'!$C28*100</f>
        <v>7.922938356791744</v>
      </c>
      <c r="G28" s="11">
        <f>'1A'!H28/'1A'!$C28*100</f>
        <v>17.265593991390102</v>
      </c>
      <c r="H28" s="11">
        <f>'1A'!I28/'1A'!$C28*100</f>
        <v>47.586480627728747</v>
      </c>
      <c r="I28" s="11">
        <f>'1A'!J28/'1A'!$C28*100</f>
        <v>31.543675388514032</v>
      </c>
      <c r="J28" s="11">
        <f>'1A'!K28/'1A'!$C28*100</f>
        <v>16.042805239214729</v>
      </c>
      <c r="K28" s="251"/>
      <c r="M28" s="2" t="e">
        <f>((#REF!/#REF!)-1)*100</f>
        <v>#REF!</v>
      </c>
      <c r="N28" s="2" t="e">
        <f>((#REF!/#REF!)-1)*100</f>
        <v>#REF!</v>
      </c>
      <c r="O28" s="2" t="e">
        <f>((#REF!/#REF!)-1)*100</f>
        <v>#REF!</v>
      </c>
      <c r="P28" s="2" t="e">
        <f>((#REF!/#REF!)-1)*100</f>
        <v>#REF!</v>
      </c>
      <c r="Q28" s="2" t="e">
        <f>((#REF!/#REF!)-1)*100</f>
        <v>#REF!</v>
      </c>
      <c r="R28" s="2" t="e">
        <f>((#REF!/#REF!)-1)*100</f>
        <v>#REF!</v>
      </c>
      <c r="S28" s="2" t="e">
        <f>((#REF!/#REF!)-1)*100</f>
        <v>#REF!</v>
      </c>
      <c r="T28" s="2"/>
      <c r="U28" s="2" t="s">
        <v>31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s="187" customFormat="1">
      <c r="A29" s="46">
        <v>2008</v>
      </c>
      <c r="B29" s="11">
        <f>'1A'!C29/'1A'!$C29*100</f>
        <v>100</v>
      </c>
      <c r="C29" s="11">
        <f>'1A'!D29/'1A'!$C29*100</f>
        <v>13.633437409469856</v>
      </c>
      <c r="D29" s="11">
        <f>'1A'!E29/'1A'!$C29*100</f>
        <v>37.285544146522028</v>
      </c>
      <c r="E29" s="11">
        <f>'1A'!F29/'1A'!$C29*100</f>
        <v>12.279911159751505</v>
      </c>
      <c r="F29" s="11">
        <f>'1A'!G29/'1A'!$C29*100</f>
        <v>7.3550712975182675</v>
      </c>
      <c r="G29" s="11">
        <f>'1A'!H29/'1A'!$C29*100</f>
        <v>17.655389963626998</v>
      </c>
      <c r="H29" s="11">
        <f>'1A'!I29/'1A'!$C29*100</f>
        <v>49.081018444008109</v>
      </c>
      <c r="I29" s="11">
        <f>'1A'!J29/'1A'!$C29*100</f>
        <v>31.374126887050576</v>
      </c>
      <c r="J29" s="11">
        <f>'1A'!K29/'1A'!$C29*100</f>
        <v>17.706891556957547</v>
      </c>
      <c r="K29" s="251"/>
      <c r="M29" s="44" t="e">
        <f>((#REF!/#REF!)-1)*100</f>
        <v>#REF!</v>
      </c>
      <c r="N29" s="44" t="e">
        <f>((#REF!/#REF!)-1)*100</f>
        <v>#REF!</v>
      </c>
      <c r="O29" s="44" t="e">
        <f>((#REF!/#REF!)-1)*100</f>
        <v>#REF!</v>
      </c>
      <c r="P29" s="44" t="e">
        <f>((#REF!/#REF!)-1)*100</f>
        <v>#REF!</v>
      </c>
      <c r="Q29" s="44" t="e">
        <f>((#REF!/#REF!)-1)*100</f>
        <v>#REF!</v>
      </c>
      <c r="R29" s="44" t="e">
        <f>((#REF!/#REF!)-1)*100</f>
        <v>#REF!</v>
      </c>
      <c r="S29" s="44" t="e">
        <f>((#REF!/#REF!)-1)*100</f>
        <v>#REF!</v>
      </c>
      <c r="T29" s="44"/>
      <c r="U29" s="44" t="s">
        <v>2</v>
      </c>
      <c r="V29" s="44" t="s">
        <v>23</v>
      </c>
      <c r="W29" s="44" t="s">
        <v>3</v>
      </c>
      <c r="X29" s="44" t="s">
        <v>4</v>
      </c>
      <c r="Y29" s="44" t="s">
        <v>5</v>
      </c>
      <c r="Z29" s="44" t="s">
        <v>6</v>
      </c>
      <c r="AA29" s="44" t="s">
        <v>7</v>
      </c>
      <c r="AB29" s="44"/>
      <c r="AC29" s="44"/>
      <c r="AD29" s="44"/>
      <c r="AE29" s="44"/>
      <c r="AF29" s="44"/>
      <c r="AG29" s="44"/>
      <c r="AH29" s="44"/>
      <c r="AI29" s="44"/>
      <c r="AJ29" s="44"/>
    </row>
    <row r="30" spans="1:36">
      <c r="A30" s="182">
        <v>2009</v>
      </c>
      <c r="B30" s="11">
        <f>'1A'!C30/'1A'!$C30*100</f>
        <v>100</v>
      </c>
      <c r="C30" s="11">
        <f>'1A'!D30/'1A'!$C30*100</f>
        <v>16.016153303998319</v>
      </c>
      <c r="D30" s="11">
        <f>'1A'!E30/'1A'!$C30*100</f>
        <v>32.678057793778684</v>
      </c>
      <c r="E30" s="11">
        <f>'1A'!F30/'1A'!$C30*100</f>
        <v>9.1243309141474747</v>
      </c>
      <c r="F30" s="11">
        <f>'1A'!G30/'1A'!$C30*100</f>
        <v>7.2194601596281691</v>
      </c>
      <c r="G30" s="11">
        <f>'1A'!H30/'1A'!$C30*100</f>
        <v>16.343791073775645</v>
      </c>
      <c r="H30" s="11">
        <f>'1A'!I30/'1A'!$C30*100</f>
        <v>51.305788902222979</v>
      </c>
      <c r="I30" s="11">
        <f>'1A'!J30/'1A'!$C30*100</f>
        <v>32.335181057965215</v>
      </c>
      <c r="J30" s="11">
        <f>'1A'!K30/'1A'!$C30*100</f>
        <v>18.970607844257763</v>
      </c>
      <c r="K30" s="251"/>
      <c r="M30" s="2" t="e">
        <f>((#REF!/#REF!)-1)*100</f>
        <v>#REF!</v>
      </c>
      <c r="N30" s="2" t="e">
        <f>((#REF!/#REF!)-1)*100</f>
        <v>#REF!</v>
      </c>
      <c r="O30" s="2" t="e">
        <f>((#REF!/#REF!)-1)*100</f>
        <v>#REF!</v>
      </c>
      <c r="P30" s="2" t="e">
        <f>((#REF!/#REF!)-1)*100</f>
        <v>#REF!</v>
      </c>
      <c r="Q30" s="2" t="e">
        <f>((#REF!/#REF!)-1)*100</f>
        <v>#REF!</v>
      </c>
      <c r="R30" s="2" t="e">
        <f>((#REF!/#REF!)-1)*100</f>
        <v>#REF!</v>
      </c>
      <c r="S30" s="2" t="e">
        <f>((#REF!/#REF!)-1)*100</f>
        <v>#REF!</v>
      </c>
      <c r="T30" s="2">
        <v>1984</v>
      </c>
      <c r="U30" s="2" t="e">
        <f>(#REF!/#REF!)*100</f>
        <v>#REF!</v>
      </c>
      <c r="V30" s="2" t="e">
        <f>(#REF!/#REF!)*100</f>
        <v>#REF!</v>
      </c>
      <c r="W30" s="2" t="e">
        <f>(#REF!/#REF!)*100</f>
        <v>#REF!</v>
      </c>
      <c r="X30" s="2" t="e">
        <f>(#REF!/#REF!)*100</f>
        <v>#REF!</v>
      </c>
      <c r="Y30" s="2" t="e">
        <f>(#REF!/#REF!)*100</f>
        <v>#REF!</v>
      </c>
      <c r="Z30" s="2" t="e">
        <f>(#REF!/#REF!)*100</f>
        <v>#REF!</v>
      </c>
      <c r="AA30" s="2" t="e">
        <f>(#REF!/#REF!)*100</f>
        <v>#REF!</v>
      </c>
      <c r="AB30" s="2"/>
      <c r="AC30" s="2"/>
      <c r="AD30" s="2"/>
      <c r="AE30" s="2"/>
      <c r="AF30" s="2"/>
      <c r="AG30" s="2"/>
      <c r="AH30" s="2"/>
      <c r="AI30" s="2"/>
      <c r="AJ30" s="2"/>
    </row>
    <row r="31" spans="1:36">
      <c r="A31" s="182">
        <v>2010</v>
      </c>
      <c r="B31" s="11">
        <f>'1A'!C31/'1A'!$C31*100</f>
        <v>100</v>
      </c>
      <c r="C31" s="11">
        <f>'1A'!D31/'1A'!$C31*100</f>
        <v>12.494275822907699</v>
      </c>
      <c r="D31" s="11">
        <f>'1A'!E31/'1A'!$C31*100</f>
        <v>34.169215833531773</v>
      </c>
      <c r="E31" s="11">
        <f>'1A'!F31/'1A'!$C31*100</f>
        <v>11.082006850695143</v>
      </c>
      <c r="F31" s="11">
        <f>'1A'!G31/'1A'!$C31*100</f>
        <v>7.326946678145549</v>
      </c>
      <c r="G31" s="11">
        <f>'1A'!H31/'1A'!$C31*100</f>
        <v>15.771252724708296</v>
      </c>
      <c r="H31" s="11">
        <f>'1A'!I31/'1A'!$C31*100</f>
        <v>53.336508343560531</v>
      </c>
      <c r="I31" s="11">
        <f>'1A'!J31/'1A'!$C31*100</f>
        <v>34.792006301174148</v>
      </c>
      <c r="J31" s="11">
        <f>'1A'!K31/'1A'!$C31*100</f>
        <v>18.544502042386384</v>
      </c>
      <c r="K31" s="251"/>
      <c r="M31" s="2" t="e">
        <f>((#REF!/#REF!)-1)*100</f>
        <v>#REF!</v>
      </c>
      <c r="N31" s="2" t="e">
        <f>((#REF!/#REF!)-1)*100</f>
        <v>#REF!</v>
      </c>
      <c r="O31" s="2" t="e">
        <f>((#REF!/#REF!)-1)*100</f>
        <v>#REF!</v>
      </c>
      <c r="P31" s="2" t="e">
        <f>((#REF!/#REF!)-1)*100</f>
        <v>#REF!</v>
      </c>
      <c r="Q31" s="2" t="e">
        <f>((#REF!/#REF!)-1)*100</f>
        <v>#REF!</v>
      </c>
      <c r="R31" s="2" t="e">
        <f>((#REF!/#REF!)-1)*100</f>
        <v>#REF!</v>
      </c>
      <c r="S31" s="2" t="e">
        <f>((#REF!/#REF!)-1)*100</f>
        <v>#REF!</v>
      </c>
      <c r="T31" s="2">
        <v>1985</v>
      </c>
      <c r="U31" s="2" t="e">
        <f>(#REF!/#REF!)*100</f>
        <v>#REF!</v>
      </c>
      <c r="V31" s="2" t="e">
        <f>(#REF!/#REF!)*100</f>
        <v>#REF!</v>
      </c>
      <c r="W31" s="2" t="e">
        <f>(#REF!/#REF!)*100</f>
        <v>#REF!</v>
      </c>
      <c r="X31" s="2" t="e">
        <f>(#REF!/#REF!)*100</f>
        <v>#REF!</v>
      </c>
      <c r="Y31" s="2" t="e">
        <f>(#REF!/#REF!)*100</f>
        <v>#REF!</v>
      </c>
      <c r="Z31" s="2" t="e">
        <f>(#REF!/#REF!)*100</f>
        <v>#REF!</v>
      </c>
      <c r="AA31" s="2" t="e">
        <f>(#REF!/#REF!)*100</f>
        <v>#REF!</v>
      </c>
      <c r="AB31" s="2"/>
      <c r="AC31" s="2"/>
      <c r="AD31" s="2"/>
      <c r="AE31" s="2"/>
      <c r="AF31" s="2"/>
      <c r="AG31" s="2"/>
      <c r="AH31" s="2"/>
      <c r="AI31" s="2"/>
      <c r="AJ31" s="2"/>
    </row>
    <row r="32" spans="1:36">
      <c r="A32" s="182">
        <v>2011</v>
      </c>
      <c r="B32" s="11">
        <f>'1A'!C32/'1A'!$C32*100</f>
        <v>100</v>
      </c>
      <c r="C32" s="11">
        <f>'1A'!D32/'1A'!$C32*100</f>
        <v>16.288064601335794</v>
      </c>
      <c r="D32" s="11">
        <f>'1A'!E32/'1A'!$C32*100</f>
        <v>33.819478510244892</v>
      </c>
      <c r="E32" s="11">
        <f>'1A'!F32/'1A'!$C32*100</f>
        <v>9.660012829704538</v>
      </c>
      <c r="F32" s="11">
        <f>'1A'!G32/'1A'!$C32*100</f>
        <v>6.358250632051619</v>
      </c>
      <c r="G32" s="11">
        <f>'1A'!H32/'1A'!$C32*100</f>
        <v>17.791781442209725</v>
      </c>
      <c r="H32" s="11">
        <f>'1A'!I32/'1A'!$C32*100</f>
        <v>49.892456888419304</v>
      </c>
      <c r="I32" s="11">
        <f>'1A'!J32/'1A'!$C32*100</f>
        <v>32.732727066903131</v>
      </c>
      <c r="J32" s="11">
        <f>'1A'!K32/'1A'!$C32*100</f>
        <v>17.157843100260365</v>
      </c>
      <c r="K32" s="251"/>
      <c r="M32" s="2" t="e">
        <f>((#REF!/#REF!)-1)*100</f>
        <v>#REF!</v>
      </c>
      <c r="N32" s="2" t="e">
        <f>((#REF!/#REF!)-1)*100</f>
        <v>#REF!</v>
      </c>
      <c r="O32" s="2" t="e">
        <f>((#REF!/#REF!)-1)*100</f>
        <v>#REF!</v>
      </c>
      <c r="P32" s="2" t="e">
        <f>((#REF!/#REF!)-1)*100</f>
        <v>#REF!</v>
      </c>
      <c r="Q32" s="2" t="e">
        <f>((#REF!/#REF!)-1)*100</f>
        <v>#REF!</v>
      </c>
      <c r="R32" s="2" t="e">
        <f>((#REF!/#REF!)-1)*100</f>
        <v>#REF!</v>
      </c>
      <c r="S32" s="2" t="e">
        <f>((#REF!/#REF!)-1)*100</f>
        <v>#REF!</v>
      </c>
      <c r="T32" s="2">
        <v>1986</v>
      </c>
      <c r="U32" s="2" t="e">
        <f>(#REF!/#REF!)*100</f>
        <v>#REF!</v>
      </c>
      <c r="V32" s="2" t="e">
        <f>(#REF!/#REF!)*100</f>
        <v>#REF!</v>
      </c>
      <c r="W32" s="2" t="e">
        <f>(#REF!/#REF!)*100</f>
        <v>#REF!</v>
      </c>
      <c r="X32" s="2" t="e">
        <f>(#REF!/#REF!)*100</f>
        <v>#REF!</v>
      </c>
      <c r="Y32" s="2" t="e">
        <f>(#REF!/#REF!)*100</f>
        <v>#REF!</v>
      </c>
      <c r="Z32" s="2" t="e">
        <f>(#REF!/#REF!)*100</f>
        <v>#REF!</v>
      </c>
      <c r="AA32" s="2" t="e">
        <f>(#REF!/#REF!)*100</f>
        <v>#REF!</v>
      </c>
      <c r="AB32" s="2"/>
      <c r="AC32" s="2"/>
      <c r="AD32" s="2"/>
      <c r="AE32" s="2"/>
      <c r="AF32" s="2"/>
      <c r="AG32" s="2"/>
      <c r="AH32" s="2"/>
      <c r="AI32" s="2"/>
      <c r="AJ32" s="2"/>
    </row>
    <row r="33" spans="1:36">
      <c r="A33" s="182"/>
      <c r="B33" s="10"/>
      <c r="C33" s="10"/>
      <c r="D33" s="10"/>
      <c r="E33" s="10"/>
      <c r="F33" s="10"/>
      <c r="G33" s="10"/>
      <c r="H33" s="10"/>
      <c r="I33" s="10"/>
      <c r="J33" s="10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>
      <c r="A34" s="454" t="s">
        <v>45</v>
      </c>
      <c r="B34" s="454"/>
      <c r="C34" s="454"/>
      <c r="D34" s="454"/>
      <c r="E34" s="454"/>
      <c r="F34" s="454"/>
      <c r="G34" s="454"/>
      <c r="H34" s="454"/>
      <c r="I34" s="454"/>
      <c r="J34" s="454"/>
      <c r="M34" s="2"/>
      <c r="N34" s="2"/>
      <c r="O34" s="2"/>
      <c r="P34" s="2"/>
      <c r="Q34" s="2"/>
      <c r="R34" s="2"/>
      <c r="S34" s="2"/>
      <c r="T34" s="2">
        <v>1989</v>
      </c>
      <c r="U34" s="2" t="e">
        <f>(#REF!/#REF!)*100</f>
        <v>#REF!</v>
      </c>
      <c r="V34" s="2" t="e">
        <f>(#REF!/#REF!)*100</f>
        <v>#REF!</v>
      </c>
      <c r="W34" s="2" t="e">
        <f>(#REF!/#REF!)*100</f>
        <v>#REF!</v>
      </c>
      <c r="X34" s="2" t="e">
        <f>(#REF!/#REF!)*100</f>
        <v>#REF!</v>
      </c>
      <c r="Y34" s="2" t="e">
        <f>(#REF!/#REF!)*100</f>
        <v>#REF!</v>
      </c>
      <c r="Z34" s="2" t="e">
        <f>(#REF!/#REF!)*100</f>
        <v>#REF!</v>
      </c>
      <c r="AA34" s="2" t="e">
        <f>(#REF!/#REF!)*100</f>
        <v>#REF!</v>
      </c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30" customHeight="1">
      <c r="A35" s="182" t="s">
        <v>29</v>
      </c>
      <c r="B35" s="7">
        <f t="shared" ref="B35:J35" si="4">((B21/B5)^(1/16)-1)*100</f>
        <v>0</v>
      </c>
      <c r="C35" s="7">
        <f t="shared" si="4"/>
        <v>-0.69395846008495354</v>
      </c>
      <c r="D35" s="7">
        <f t="shared" si="4"/>
        <v>2.4048887127859908</v>
      </c>
      <c r="E35" s="7" t="s">
        <v>10</v>
      </c>
      <c r="F35" s="7" t="s">
        <v>10</v>
      </c>
      <c r="G35" s="7" t="s">
        <v>10</v>
      </c>
      <c r="H35" s="7">
        <f t="shared" si="4"/>
        <v>-1.0373918827882078</v>
      </c>
      <c r="I35" s="7">
        <f t="shared" si="4"/>
        <v>-1.5131377322739281</v>
      </c>
      <c r="J35" s="7">
        <f t="shared" si="4"/>
        <v>1.1289325908813819</v>
      </c>
      <c r="M35" s="2"/>
      <c r="N35" s="2"/>
      <c r="O35" s="2"/>
      <c r="P35" s="2"/>
      <c r="Q35" s="2"/>
      <c r="R35" s="2"/>
      <c r="S35" s="2"/>
      <c r="T35" s="2">
        <v>1991</v>
      </c>
      <c r="U35" s="2" t="e">
        <f>(#REF!/#REF!)*100</f>
        <v>#REF!</v>
      </c>
      <c r="V35" s="2" t="e">
        <f>(#REF!/#REF!)*100</f>
        <v>#REF!</v>
      </c>
      <c r="W35" s="2" t="e">
        <f>(#REF!/#REF!)*100</f>
        <v>#REF!</v>
      </c>
      <c r="X35" s="2" t="e">
        <f>(#REF!/#REF!)*100</f>
        <v>#REF!</v>
      </c>
      <c r="Y35" s="2" t="e">
        <f>(#REF!/#REF!)*100</f>
        <v>#REF!</v>
      </c>
      <c r="Z35" s="2" t="e">
        <f>(#REF!/#REF!)*100</f>
        <v>#REF!</v>
      </c>
      <c r="AA35" s="2" t="e">
        <f>(#REF!/#REF!)*100</f>
        <v>#REF!</v>
      </c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30" customHeight="1">
      <c r="A36" s="325" t="s">
        <v>68</v>
      </c>
      <c r="B36" s="7">
        <f>((B28/B21)^(1/7)-1)*100</f>
        <v>0</v>
      </c>
      <c r="C36" s="7">
        <f t="shared" ref="C36:J36" si="5">((C28/C21)^(1/7)-1)*100</f>
        <v>0.5961702705286509</v>
      </c>
      <c r="D36" s="7">
        <f t="shared" si="5"/>
        <v>1.6710327675348413</v>
      </c>
      <c r="E36" s="7" t="s">
        <v>10</v>
      </c>
      <c r="F36" s="7" t="s">
        <v>10</v>
      </c>
      <c r="G36" s="7" t="s">
        <v>10</v>
      </c>
      <c r="H36" s="7">
        <f t="shared" si="5"/>
        <v>-1.3707070314071146</v>
      </c>
      <c r="I36" s="7">
        <f t="shared" si="5"/>
        <v>-3.7264918990806306</v>
      </c>
      <c r="J36" s="7">
        <f t="shared" si="5"/>
        <v>5.1821026477675725</v>
      </c>
      <c r="M36" s="2"/>
      <c r="N36" s="2"/>
      <c r="O36" s="2"/>
      <c r="P36" s="2"/>
      <c r="Q36" s="2"/>
      <c r="R36" s="2"/>
      <c r="S36" s="2"/>
      <c r="T36" s="2">
        <v>1992</v>
      </c>
      <c r="U36" s="2" t="e">
        <f>(#REF!/#REF!)*100</f>
        <v>#REF!</v>
      </c>
      <c r="V36" s="2"/>
      <c r="W36" s="2" t="e">
        <f>(#REF!/#REF!)*100</f>
        <v>#REF!</v>
      </c>
      <c r="X36" s="2" t="e">
        <f>(#REF!/#REF!)*100</f>
        <v>#REF!</v>
      </c>
      <c r="Y36" s="2"/>
      <c r="Z36" s="2" t="e">
        <f>(#REF!/#REF!)*100</f>
        <v>#REF!</v>
      </c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30" customHeight="1">
      <c r="A37" s="240" t="s">
        <v>28</v>
      </c>
      <c r="B37" s="7">
        <f>((B32/B28)^(1/4)-1)*100</f>
        <v>0</v>
      </c>
      <c r="C37" s="7">
        <f t="shared" ref="C37:J37" si="6">((C32/C28)^(1/4)-1)*100</f>
        <v>5.2193094324920031</v>
      </c>
      <c r="D37" s="7">
        <f t="shared" si="6"/>
        <v>-3.5773458944823755</v>
      </c>
      <c r="E37" s="7">
        <f t="shared" si="6"/>
        <v>-8.757536679668199</v>
      </c>
      <c r="F37" s="7">
        <f t="shared" si="6"/>
        <v>-5.3516948509598761</v>
      </c>
      <c r="G37" s="7">
        <f t="shared" si="6"/>
        <v>0.75334596237104368</v>
      </c>
      <c r="H37" s="7">
        <f t="shared" si="6"/>
        <v>1.1900536126479233</v>
      </c>
      <c r="I37" s="7">
        <f t="shared" si="6"/>
        <v>0.92934936498090259</v>
      </c>
      <c r="J37" s="7">
        <f t="shared" si="6"/>
        <v>1.6940620899509984</v>
      </c>
      <c r="M37" s="2"/>
      <c r="N37" s="2"/>
      <c r="O37" s="2"/>
      <c r="P37" s="2"/>
      <c r="Q37" s="2"/>
      <c r="R37" s="2"/>
      <c r="S37" s="2"/>
      <c r="T37" s="2">
        <v>1993</v>
      </c>
      <c r="U37" s="2" t="e">
        <f>(#REF!/#REF!)*100</f>
        <v>#REF!</v>
      </c>
      <c r="V37" s="2"/>
      <c r="W37" s="2" t="e">
        <f>(#REF!/#REF!)*100</f>
        <v>#REF!</v>
      </c>
      <c r="X37" s="2" t="e">
        <f>(#REF!/#REF!)*100</f>
        <v>#REF!</v>
      </c>
      <c r="Y37" s="2"/>
      <c r="Z37" s="2" t="e">
        <f>(#REF!/#REF!)*100</f>
        <v>#REF!</v>
      </c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s="259" customFormat="1" ht="30" customHeight="1">
      <c r="A38" s="325" t="s">
        <v>364</v>
      </c>
      <c r="B38" s="7">
        <f>((B32/B21)^(1/11)-1)*100</f>
        <v>0</v>
      </c>
      <c r="C38" s="7">
        <f t="shared" ref="C38:J38" si="7">((C32/C21)^(1/11)-1)*100</f>
        <v>2.2533269443475445</v>
      </c>
      <c r="D38" s="7">
        <f t="shared" si="7"/>
        <v>-0.26972938898327525</v>
      </c>
      <c r="E38" s="7" t="s">
        <v>10</v>
      </c>
      <c r="F38" s="7" t="s">
        <v>10</v>
      </c>
      <c r="G38" s="7" t="s">
        <v>10</v>
      </c>
      <c r="H38" s="7">
        <f t="shared" si="7"/>
        <v>-0.44710685792523908</v>
      </c>
      <c r="I38" s="7">
        <f t="shared" si="7"/>
        <v>-2.0588441427009108</v>
      </c>
      <c r="J38" s="7">
        <f t="shared" si="7"/>
        <v>3.9000934390218012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>
      <c r="M39" s="2"/>
      <c r="N39" s="2"/>
      <c r="O39" s="2"/>
      <c r="P39" s="2"/>
      <c r="Q39" s="2"/>
      <c r="R39" s="2"/>
      <c r="S39" s="2"/>
      <c r="T39" s="2">
        <v>1995</v>
      </c>
      <c r="U39" s="2" t="e">
        <f>(#REF!/#REF!)*100</f>
        <v>#REF!</v>
      </c>
      <c r="V39" s="2"/>
      <c r="W39" s="2" t="e">
        <f>(#REF!/#REF!)*100</f>
        <v>#REF!</v>
      </c>
      <c r="X39" s="2" t="e">
        <f>(#REF!/#REF!)*100</f>
        <v>#REF!</v>
      </c>
      <c r="Y39" s="2"/>
      <c r="Z39" s="2" t="e">
        <f>(#REF!/#REF!)*100</f>
        <v>#REF!</v>
      </c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s="183" customFormat="1">
      <c r="A40" s="231" t="s">
        <v>343</v>
      </c>
      <c r="M40" s="24"/>
      <c r="N40" s="24"/>
      <c r="O40" s="24"/>
      <c r="P40" s="24"/>
      <c r="Q40" s="24"/>
      <c r="R40" s="24"/>
      <c r="S40" s="24"/>
      <c r="T40" s="24">
        <v>2003</v>
      </c>
      <c r="U40" s="24" t="e">
        <f>(#REF!/#REF!)*100</f>
        <v>#REF!</v>
      </c>
      <c r="V40" s="24" t="e">
        <f>(#REF!/#REF!)*100</f>
        <v>#REF!</v>
      </c>
      <c r="W40" s="24" t="e">
        <f>(#REF!/#REF!)*100</f>
        <v>#REF!</v>
      </c>
      <c r="X40" s="24" t="e">
        <f>(#REF!/#REF!)*100</f>
        <v>#REF!</v>
      </c>
      <c r="Y40" s="24" t="e">
        <f>(#REF!/#REF!)*100</f>
        <v>#REF!</v>
      </c>
      <c r="Z40" s="24" t="e">
        <f>(#REF!/#REF!)*100</f>
        <v>#REF!</v>
      </c>
      <c r="AA40" s="24" t="e">
        <f>(#REF!/#REF!)*100</f>
        <v>#REF!</v>
      </c>
      <c r="AB40" s="24"/>
      <c r="AC40" s="24"/>
      <c r="AD40" s="24"/>
      <c r="AE40" s="24"/>
      <c r="AF40" s="24"/>
      <c r="AG40" s="24"/>
      <c r="AH40" s="24"/>
      <c r="AI40" s="24"/>
      <c r="AJ40" s="24"/>
    </row>
    <row r="41" spans="1:36">
      <c r="M41" s="3"/>
      <c r="N41" s="3"/>
      <c r="O41" s="3"/>
      <c r="P41" s="3"/>
      <c r="Q41" s="2"/>
      <c r="R41" s="2"/>
      <c r="S41" s="2"/>
      <c r="T41" s="2">
        <v>2011</v>
      </c>
      <c r="U41" s="2" t="e">
        <f>(#REF!/#REF!)*100</f>
        <v>#REF!</v>
      </c>
      <c r="V41" s="2" t="e">
        <f>(#REF!/#REF!)*100</f>
        <v>#REF!</v>
      </c>
      <c r="W41" s="2" t="e">
        <f>(#REF!/#REF!)*100</f>
        <v>#REF!</v>
      </c>
      <c r="X41" s="2" t="e">
        <f>(#REF!/#REF!)*100</f>
        <v>#REF!</v>
      </c>
      <c r="Y41" s="2" t="e">
        <f>(#REF!/#REF!)*100</f>
        <v>#REF!</v>
      </c>
      <c r="Z41" s="2" t="e">
        <f>(#REF!/#REF!)*100</f>
        <v>#REF!</v>
      </c>
      <c r="AA41" s="2" t="e">
        <f>(#REF!/#REF!)*100</f>
        <v>#REF!</v>
      </c>
      <c r="AB41" s="2"/>
      <c r="AC41" s="3"/>
      <c r="AD41" s="3"/>
      <c r="AE41" s="3"/>
      <c r="AF41" s="3"/>
      <c r="AG41" s="3"/>
      <c r="AH41" s="3"/>
      <c r="AI41" s="3"/>
    </row>
    <row r="42" spans="1:36">
      <c r="M42" s="3"/>
      <c r="N42" s="3"/>
      <c r="O42" s="3"/>
      <c r="P42" s="3"/>
      <c r="Q42" s="2"/>
      <c r="R42" s="2"/>
      <c r="S42" s="2"/>
      <c r="T42" s="2">
        <v>2012</v>
      </c>
      <c r="U42" s="2" t="e">
        <f>(#REF!/#REF!)*100</f>
        <v>#REF!</v>
      </c>
      <c r="V42" s="2" t="e">
        <f>(#REF!/#REF!)*100</f>
        <v>#REF!</v>
      </c>
      <c r="W42" s="2" t="e">
        <f>(#REF!/#REF!)*100</f>
        <v>#REF!</v>
      </c>
      <c r="X42" s="2" t="e">
        <f>(#REF!/#REF!)*100</f>
        <v>#REF!</v>
      </c>
      <c r="Y42" s="2" t="e">
        <f>(#REF!/#REF!)*100</f>
        <v>#REF!</v>
      </c>
      <c r="Z42" s="2" t="e">
        <f>(#REF!/#REF!)*100</f>
        <v>#REF!</v>
      </c>
      <c r="AA42" s="2" t="e">
        <f>(#REF!/#REF!)*100</f>
        <v>#REF!</v>
      </c>
      <c r="AB42" s="2"/>
      <c r="AC42" s="3"/>
      <c r="AD42" s="3"/>
      <c r="AE42" s="3"/>
      <c r="AF42" s="3"/>
      <c r="AG42" s="3"/>
      <c r="AH42" s="3"/>
      <c r="AI42" s="3"/>
    </row>
    <row r="43" spans="1:36">
      <c r="M43" s="3"/>
      <c r="N43" s="3"/>
      <c r="O43" s="3"/>
      <c r="P43" s="3"/>
      <c r="Q43" s="2"/>
      <c r="R43" s="2"/>
      <c r="S43" s="2"/>
      <c r="T43" s="2">
        <v>2013</v>
      </c>
      <c r="U43" s="2" t="e">
        <f>(#REF!/#REF!)*100</f>
        <v>#REF!</v>
      </c>
      <c r="V43" s="2" t="e">
        <f>(#REF!/#REF!)*100</f>
        <v>#REF!</v>
      </c>
      <c r="W43" s="2" t="e">
        <f>(#REF!/#REF!)*100</f>
        <v>#REF!</v>
      </c>
      <c r="X43" s="2" t="e">
        <f>(#REF!/#REF!)*100</f>
        <v>#REF!</v>
      </c>
      <c r="Y43" s="2" t="e">
        <f>(#REF!/#REF!)*100</f>
        <v>#REF!</v>
      </c>
      <c r="Z43" s="2" t="e">
        <f>(#REF!/#REF!)*100</f>
        <v>#REF!</v>
      </c>
      <c r="AA43" s="2" t="e">
        <f>(#REF!/#REF!)*100</f>
        <v>#REF!</v>
      </c>
      <c r="AB43" s="2"/>
      <c r="AC43" s="3"/>
      <c r="AD43" s="3"/>
      <c r="AE43" s="3"/>
      <c r="AF43" s="3"/>
      <c r="AG43" s="3"/>
      <c r="AH43" s="3"/>
      <c r="AI43" s="3"/>
    </row>
    <row r="44" spans="1:36">
      <c r="A44" s="259"/>
      <c r="B44" s="259"/>
      <c r="C44" s="259"/>
      <c r="D44" s="259"/>
      <c r="E44" s="259"/>
      <c r="F44" s="259"/>
      <c r="G44" s="259"/>
      <c r="H44" s="259"/>
      <c r="I44" s="259"/>
      <c r="J44" s="25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36">
      <c r="A45" s="259"/>
      <c r="B45" s="259"/>
      <c r="C45" s="259"/>
      <c r="D45" s="259"/>
      <c r="E45" s="259"/>
      <c r="F45" s="259"/>
      <c r="G45" s="259"/>
      <c r="H45" s="259"/>
      <c r="I45" s="259"/>
      <c r="J45" s="259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36">
      <c r="A46" s="259"/>
      <c r="B46" s="259"/>
      <c r="C46" s="259"/>
      <c r="D46" s="259"/>
      <c r="E46" s="259"/>
      <c r="F46" s="259"/>
      <c r="G46" s="259"/>
      <c r="H46" s="259"/>
      <c r="I46" s="259"/>
      <c r="J46" s="259"/>
    </row>
    <row r="47" spans="1:36">
      <c r="A47" s="259"/>
      <c r="B47" s="259"/>
      <c r="C47" s="259"/>
      <c r="D47" s="259"/>
      <c r="E47" s="259"/>
      <c r="F47" s="259"/>
      <c r="G47" s="259"/>
      <c r="H47" s="259"/>
      <c r="I47" s="259"/>
      <c r="J47" s="259"/>
    </row>
  </sheetData>
  <mergeCells count="3">
    <mergeCell ref="A1:J1"/>
    <mergeCell ref="B2:J2"/>
    <mergeCell ref="A34:J34"/>
  </mergeCells>
  <printOptions gridLines="1"/>
  <pageMargins left="0.70866141732283472" right="0.70866141732283472" top="0.74803149606299213" bottom="0.74803149606299213" header="0.31496062992125984" footer="0.31496062992125984"/>
  <pageSetup scale="90"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G43"/>
  <sheetViews>
    <sheetView view="pageBreakPreview" zoomScaleNormal="100" zoomScaleSheetLayoutView="100" workbookViewId="0">
      <selection activeCell="N2" sqref="B2:S2"/>
    </sheetView>
  </sheetViews>
  <sheetFormatPr defaultRowHeight="15"/>
  <cols>
    <col min="1" max="1" width="9.140625" style="125"/>
    <col min="2" max="6" width="10.140625" style="125" customWidth="1"/>
    <col min="7" max="7" width="10.140625" style="259" customWidth="1"/>
    <col min="8" max="12" width="10.140625" style="125" customWidth="1"/>
    <col min="13" max="13" width="10.140625" style="259" customWidth="1"/>
    <col min="14" max="39" width="10.140625" style="125" customWidth="1"/>
    <col min="40" max="41" width="10.140625" style="125" bestFit="1" customWidth="1"/>
    <col min="42" max="42" width="9.140625" style="125"/>
    <col min="43" max="59" width="0" style="125" hidden="1" customWidth="1"/>
    <col min="60" max="16384" width="9.140625" style="125"/>
  </cols>
  <sheetData>
    <row r="1" spans="1:59" ht="15" customHeight="1">
      <c r="A1" s="454" t="s">
        <v>376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59" ht="34.5" customHeight="1">
      <c r="A2" s="115"/>
      <c r="B2" s="462" t="s">
        <v>5</v>
      </c>
      <c r="C2" s="462"/>
      <c r="D2" s="462"/>
      <c r="E2" s="462"/>
      <c r="F2" s="462"/>
      <c r="G2" s="462"/>
      <c r="H2" s="462" t="s">
        <v>6</v>
      </c>
      <c r="I2" s="462"/>
      <c r="J2" s="462"/>
      <c r="K2" s="462"/>
      <c r="L2" s="462"/>
      <c r="M2" s="462"/>
      <c r="N2" s="462" t="s">
        <v>7</v>
      </c>
      <c r="O2" s="462"/>
      <c r="P2" s="462"/>
      <c r="Q2" s="462"/>
      <c r="R2" s="462"/>
      <c r="S2" s="462"/>
    </row>
    <row r="3" spans="1:59" ht="75">
      <c r="A3" s="115"/>
      <c r="B3" s="115" t="s">
        <v>80</v>
      </c>
      <c r="C3" s="115" t="s">
        <v>83</v>
      </c>
      <c r="D3" s="115" t="s">
        <v>84</v>
      </c>
      <c r="E3" s="115" t="s">
        <v>81</v>
      </c>
      <c r="F3" s="384" t="s">
        <v>540</v>
      </c>
      <c r="G3" s="248" t="s">
        <v>369</v>
      </c>
      <c r="H3" s="115" t="s">
        <v>80</v>
      </c>
      <c r="I3" s="115" t="s">
        <v>83</v>
      </c>
      <c r="J3" s="115" t="s">
        <v>84</v>
      </c>
      <c r="K3" s="115" t="s">
        <v>81</v>
      </c>
      <c r="L3" s="384" t="s">
        <v>540</v>
      </c>
      <c r="M3" s="248" t="s">
        <v>369</v>
      </c>
      <c r="N3" s="115" t="s">
        <v>80</v>
      </c>
      <c r="O3" s="115" t="s">
        <v>83</v>
      </c>
      <c r="P3" s="115" t="s">
        <v>84</v>
      </c>
      <c r="Q3" s="115" t="s">
        <v>81</v>
      </c>
      <c r="R3" s="384" t="s">
        <v>540</v>
      </c>
      <c r="S3" s="248" t="s">
        <v>369</v>
      </c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</row>
    <row r="4" spans="1:59" s="128" customFormat="1">
      <c r="A4" s="115">
        <v>1990</v>
      </c>
      <c r="B4" s="129" t="s">
        <v>9</v>
      </c>
      <c r="C4" s="129">
        <v>3091869</v>
      </c>
      <c r="D4" s="129">
        <v>40059</v>
      </c>
      <c r="E4" s="10" t="s">
        <v>9</v>
      </c>
      <c r="F4" s="129" t="s">
        <v>9</v>
      </c>
      <c r="G4" s="129">
        <f>(C4/D4)*1000</f>
        <v>77182.880251628842</v>
      </c>
      <c r="H4" s="129" t="s">
        <v>9</v>
      </c>
      <c r="I4" s="129">
        <v>2491974</v>
      </c>
      <c r="J4" s="129">
        <v>29483</v>
      </c>
      <c r="K4" s="10" t="s">
        <v>9</v>
      </c>
      <c r="L4" s="10" t="s">
        <v>9</v>
      </c>
      <c r="M4" s="129">
        <f>(I4/J4)*1000</f>
        <v>84522.402740562349</v>
      </c>
      <c r="N4" s="129" t="s">
        <v>9</v>
      </c>
      <c r="O4" s="129">
        <v>599895</v>
      </c>
      <c r="P4" s="129">
        <v>10576</v>
      </c>
      <c r="Q4" s="10" t="s">
        <v>9</v>
      </c>
      <c r="R4" s="10" t="s">
        <v>9</v>
      </c>
      <c r="S4" s="129">
        <f>(O4/P4)*1000</f>
        <v>56722.295763993949</v>
      </c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</row>
    <row r="5" spans="1:59" s="128" customFormat="1">
      <c r="A5" s="115">
        <v>1991</v>
      </c>
      <c r="B5" s="129" t="s">
        <v>9</v>
      </c>
      <c r="C5" s="129">
        <v>2814259</v>
      </c>
      <c r="D5" s="129">
        <v>38366</v>
      </c>
      <c r="E5" s="10" t="s">
        <v>9</v>
      </c>
      <c r="F5" s="129" t="s">
        <v>9</v>
      </c>
      <c r="G5" s="129">
        <f t="shared" ref="G5:G24" si="0">(C5/D5)*1000</f>
        <v>73352.942709690877</v>
      </c>
      <c r="H5" s="129" t="s">
        <v>9</v>
      </c>
      <c r="I5" s="129">
        <v>2157416</v>
      </c>
      <c r="J5" s="129">
        <v>28130</v>
      </c>
      <c r="K5" s="10" t="s">
        <v>9</v>
      </c>
      <c r="L5" s="10" t="s">
        <v>9</v>
      </c>
      <c r="M5" s="129">
        <f t="shared" ref="M5:M24" si="1">(I5/J5)*1000</f>
        <v>76694.489868467819</v>
      </c>
      <c r="N5" s="129" t="s">
        <v>9</v>
      </c>
      <c r="O5" s="129">
        <v>656843</v>
      </c>
      <c r="P5" s="129">
        <v>10236</v>
      </c>
      <c r="Q5" s="10" t="s">
        <v>9</v>
      </c>
      <c r="R5" s="10" t="s">
        <v>9</v>
      </c>
      <c r="S5" s="129">
        <f t="shared" ref="S5:S24" si="2">(O5/P5)*1000</f>
        <v>64169.890582258689</v>
      </c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</row>
    <row r="6" spans="1:59" s="128" customFormat="1">
      <c r="A6" s="115">
        <v>1992</v>
      </c>
      <c r="B6" s="129" t="s">
        <v>9</v>
      </c>
      <c r="C6" s="129">
        <v>2386692</v>
      </c>
      <c r="D6" s="129">
        <v>34885</v>
      </c>
      <c r="E6" s="10" t="s">
        <v>9</v>
      </c>
      <c r="F6" s="129" t="s">
        <v>9</v>
      </c>
      <c r="G6" s="129">
        <f t="shared" si="0"/>
        <v>68415.9954135015</v>
      </c>
      <c r="H6" s="129" t="s">
        <v>9</v>
      </c>
      <c r="I6" s="129">
        <v>1788030</v>
      </c>
      <c r="J6" s="129">
        <v>24932</v>
      </c>
      <c r="K6" s="10" t="s">
        <v>9</v>
      </c>
      <c r="L6" s="10" t="s">
        <v>9</v>
      </c>
      <c r="M6" s="129">
        <f t="shared" si="1"/>
        <v>71716.268249639019</v>
      </c>
      <c r="N6" s="129" t="s">
        <v>9</v>
      </c>
      <c r="O6" s="129">
        <v>598662</v>
      </c>
      <c r="P6" s="129">
        <v>9953</v>
      </c>
      <c r="Q6" s="10" t="s">
        <v>9</v>
      </c>
      <c r="R6" s="10" t="s">
        <v>9</v>
      </c>
      <c r="S6" s="129">
        <f t="shared" si="2"/>
        <v>60148.899829197224</v>
      </c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</row>
    <row r="7" spans="1:59" s="128" customFormat="1">
      <c r="A7" s="115">
        <v>1993</v>
      </c>
      <c r="B7" s="129" t="s">
        <v>9</v>
      </c>
      <c r="C7" s="129">
        <v>2779209</v>
      </c>
      <c r="D7" s="129">
        <v>33376</v>
      </c>
      <c r="E7" s="10" t="s">
        <v>9</v>
      </c>
      <c r="F7" s="129" t="s">
        <v>9</v>
      </c>
      <c r="G7" s="129">
        <f t="shared" si="0"/>
        <v>83269.684803451586</v>
      </c>
      <c r="H7" s="129" t="s">
        <v>9</v>
      </c>
      <c r="I7" s="129">
        <v>2091564</v>
      </c>
      <c r="J7" s="129">
        <v>23989</v>
      </c>
      <c r="K7" s="10" t="s">
        <v>9</v>
      </c>
      <c r="L7" s="10" t="s">
        <v>9</v>
      </c>
      <c r="M7" s="129">
        <f t="shared" si="1"/>
        <v>87188.461378131644</v>
      </c>
      <c r="N7" s="129" t="s">
        <v>9</v>
      </c>
      <c r="O7" s="129">
        <v>687645</v>
      </c>
      <c r="P7" s="129">
        <v>9387</v>
      </c>
      <c r="Q7" s="10" t="s">
        <v>9</v>
      </c>
      <c r="R7" s="10" t="s">
        <v>9</v>
      </c>
      <c r="S7" s="129">
        <f t="shared" si="2"/>
        <v>73255.033557046991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</row>
    <row r="8" spans="1:59" s="128" customFormat="1">
      <c r="A8" s="115">
        <v>1994</v>
      </c>
      <c r="B8" s="129" t="s">
        <v>9</v>
      </c>
      <c r="C8" s="129">
        <v>3471266</v>
      </c>
      <c r="D8" s="129">
        <v>33891</v>
      </c>
      <c r="E8" s="10" t="s">
        <v>9</v>
      </c>
      <c r="F8" s="129" t="s">
        <v>9</v>
      </c>
      <c r="G8" s="129">
        <f t="shared" si="0"/>
        <v>102424.41946239414</v>
      </c>
      <c r="H8" s="129" t="s">
        <v>9</v>
      </c>
      <c r="I8" s="129">
        <v>2766646</v>
      </c>
      <c r="J8" s="129">
        <v>24232</v>
      </c>
      <c r="K8" s="10" t="s">
        <v>9</v>
      </c>
      <c r="L8" s="10" t="s">
        <v>9</v>
      </c>
      <c r="M8" s="129">
        <f t="shared" si="1"/>
        <v>114173.24199405745</v>
      </c>
      <c r="N8" s="129" t="s">
        <v>9</v>
      </c>
      <c r="O8" s="129">
        <v>704620</v>
      </c>
      <c r="P8" s="129">
        <v>9659</v>
      </c>
      <c r="Q8" s="10" t="s">
        <v>9</v>
      </c>
      <c r="R8" s="10" t="s">
        <v>9</v>
      </c>
      <c r="S8" s="129">
        <f t="shared" si="2"/>
        <v>72949.580701936007</v>
      </c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BA8" s="128" t="s">
        <v>32</v>
      </c>
    </row>
    <row r="9" spans="1:59" s="128" customFormat="1">
      <c r="A9" s="115">
        <v>1995</v>
      </c>
      <c r="B9" s="129" t="s">
        <v>9</v>
      </c>
      <c r="C9" s="129">
        <v>5902588</v>
      </c>
      <c r="D9" s="129">
        <v>34932</v>
      </c>
      <c r="E9" s="10" t="s">
        <v>9</v>
      </c>
      <c r="F9" s="129" t="s">
        <v>9</v>
      </c>
      <c r="G9" s="129">
        <f t="shared" si="0"/>
        <v>168973.66311691285</v>
      </c>
      <c r="H9" s="129" t="s">
        <v>9</v>
      </c>
      <c r="I9" s="129">
        <v>5126747</v>
      </c>
      <c r="J9" s="129">
        <v>24747</v>
      </c>
      <c r="K9" s="10" t="s">
        <v>9</v>
      </c>
      <c r="L9" s="10" t="s">
        <v>9</v>
      </c>
      <c r="M9" s="129">
        <f t="shared" si="1"/>
        <v>207166.40400856669</v>
      </c>
      <c r="N9" s="129" t="s">
        <v>9</v>
      </c>
      <c r="O9" s="129">
        <v>775841</v>
      </c>
      <c r="P9" s="129">
        <v>10185</v>
      </c>
      <c r="Q9" s="10" t="s">
        <v>9</v>
      </c>
      <c r="R9" s="10" t="s">
        <v>9</v>
      </c>
      <c r="S9" s="129">
        <f t="shared" si="2"/>
        <v>76174.864997545417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R9" s="128" t="s">
        <v>24</v>
      </c>
      <c r="BA9" s="128" t="s">
        <v>16</v>
      </c>
      <c r="BB9" s="128" t="s">
        <v>8</v>
      </c>
      <c r="BC9" s="128" t="s">
        <v>3</v>
      </c>
      <c r="BD9" s="128" t="s">
        <v>4</v>
      </c>
      <c r="BE9" s="128" t="s">
        <v>17</v>
      </c>
      <c r="BF9" s="128" t="s">
        <v>6</v>
      </c>
      <c r="BG9" s="128" t="s">
        <v>7</v>
      </c>
    </row>
    <row r="10" spans="1:59" s="128" customFormat="1">
      <c r="A10" s="115">
        <v>1996</v>
      </c>
      <c r="B10" s="129" t="s">
        <v>9</v>
      </c>
      <c r="C10" s="129">
        <v>4750202</v>
      </c>
      <c r="D10" s="129">
        <v>34930</v>
      </c>
      <c r="E10" s="10" t="s">
        <v>9</v>
      </c>
      <c r="F10" s="129" t="s">
        <v>9</v>
      </c>
      <c r="G10" s="129">
        <f t="shared" si="0"/>
        <v>135992.04122530777</v>
      </c>
      <c r="H10" s="129" t="s">
        <v>9</v>
      </c>
      <c r="I10" s="129">
        <v>3925598</v>
      </c>
      <c r="J10" s="129">
        <v>24340</v>
      </c>
      <c r="K10" s="10" t="s">
        <v>9</v>
      </c>
      <c r="L10" s="10" t="s">
        <v>9</v>
      </c>
      <c r="M10" s="129">
        <f t="shared" si="1"/>
        <v>161281.75842235005</v>
      </c>
      <c r="N10" s="129" t="s">
        <v>9</v>
      </c>
      <c r="O10" s="129">
        <v>824604</v>
      </c>
      <c r="P10" s="129">
        <v>10590</v>
      </c>
      <c r="Q10" s="10" t="s">
        <v>9</v>
      </c>
      <c r="R10" s="10" t="s">
        <v>9</v>
      </c>
      <c r="S10" s="129">
        <f t="shared" si="2"/>
        <v>77866.288951841358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R10" s="128" t="s">
        <v>16</v>
      </c>
      <c r="AS10" s="128" t="s">
        <v>8</v>
      </c>
      <c r="AT10" s="128" t="s">
        <v>3</v>
      </c>
      <c r="AU10" s="128" t="s">
        <v>4</v>
      </c>
      <c r="AV10" s="128" t="s">
        <v>17</v>
      </c>
      <c r="AW10" s="128" t="s">
        <v>6</v>
      </c>
      <c r="AX10" s="128" t="s">
        <v>7</v>
      </c>
      <c r="AZ10" s="128" t="s">
        <v>19</v>
      </c>
      <c r="BA10" s="128" t="e">
        <f>((#REF!/#REF!)^(1/3)-1)*100</f>
        <v>#REF!</v>
      </c>
      <c r="BB10" s="128" t="e">
        <f>((#REF!/#REF!)^(1/3)-1)*100</f>
        <v>#REF!</v>
      </c>
      <c r="BC10" s="128" t="e">
        <f>((#REF!/#REF!)^(1/3)-1)*100</f>
        <v>#REF!</v>
      </c>
      <c r="BD10" s="128" t="e">
        <f>((#REF!/#REF!)^(1/3)-1)*100</f>
        <v>#REF!</v>
      </c>
      <c r="BE10" s="128" t="e">
        <f>((#REF!/#REF!)^(1/3)-1)*100</f>
        <v>#REF!</v>
      </c>
      <c r="BF10" s="128" t="e">
        <f>((AN14/AN11)^(1/3)-1)*100</f>
        <v>#DIV/0!</v>
      </c>
      <c r="BG10" s="128" t="e">
        <f t="shared" ref="BG10" si="3">((AO14/AO11)^(1/3)-1)*100</f>
        <v>#DIV/0!</v>
      </c>
    </row>
    <row r="11" spans="1:59" s="128" customFormat="1">
      <c r="A11" s="115">
        <v>1997</v>
      </c>
      <c r="B11" s="129" t="s">
        <v>9</v>
      </c>
      <c r="C11" s="129">
        <v>4207379</v>
      </c>
      <c r="D11" s="129">
        <v>35165</v>
      </c>
      <c r="E11" s="10" t="s">
        <v>9</v>
      </c>
      <c r="F11" s="129" t="s">
        <v>9</v>
      </c>
      <c r="G11" s="129">
        <f t="shared" si="0"/>
        <v>119646.77946822124</v>
      </c>
      <c r="H11" s="129" t="s">
        <v>9</v>
      </c>
      <c r="I11" s="129">
        <v>3346265</v>
      </c>
      <c r="J11" s="129">
        <v>24145</v>
      </c>
      <c r="K11" s="10" t="s">
        <v>9</v>
      </c>
      <c r="L11" s="10" t="s">
        <v>9</v>
      </c>
      <c r="M11" s="129">
        <f t="shared" si="1"/>
        <v>138590.39138538</v>
      </c>
      <c r="N11" s="129" t="s">
        <v>9</v>
      </c>
      <c r="O11" s="129">
        <v>861114</v>
      </c>
      <c r="P11" s="129">
        <v>11020</v>
      </c>
      <c r="Q11" s="10" t="s">
        <v>9</v>
      </c>
      <c r="R11" s="10" t="s">
        <v>9</v>
      </c>
      <c r="S11" s="129">
        <f t="shared" si="2"/>
        <v>78141.0163339383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Q11" s="128">
        <v>1998</v>
      </c>
      <c r="AR11" s="128" t="e">
        <f>((#REF!/#REF!)-1)*100</f>
        <v>#REF!</v>
      </c>
      <c r="AS11" s="128" t="e">
        <f>((#REF!/#REF!)-1)*100</f>
        <v>#REF!</v>
      </c>
      <c r="AT11" s="128" t="e">
        <f>((#REF!/#REF!)-1)*100</f>
        <v>#REF!</v>
      </c>
      <c r="AU11" s="128" t="e">
        <f>((#REF!/#REF!)-1)*100</f>
        <v>#REF!</v>
      </c>
      <c r="AV11" s="128" t="e">
        <f>((#REF!/#REF!)-1)*100</f>
        <v>#REF!</v>
      </c>
      <c r="AW11" s="128" t="e">
        <f t="shared" ref="AW11:AX23" si="4">((AN12/AN11)-1)*100</f>
        <v>#DIV/0!</v>
      </c>
      <c r="AX11" s="128" t="e">
        <f t="shared" si="4"/>
        <v>#DIV/0!</v>
      </c>
      <c r="AZ11" s="128" t="s">
        <v>21</v>
      </c>
      <c r="BA11" s="128" t="e">
        <f>((#REF!/#REF!)^(1/8)-1)*100</f>
        <v>#REF!</v>
      </c>
      <c r="BB11" s="128" t="e">
        <f>((#REF!/#REF!)^(1/8)-1)*100</f>
        <v>#REF!</v>
      </c>
      <c r="BC11" s="128" t="e">
        <f>((#REF!/#REF!)^(1/8)-1)*100</f>
        <v>#REF!</v>
      </c>
      <c r="BD11" s="128" t="e">
        <f>((#REF!/#REF!)^(1/8)-1)*100</f>
        <v>#REF!</v>
      </c>
      <c r="BE11" s="128" t="e">
        <f>((#REF!/#REF!)^(1/8)-1)*100</f>
        <v>#REF!</v>
      </c>
      <c r="BF11" s="128" t="e">
        <f>((AN22/AN14)^(1/8)-1)*100</f>
        <v>#DIV/0!</v>
      </c>
      <c r="BG11" s="128" t="e">
        <f t="shared" ref="BG11" si="5">((AO22/AO14)^(1/8)-1)*100</f>
        <v>#DIV/0!</v>
      </c>
    </row>
    <row r="12" spans="1:59" s="128" customFormat="1">
      <c r="A12" s="115">
        <v>1998</v>
      </c>
      <c r="B12" s="129">
        <v>198</v>
      </c>
      <c r="C12" s="129">
        <v>5072113</v>
      </c>
      <c r="D12" s="129">
        <v>34029</v>
      </c>
      <c r="E12" s="11">
        <f t="shared" ref="E12:E24" si="6">D12/B12</f>
        <v>171.86363636363637</v>
      </c>
      <c r="F12" s="129">
        <f t="shared" ref="F12:F24" si="7">C12/B12</f>
        <v>25616.732323232322</v>
      </c>
      <c r="G12" s="129">
        <f t="shared" si="0"/>
        <v>149052.66096564694</v>
      </c>
      <c r="H12" s="129">
        <v>65</v>
      </c>
      <c r="I12" s="129">
        <v>3865425</v>
      </c>
      <c r="J12" s="129">
        <v>20723</v>
      </c>
      <c r="K12" s="11">
        <f t="shared" ref="K12:K24" si="8">J12/H12</f>
        <v>318.81538461538463</v>
      </c>
      <c r="L12" s="10">
        <f t="shared" ref="L12:L24" si="9">I12/H12</f>
        <v>59468.076923076922</v>
      </c>
      <c r="M12" s="129">
        <f t="shared" si="1"/>
        <v>186528.253631231</v>
      </c>
      <c r="N12" s="129">
        <v>133</v>
      </c>
      <c r="O12" s="129">
        <v>1206688</v>
      </c>
      <c r="P12" s="129">
        <v>13306</v>
      </c>
      <c r="Q12" s="11">
        <f t="shared" ref="Q12:Q24" si="10">P12/N12</f>
        <v>100.04511278195488</v>
      </c>
      <c r="R12" s="10">
        <f t="shared" ref="R12:R24" si="11">O12/N12</f>
        <v>9072.8421052631584</v>
      </c>
      <c r="S12" s="129">
        <f t="shared" si="2"/>
        <v>90687.509394258232</v>
      </c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Q12" s="128">
        <v>1999</v>
      </c>
      <c r="AR12" s="128" t="e">
        <f>((#REF!/#REF!)-1)*100</f>
        <v>#REF!</v>
      </c>
      <c r="AS12" s="128" t="e">
        <f>((#REF!/#REF!)-1)*100</f>
        <v>#REF!</v>
      </c>
      <c r="AT12" s="128" t="e">
        <f>((#REF!/#REF!)-1)*100</f>
        <v>#REF!</v>
      </c>
      <c r="AU12" s="128" t="e">
        <f>((#REF!/#REF!)-1)*100</f>
        <v>#REF!</v>
      </c>
      <c r="AV12" s="128" t="e">
        <f>((#REF!/#REF!)-1)*100</f>
        <v>#REF!</v>
      </c>
      <c r="AW12" s="128" t="e">
        <f t="shared" si="4"/>
        <v>#DIV/0!</v>
      </c>
      <c r="AX12" s="128" t="e">
        <f t="shared" si="4"/>
        <v>#DIV/0!</v>
      </c>
      <c r="AZ12" s="128" t="s">
        <v>22</v>
      </c>
      <c r="BA12" s="128" t="e">
        <f>((#REF!/#REF!)^(1/5)-1)*100</f>
        <v>#REF!</v>
      </c>
      <c r="BB12" s="128" t="e">
        <f>((#REF!/#REF!)^(1/5)-1)*100</f>
        <v>#REF!</v>
      </c>
      <c r="BC12" s="128" t="e">
        <f>((#REF!/#REF!)^(1/5)-1)*100</f>
        <v>#REF!</v>
      </c>
      <c r="BD12" s="128" t="e">
        <f>((#REF!/#REF!)^(1/5)-1)*100</f>
        <v>#REF!</v>
      </c>
      <c r="BE12" s="128" t="e">
        <f>((#REF!/#REF!)^(1/5)-1)*100</f>
        <v>#REF!</v>
      </c>
      <c r="BF12" s="128" t="e">
        <f>((#REF!/AN22)^(1/5)-1)*100</f>
        <v>#REF!</v>
      </c>
      <c r="BG12" s="128" t="e">
        <f>((#REF!/AO22)^(1/5)-1)*100</f>
        <v>#REF!</v>
      </c>
    </row>
    <row r="13" spans="1:59" s="128" customFormat="1">
      <c r="A13" s="115">
        <v>1999</v>
      </c>
      <c r="B13" s="129">
        <v>211</v>
      </c>
      <c r="C13" s="129">
        <v>5041509</v>
      </c>
      <c r="D13" s="129">
        <v>34455</v>
      </c>
      <c r="E13" s="11">
        <f t="shared" si="6"/>
        <v>163.29383886255926</v>
      </c>
      <c r="F13" s="129">
        <f t="shared" si="7"/>
        <v>23893.407582938387</v>
      </c>
      <c r="G13" s="129">
        <f t="shared" si="0"/>
        <v>146321.54984762735</v>
      </c>
      <c r="H13" s="129">
        <v>72</v>
      </c>
      <c r="I13" s="129">
        <v>3655362</v>
      </c>
      <c r="J13" s="129">
        <v>20683</v>
      </c>
      <c r="K13" s="11">
        <f t="shared" si="8"/>
        <v>287.26388888888891</v>
      </c>
      <c r="L13" s="10">
        <f t="shared" si="9"/>
        <v>50768.916666666664</v>
      </c>
      <c r="M13" s="129">
        <f t="shared" si="1"/>
        <v>176732.67901174878</v>
      </c>
      <c r="N13" s="129">
        <v>139</v>
      </c>
      <c r="O13" s="129">
        <v>1386147</v>
      </c>
      <c r="P13" s="129">
        <v>13772</v>
      </c>
      <c r="Q13" s="11">
        <f t="shared" si="10"/>
        <v>99.079136690647488</v>
      </c>
      <c r="R13" s="10">
        <f t="shared" si="11"/>
        <v>9972.2805755395675</v>
      </c>
      <c r="S13" s="129">
        <f t="shared" si="2"/>
        <v>100649.65146674412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Q13" s="128">
        <v>2000</v>
      </c>
      <c r="AR13" s="128" t="e">
        <f>((#REF!/#REF!)-1)*100</f>
        <v>#REF!</v>
      </c>
      <c r="AS13" s="128" t="e">
        <f>((#REF!/#REF!)-1)*100</f>
        <v>#REF!</v>
      </c>
      <c r="AT13" s="128" t="e">
        <f>((#REF!/#REF!)-1)*100</f>
        <v>#REF!</v>
      </c>
      <c r="AU13" s="128" t="e">
        <f>((#REF!/#REF!)-1)*100</f>
        <v>#REF!</v>
      </c>
      <c r="AV13" s="128" t="e">
        <f>((#REF!/#REF!)-1)*100</f>
        <v>#REF!</v>
      </c>
      <c r="AW13" s="128" t="e">
        <f t="shared" si="4"/>
        <v>#DIV/0!</v>
      </c>
      <c r="AX13" s="128" t="e">
        <f t="shared" si="4"/>
        <v>#DIV/0!</v>
      </c>
      <c r="AZ13" s="128" t="s">
        <v>18</v>
      </c>
      <c r="BA13" s="128" t="e">
        <f>((#REF!/#REF!)^(1/16)-1)*100</f>
        <v>#REF!</v>
      </c>
      <c r="BB13" s="128" t="e">
        <f>((#REF!/#REF!)^(1/16)-1)*100</f>
        <v>#REF!</v>
      </c>
      <c r="BC13" s="128" t="e">
        <f>((#REF!/#REF!)^(1/16)-1)*100</f>
        <v>#REF!</v>
      </c>
      <c r="BD13" s="128" t="e">
        <f>((#REF!/#REF!)^(1/16)-1)*100</f>
        <v>#REF!</v>
      </c>
      <c r="BE13" s="128" t="e">
        <f>((#REF!/#REF!)^(1/16)-1)*100</f>
        <v>#REF!</v>
      </c>
      <c r="BF13" s="128" t="e">
        <f>((#REF!/AN11)^(1/16)-1)*100</f>
        <v>#REF!</v>
      </c>
      <c r="BG13" s="128" t="e">
        <f>((#REF!/AO11)^(1/16)-1)*100</f>
        <v>#REF!</v>
      </c>
    </row>
    <row r="14" spans="1:59" s="128" customFormat="1">
      <c r="A14" s="115">
        <v>2000</v>
      </c>
      <c r="B14" s="129">
        <v>260</v>
      </c>
      <c r="C14" s="129">
        <v>5791590</v>
      </c>
      <c r="D14" s="129">
        <v>31305</v>
      </c>
      <c r="E14" s="11">
        <f t="shared" si="6"/>
        <v>120.40384615384616</v>
      </c>
      <c r="F14" s="129">
        <f t="shared" si="7"/>
        <v>22275.346153846152</v>
      </c>
      <c r="G14" s="129">
        <f t="shared" si="0"/>
        <v>185005.2707235266</v>
      </c>
      <c r="H14" s="129">
        <v>82</v>
      </c>
      <c r="I14" s="129">
        <v>4535535</v>
      </c>
      <c r="J14" s="129">
        <v>18795</v>
      </c>
      <c r="K14" s="11">
        <f t="shared" si="8"/>
        <v>229.20731707317074</v>
      </c>
      <c r="L14" s="10">
        <f t="shared" si="9"/>
        <v>55311.402439024387</v>
      </c>
      <c r="M14" s="129">
        <f t="shared" si="1"/>
        <v>241316.04150039906</v>
      </c>
      <c r="N14" s="129">
        <v>178</v>
      </c>
      <c r="O14" s="129">
        <v>1256055</v>
      </c>
      <c r="P14" s="129">
        <v>12510</v>
      </c>
      <c r="Q14" s="11">
        <f t="shared" si="10"/>
        <v>70.280898876404493</v>
      </c>
      <c r="R14" s="10">
        <f t="shared" si="11"/>
        <v>7056.4887640449442</v>
      </c>
      <c r="S14" s="129">
        <f t="shared" si="2"/>
        <v>100404.0767386091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Q14" s="128">
        <v>2001</v>
      </c>
      <c r="AR14" s="128" t="e">
        <f>((#REF!/#REF!)-1)*100</f>
        <v>#REF!</v>
      </c>
      <c r="AS14" s="128" t="e">
        <f>((#REF!/#REF!)-1)*100</f>
        <v>#REF!</v>
      </c>
      <c r="AT14" s="128" t="e">
        <f>((#REF!/#REF!)-1)*100</f>
        <v>#REF!</v>
      </c>
      <c r="AU14" s="128" t="e">
        <f>((#REF!/#REF!)-1)*100</f>
        <v>#REF!</v>
      </c>
      <c r="AV14" s="128" t="e">
        <f>((#REF!/#REF!)-1)*100</f>
        <v>#REF!</v>
      </c>
      <c r="AW14" s="128" t="e">
        <f t="shared" si="4"/>
        <v>#DIV/0!</v>
      </c>
      <c r="AX14" s="128" t="e">
        <f t="shared" si="4"/>
        <v>#DIV/0!</v>
      </c>
    </row>
    <row r="15" spans="1:59" s="128" customFormat="1">
      <c r="A15" s="115">
        <v>2001</v>
      </c>
      <c r="B15" s="129">
        <v>251</v>
      </c>
      <c r="C15" s="129">
        <v>5737692</v>
      </c>
      <c r="D15" s="129">
        <v>30967</v>
      </c>
      <c r="E15" s="11">
        <f t="shared" si="6"/>
        <v>123.37450199203187</v>
      </c>
      <c r="F15" s="129">
        <f t="shared" si="7"/>
        <v>22859.330677290836</v>
      </c>
      <c r="G15" s="129">
        <f t="shared" si="0"/>
        <v>185284.07659766846</v>
      </c>
      <c r="H15" s="129">
        <v>78</v>
      </c>
      <c r="I15" s="129">
        <v>4277686</v>
      </c>
      <c r="J15" s="129">
        <v>18164</v>
      </c>
      <c r="K15" s="11">
        <f t="shared" si="8"/>
        <v>232.87179487179486</v>
      </c>
      <c r="L15" s="10">
        <f t="shared" si="9"/>
        <v>54842.128205128203</v>
      </c>
      <c r="M15" s="129">
        <f t="shared" si="1"/>
        <v>235503.52345298394</v>
      </c>
      <c r="N15" s="129">
        <v>173</v>
      </c>
      <c r="O15" s="129">
        <v>1460006</v>
      </c>
      <c r="P15" s="129">
        <v>12803</v>
      </c>
      <c r="Q15" s="11">
        <f t="shared" si="10"/>
        <v>74.005780346820814</v>
      </c>
      <c r="R15" s="10">
        <f t="shared" si="11"/>
        <v>8439.3410404624283</v>
      </c>
      <c r="S15" s="129">
        <f t="shared" si="2"/>
        <v>114036.24150589705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Q15" s="128">
        <v>2002</v>
      </c>
      <c r="AR15" s="128" t="e">
        <f>((#REF!/#REF!)-1)*100</f>
        <v>#REF!</v>
      </c>
      <c r="AS15" s="128" t="e">
        <f>((#REF!/#REF!)-1)*100</f>
        <v>#REF!</v>
      </c>
      <c r="AT15" s="128" t="e">
        <f>((#REF!/#REF!)-1)*100</f>
        <v>#REF!</v>
      </c>
      <c r="AU15" s="128" t="e">
        <f>((#REF!/#REF!)-1)*100</f>
        <v>#REF!</v>
      </c>
      <c r="AV15" s="128" t="e">
        <f>((#REF!/#REF!)-1)*100</f>
        <v>#REF!</v>
      </c>
      <c r="AW15" s="128" t="e">
        <f t="shared" si="4"/>
        <v>#DIV/0!</v>
      </c>
      <c r="AX15" s="128" t="e">
        <f t="shared" si="4"/>
        <v>#DIV/0!</v>
      </c>
    </row>
    <row r="16" spans="1:59" s="128" customFormat="1">
      <c r="A16" s="115">
        <v>2002</v>
      </c>
      <c r="B16" s="129">
        <v>249</v>
      </c>
      <c r="C16" s="129">
        <v>5125633</v>
      </c>
      <c r="D16" s="129">
        <v>31193</v>
      </c>
      <c r="E16" s="11">
        <f t="shared" si="6"/>
        <v>125.27309236947791</v>
      </c>
      <c r="F16" s="129">
        <f t="shared" si="7"/>
        <v>20584.871485943775</v>
      </c>
      <c r="G16" s="129">
        <f t="shared" si="0"/>
        <v>164319.97563555927</v>
      </c>
      <c r="H16" s="129">
        <v>78</v>
      </c>
      <c r="I16" s="129">
        <v>3617596</v>
      </c>
      <c r="J16" s="129">
        <v>17839</v>
      </c>
      <c r="K16" s="11">
        <f t="shared" si="8"/>
        <v>228.7051282051282</v>
      </c>
      <c r="L16" s="10">
        <f t="shared" si="9"/>
        <v>46379.435897435898</v>
      </c>
      <c r="M16" s="129">
        <f t="shared" si="1"/>
        <v>202791.41207466787</v>
      </c>
      <c r="N16" s="129">
        <v>171</v>
      </c>
      <c r="O16" s="129">
        <v>1508037</v>
      </c>
      <c r="P16" s="129">
        <v>13354</v>
      </c>
      <c r="Q16" s="11">
        <f t="shared" si="10"/>
        <v>78.093567251461991</v>
      </c>
      <c r="R16" s="10">
        <f t="shared" si="11"/>
        <v>8818.9298245614027</v>
      </c>
      <c r="S16" s="129">
        <f t="shared" si="2"/>
        <v>112927.73700763816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Q16" s="128">
        <v>2003</v>
      </c>
      <c r="AR16" s="128" t="e">
        <f>((#REF!/#REF!)-1)*100</f>
        <v>#REF!</v>
      </c>
      <c r="AS16" s="128" t="e">
        <f>((#REF!/#REF!)-1)*100</f>
        <v>#REF!</v>
      </c>
      <c r="AT16" s="128" t="e">
        <f>((#REF!/#REF!)-1)*100</f>
        <v>#REF!</v>
      </c>
      <c r="AU16" s="128" t="e">
        <f>((#REF!/#REF!)-1)*100</f>
        <v>#REF!</v>
      </c>
      <c r="AV16" s="128" t="e">
        <f>((#REF!/#REF!)-1)*100</f>
        <v>#REF!</v>
      </c>
      <c r="AW16" s="128" t="e">
        <f t="shared" si="4"/>
        <v>#DIV/0!</v>
      </c>
      <c r="AX16" s="128" t="e">
        <f t="shared" si="4"/>
        <v>#DIV/0!</v>
      </c>
    </row>
    <row r="17" spans="1:50" s="95" customFormat="1" ht="15.75" thickBot="1">
      <c r="A17" s="94">
        <v>2003</v>
      </c>
      <c r="B17" s="98">
        <v>252</v>
      </c>
      <c r="C17" s="98">
        <v>4190229</v>
      </c>
      <c r="D17" s="98">
        <v>29884</v>
      </c>
      <c r="E17" s="100">
        <f t="shared" si="6"/>
        <v>118.58730158730158</v>
      </c>
      <c r="F17" s="98">
        <f t="shared" si="7"/>
        <v>16627.892857142859</v>
      </c>
      <c r="G17" s="82">
        <f t="shared" si="0"/>
        <v>140216.47035202783</v>
      </c>
      <c r="H17" s="98">
        <v>79</v>
      </c>
      <c r="I17" s="98">
        <v>2864324</v>
      </c>
      <c r="J17" s="98">
        <v>17370</v>
      </c>
      <c r="K17" s="100">
        <f t="shared" si="8"/>
        <v>219.87341772151899</v>
      </c>
      <c r="L17" s="101">
        <f t="shared" si="9"/>
        <v>36257.265822784808</v>
      </c>
      <c r="M17" s="82">
        <f t="shared" si="1"/>
        <v>164900.63327576281</v>
      </c>
      <c r="N17" s="98">
        <v>173</v>
      </c>
      <c r="O17" s="98">
        <v>1325905</v>
      </c>
      <c r="P17" s="82">
        <v>12514</v>
      </c>
      <c r="Q17" s="75">
        <f t="shared" si="10"/>
        <v>72.335260115606943</v>
      </c>
      <c r="R17" s="74">
        <f t="shared" si="11"/>
        <v>7664.1907514450868</v>
      </c>
      <c r="S17" s="82">
        <f t="shared" si="2"/>
        <v>105953.73182036119</v>
      </c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Q17" s="95">
        <v>2004</v>
      </c>
      <c r="AR17" s="95" t="e">
        <f>((#REF!/#REF!)-1)*100</f>
        <v>#REF!</v>
      </c>
      <c r="AS17" s="95" t="e">
        <f>((#REF!/#REF!)-1)*100</f>
        <v>#REF!</v>
      </c>
      <c r="AT17" s="95" t="e">
        <f>((#REF!/#REF!)-1)*100</f>
        <v>#REF!</v>
      </c>
      <c r="AU17" s="95" t="e">
        <f>((#REF!/#REF!)-1)*100</f>
        <v>#REF!</v>
      </c>
      <c r="AV17" s="95" t="e">
        <f>((#REF!/#REF!)-1)*100</f>
        <v>#REF!</v>
      </c>
      <c r="AW17" s="95" t="e">
        <f t="shared" si="4"/>
        <v>#DIV/0!</v>
      </c>
      <c r="AX17" s="95" t="e">
        <f t="shared" si="4"/>
        <v>#DIV/0!</v>
      </c>
    </row>
    <row r="18" spans="1:50" s="128" customFormat="1">
      <c r="A18" s="115">
        <v>2004</v>
      </c>
      <c r="B18" s="83">
        <v>340</v>
      </c>
      <c r="C18" s="83">
        <v>4105872</v>
      </c>
      <c r="D18" s="83">
        <v>27671</v>
      </c>
      <c r="E18" s="102">
        <f t="shared" si="6"/>
        <v>81.385294117647064</v>
      </c>
      <c r="F18" s="80">
        <f t="shared" si="7"/>
        <v>12076.094117647059</v>
      </c>
      <c r="G18" s="129">
        <f t="shared" si="0"/>
        <v>148381.77152976039</v>
      </c>
      <c r="H18" s="83">
        <v>97</v>
      </c>
      <c r="I18" s="83">
        <v>2751365</v>
      </c>
      <c r="J18" s="83">
        <v>16080</v>
      </c>
      <c r="K18" s="102">
        <f t="shared" si="8"/>
        <v>165.77319587628867</v>
      </c>
      <c r="L18" s="80">
        <f t="shared" si="9"/>
        <v>28364.587628865978</v>
      </c>
      <c r="M18" s="129">
        <f t="shared" si="1"/>
        <v>171104.78855721393</v>
      </c>
      <c r="N18" s="83">
        <v>243</v>
      </c>
      <c r="O18" s="83">
        <v>1354507</v>
      </c>
      <c r="P18" s="129">
        <v>11591</v>
      </c>
      <c r="Q18" s="11">
        <f t="shared" si="10"/>
        <v>47.699588477366255</v>
      </c>
      <c r="R18" s="10">
        <f t="shared" si="11"/>
        <v>5574.1028806584363</v>
      </c>
      <c r="S18" s="129">
        <f t="shared" si="2"/>
        <v>116858.5109136399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Q18" s="128">
        <v>2005</v>
      </c>
      <c r="AR18" s="128" t="e">
        <f>((#REF!/#REF!)-1)*100</f>
        <v>#REF!</v>
      </c>
      <c r="AS18" s="128" t="e">
        <f>((#REF!/#REF!)-1)*100</f>
        <v>#REF!</v>
      </c>
      <c r="AT18" s="128" t="e">
        <f>((#REF!/#REF!)-1)*100</f>
        <v>#REF!</v>
      </c>
      <c r="AU18" s="128" t="e">
        <f>((#REF!/#REF!)-1)*100</f>
        <v>#REF!</v>
      </c>
      <c r="AV18" s="128" t="e">
        <f>((#REF!/#REF!)-1)*100</f>
        <v>#REF!</v>
      </c>
      <c r="AW18" s="128" t="e">
        <f t="shared" si="4"/>
        <v>#DIV/0!</v>
      </c>
      <c r="AX18" s="128" t="e">
        <f t="shared" si="4"/>
        <v>#DIV/0!</v>
      </c>
    </row>
    <row r="19" spans="1:50" s="128" customFormat="1">
      <c r="A19" s="115">
        <v>2005</v>
      </c>
      <c r="B19" s="83">
        <v>327</v>
      </c>
      <c r="C19" s="83">
        <v>4205043</v>
      </c>
      <c r="D19" s="83">
        <v>26994</v>
      </c>
      <c r="E19" s="102">
        <f t="shared" si="6"/>
        <v>82.550458715596335</v>
      </c>
      <c r="F19" s="80">
        <f t="shared" si="7"/>
        <v>12859.458715596331</v>
      </c>
      <c r="G19" s="129">
        <f t="shared" si="0"/>
        <v>155776.95043342965</v>
      </c>
      <c r="H19" s="83">
        <v>109</v>
      </c>
      <c r="I19" s="83">
        <v>2928052</v>
      </c>
      <c r="J19" s="83">
        <v>16289</v>
      </c>
      <c r="K19" s="102">
        <f t="shared" si="8"/>
        <v>149.44036697247705</v>
      </c>
      <c r="L19" s="80">
        <f t="shared" si="9"/>
        <v>26862.862385321099</v>
      </c>
      <c r="M19" s="129">
        <f t="shared" si="1"/>
        <v>179756.40002455647</v>
      </c>
      <c r="N19" s="83">
        <v>218</v>
      </c>
      <c r="O19" s="83">
        <v>1276991</v>
      </c>
      <c r="P19" s="129">
        <v>10705</v>
      </c>
      <c r="Q19" s="11">
        <f t="shared" si="10"/>
        <v>49.105504587155963</v>
      </c>
      <c r="R19" s="10">
        <f t="shared" si="11"/>
        <v>5857.7568807339449</v>
      </c>
      <c r="S19" s="129">
        <f t="shared" si="2"/>
        <v>119289.21064922934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Q19" s="128">
        <v>2006</v>
      </c>
      <c r="AR19" s="128" t="e">
        <f>((#REF!/#REF!)-1)*100</f>
        <v>#REF!</v>
      </c>
      <c r="AS19" s="128" t="e">
        <f>((#REF!/#REF!)-1)*100</f>
        <v>#REF!</v>
      </c>
      <c r="AT19" s="128" t="e">
        <f>((#REF!/#REF!)-1)*100</f>
        <v>#REF!</v>
      </c>
      <c r="AU19" s="128" t="e">
        <f>((#REF!/#REF!)-1)*100</f>
        <v>#REF!</v>
      </c>
      <c r="AV19" s="128" t="e">
        <f>((#REF!/#REF!)-1)*100</f>
        <v>#REF!</v>
      </c>
      <c r="AW19" s="128" t="e">
        <f t="shared" si="4"/>
        <v>#DIV/0!</v>
      </c>
      <c r="AX19" s="128" t="e">
        <f t="shared" si="4"/>
        <v>#DIV/0!</v>
      </c>
    </row>
    <row r="20" spans="1:50" s="128" customFormat="1">
      <c r="A20" s="115">
        <v>2006</v>
      </c>
      <c r="B20" s="83">
        <v>314</v>
      </c>
      <c r="C20" s="83">
        <v>4092997</v>
      </c>
      <c r="D20" s="83">
        <v>25016</v>
      </c>
      <c r="E20" s="102">
        <f t="shared" si="6"/>
        <v>79.668789808917197</v>
      </c>
      <c r="F20" s="80">
        <f t="shared" si="7"/>
        <v>13035.02229299363</v>
      </c>
      <c r="G20" s="129">
        <f t="shared" si="0"/>
        <v>163615.16629357211</v>
      </c>
      <c r="H20" s="83">
        <v>99</v>
      </c>
      <c r="I20" s="83">
        <v>2963054</v>
      </c>
      <c r="J20" s="83">
        <v>15124</v>
      </c>
      <c r="K20" s="102">
        <f t="shared" si="8"/>
        <v>152.76767676767676</v>
      </c>
      <c r="L20" s="80">
        <f t="shared" si="9"/>
        <v>29929.838383838385</v>
      </c>
      <c r="M20" s="129">
        <f t="shared" si="1"/>
        <v>195917.3499074319</v>
      </c>
      <c r="N20" s="83">
        <v>215</v>
      </c>
      <c r="O20" s="83">
        <v>1129943</v>
      </c>
      <c r="P20" s="129">
        <v>9892</v>
      </c>
      <c r="Q20" s="11">
        <f t="shared" si="10"/>
        <v>46.009302325581395</v>
      </c>
      <c r="R20" s="10">
        <f t="shared" si="11"/>
        <v>5255.5488372093023</v>
      </c>
      <c r="S20" s="129">
        <f t="shared" si="2"/>
        <v>114227.96198948646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Q20" s="128">
        <v>2007</v>
      </c>
      <c r="AR20" s="128" t="e">
        <f>((#REF!/#REF!)-1)*100</f>
        <v>#REF!</v>
      </c>
      <c r="AS20" s="128" t="e">
        <f>((#REF!/#REF!)-1)*100</f>
        <v>#REF!</v>
      </c>
      <c r="AT20" s="128" t="e">
        <f>((#REF!/#REF!)-1)*100</f>
        <v>#REF!</v>
      </c>
      <c r="AU20" s="128" t="e">
        <f>((#REF!/#REF!)-1)*100</f>
        <v>#REF!</v>
      </c>
      <c r="AV20" s="128" t="e">
        <f>((#REF!/#REF!)-1)*100</f>
        <v>#REF!</v>
      </c>
      <c r="AW20" s="128" t="e">
        <f t="shared" si="4"/>
        <v>#DIV/0!</v>
      </c>
      <c r="AX20" s="128" t="e">
        <f t="shared" si="4"/>
        <v>#DIV/0!</v>
      </c>
    </row>
    <row r="21" spans="1:50" s="128" customFormat="1">
      <c r="A21" s="115">
        <v>2007</v>
      </c>
      <c r="B21" s="83">
        <v>309</v>
      </c>
      <c r="C21" s="83">
        <v>3541989</v>
      </c>
      <c r="D21" s="83">
        <v>23324</v>
      </c>
      <c r="E21" s="102">
        <f t="shared" si="6"/>
        <v>75.482200647249186</v>
      </c>
      <c r="F21" s="80">
        <f t="shared" si="7"/>
        <v>11462.747572815533</v>
      </c>
      <c r="G21" s="129">
        <f t="shared" si="0"/>
        <v>151860.27268050078</v>
      </c>
      <c r="H21" s="83">
        <v>94</v>
      </c>
      <c r="I21" s="83">
        <v>2447445</v>
      </c>
      <c r="J21" s="83">
        <v>13934</v>
      </c>
      <c r="K21" s="102">
        <f t="shared" si="8"/>
        <v>148.2340425531915</v>
      </c>
      <c r="L21" s="80">
        <f t="shared" si="9"/>
        <v>26036.648936170212</v>
      </c>
      <c r="M21" s="129">
        <f t="shared" si="1"/>
        <v>175645.54327544136</v>
      </c>
      <c r="N21" s="83">
        <v>215</v>
      </c>
      <c r="O21" s="83">
        <v>1094544</v>
      </c>
      <c r="P21" s="129">
        <v>9390</v>
      </c>
      <c r="Q21" s="11">
        <f t="shared" si="10"/>
        <v>43.674418604651166</v>
      </c>
      <c r="R21" s="10">
        <f t="shared" si="11"/>
        <v>5090.9023255813954</v>
      </c>
      <c r="S21" s="129">
        <f t="shared" si="2"/>
        <v>116564.85623003195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Q21" s="128">
        <v>2008</v>
      </c>
      <c r="AR21" s="128" t="e">
        <f>((#REF!/#REF!)-1)*100</f>
        <v>#REF!</v>
      </c>
      <c r="AS21" s="128" t="e">
        <f>((#REF!/#REF!)-1)*100</f>
        <v>#REF!</v>
      </c>
      <c r="AT21" s="128" t="e">
        <f>((#REF!/#REF!)-1)*100</f>
        <v>#REF!</v>
      </c>
      <c r="AU21" s="128" t="e">
        <f>((#REF!/#REF!)-1)*100</f>
        <v>#REF!</v>
      </c>
      <c r="AV21" s="128" t="e">
        <f>((#REF!/#REF!)-1)*100</f>
        <v>#REF!</v>
      </c>
      <c r="AW21" s="128" t="e">
        <f t="shared" si="4"/>
        <v>#DIV/0!</v>
      </c>
      <c r="AX21" s="128" t="e">
        <f t="shared" si="4"/>
        <v>#DIV/0!</v>
      </c>
    </row>
    <row r="22" spans="1:50" s="128" customFormat="1">
      <c r="A22" s="115">
        <v>2008</v>
      </c>
      <c r="B22" s="83">
        <v>297</v>
      </c>
      <c r="C22" s="83">
        <v>3603474</v>
      </c>
      <c r="D22" s="83">
        <v>21632</v>
      </c>
      <c r="E22" s="102">
        <f t="shared" si="6"/>
        <v>72.83501683501683</v>
      </c>
      <c r="F22" s="80">
        <f t="shared" si="7"/>
        <v>12132.90909090909</v>
      </c>
      <c r="G22" s="129">
        <f t="shared" si="0"/>
        <v>166580.71375739644</v>
      </c>
      <c r="H22" s="83">
        <v>97</v>
      </c>
      <c r="I22" s="83">
        <v>2498254</v>
      </c>
      <c r="J22" s="83">
        <v>12651</v>
      </c>
      <c r="K22" s="102">
        <f t="shared" si="8"/>
        <v>130.42268041237114</v>
      </c>
      <c r="L22" s="80">
        <f t="shared" si="9"/>
        <v>25755.195876288661</v>
      </c>
      <c r="M22" s="129">
        <f t="shared" si="1"/>
        <v>197474.82412457513</v>
      </c>
      <c r="N22" s="83">
        <v>200</v>
      </c>
      <c r="O22" s="83">
        <v>1105220</v>
      </c>
      <c r="P22" s="129">
        <v>8981</v>
      </c>
      <c r="Q22" s="11">
        <f t="shared" si="10"/>
        <v>44.905000000000001</v>
      </c>
      <c r="R22" s="10">
        <f t="shared" si="11"/>
        <v>5526.1</v>
      </c>
      <c r="S22" s="129">
        <f t="shared" si="2"/>
        <v>123062.01981961919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Q22" s="128">
        <v>2009</v>
      </c>
      <c r="AR22" s="128" t="e">
        <f>((#REF!/#REF!)-1)*100</f>
        <v>#REF!</v>
      </c>
      <c r="AS22" s="128" t="e">
        <f>((#REF!/#REF!)-1)*100</f>
        <v>#REF!</v>
      </c>
      <c r="AT22" s="128" t="e">
        <f>((#REF!/#REF!)-1)*100</f>
        <v>#REF!</v>
      </c>
      <c r="AU22" s="128" t="e">
        <f>((#REF!/#REF!)-1)*100</f>
        <v>#REF!</v>
      </c>
      <c r="AV22" s="128" t="e">
        <f>((#REF!/#REF!)-1)*100</f>
        <v>#REF!</v>
      </c>
      <c r="AW22" s="128" t="e">
        <f t="shared" si="4"/>
        <v>#DIV/0!</v>
      </c>
      <c r="AX22" s="128" t="e">
        <f t="shared" si="4"/>
        <v>#DIV/0!</v>
      </c>
    </row>
    <row r="23" spans="1:50" s="128" customFormat="1">
      <c r="A23" s="115">
        <v>2009</v>
      </c>
      <c r="B23" s="83">
        <v>291</v>
      </c>
      <c r="C23" s="83">
        <v>3136374</v>
      </c>
      <c r="D23" s="83">
        <v>19590</v>
      </c>
      <c r="E23" s="102">
        <f t="shared" si="6"/>
        <v>67.319587628865975</v>
      </c>
      <c r="F23" s="80">
        <f t="shared" si="7"/>
        <v>10777.917525773197</v>
      </c>
      <c r="G23" s="129">
        <f t="shared" si="0"/>
        <v>160100.76569678407</v>
      </c>
      <c r="H23" s="83">
        <v>100</v>
      </c>
      <c r="I23" s="83">
        <v>2028755</v>
      </c>
      <c r="J23" s="83">
        <v>10824</v>
      </c>
      <c r="K23" s="102">
        <f t="shared" si="8"/>
        <v>108.24</v>
      </c>
      <c r="L23" s="80">
        <f t="shared" si="9"/>
        <v>20287.55</v>
      </c>
      <c r="M23" s="129">
        <f t="shared" si="1"/>
        <v>187431.17147080562</v>
      </c>
      <c r="N23" s="83">
        <v>191</v>
      </c>
      <c r="O23" s="83">
        <v>1107619</v>
      </c>
      <c r="P23" s="129">
        <v>8766</v>
      </c>
      <c r="Q23" s="11">
        <f t="shared" si="10"/>
        <v>45.895287958115183</v>
      </c>
      <c r="R23" s="10">
        <f t="shared" si="11"/>
        <v>5799.0523560209422</v>
      </c>
      <c r="S23" s="129">
        <f t="shared" si="2"/>
        <v>126353.98129135295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Q23" s="128">
        <v>2010</v>
      </c>
      <c r="AR23" s="128" t="e">
        <f>((#REF!/#REF!)-1)*100</f>
        <v>#REF!</v>
      </c>
      <c r="AS23" s="128" t="e">
        <f>((#REF!/#REF!)-1)*100</f>
        <v>#REF!</v>
      </c>
      <c r="AT23" s="128" t="e">
        <f>((#REF!/#REF!)-1)*100</f>
        <v>#REF!</v>
      </c>
      <c r="AU23" s="128" t="e">
        <f>((#REF!/#REF!)-1)*100</f>
        <v>#REF!</v>
      </c>
      <c r="AV23" s="128" t="e">
        <f>((#REF!/#REF!)-1)*100</f>
        <v>#REF!</v>
      </c>
      <c r="AW23" s="128" t="e">
        <f t="shared" si="4"/>
        <v>#DIV/0!</v>
      </c>
      <c r="AX23" s="128" t="e">
        <f t="shared" si="4"/>
        <v>#DIV/0!</v>
      </c>
    </row>
    <row r="24" spans="1:50" s="128" customFormat="1">
      <c r="A24" s="115">
        <v>2010</v>
      </c>
      <c r="B24" s="83">
        <v>274</v>
      </c>
      <c r="C24" s="83">
        <v>3061808</v>
      </c>
      <c r="D24" s="83">
        <v>19349</v>
      </c>
      <c r="E24" s="102">
        <f t="shared" si="6"/>
        <v>70.616788321167888</v>
      </c>
      <c r="F24" s="80">
        <f t="shared" si="7"/>
        <v>11174.481751824818</v>
      </c>
      <c r="G24" s="129">
        <f t="shared" si="0"/>
        <v>158241.14941340638</v>
      </c>
      <c r="H24" s="83">
        <v>95</v>
      </c>
      <c r="I24" s="83">
        <v>1963139</v>
      </c>
      <c r="J24" s="83">
        <v>10795</v>
      </c>
      <c r="K24" s="102">
        <f t="shared" si="8"/>
        <v>113.63157894736842</v>
      </c>
      <c r="L24" s="80">
        <f t="shared" si="9"/>
        <v>20664.621052631577</v>
      </c>
      <c r="M24" s="129">
        <f t="shared" si="1"/>
        <v>181856.32237146827</v>
      </c>
      <c r="N24" s="83">
        <v>179</v>
      </c>
      <c r="O24" s="83">
        <v>1098669</v>
      </c>
      <c r="P24" s="129">
        <v>8554</v>
      </c>
      <c r="Q24" s="11">
        <f t="shared" si="10"/>
        <v>47.787709497206706</v>
      </c>
      <c r="R24" s="10">
        <f t="shared" si="11"/>
        <v>6137.8156424581002</v>
      </c>
      <c r="S24" s="129">
        <f t="shared" si="2"/>
        <v>128439.20972644378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Q24" s="128">
        <v>2011</v>
      </c>
      <c r="AR24" s="128" t="e">
        <f>((#REF!/#REF!)-1)*100</f>
        <v>#REF!</v>
      </c>
      <c r="AS24" s="128" t="e">
        <f>((#REF!/#REF!)-1)*100</f>
        <v>#REF!</v>
      </c>
      <c r="AT24" s="128" t="e">
        <f>((#REF!/#REF!)-1)*100</f>
        <v>#REF!</v>
      </c>
      <c r="AU24" s="128" t="e">
        <f>((#REF!/#REF!)-1)*100</f>
        <v>#REF!</v>
      </c>
      <c r="AV24" s="128" t="e">
        <f>((#REF!/#REF!)-1)*100</f>
        <v>#REF!</v>
      </c>
      <c r="AW24" s="128" t="e">
        <f>((#REF!/AN24)-1)*100</f>
        <v>#REF!</v>
      </c>
      <c r="AX24" s="128" t="e">
        <f>((#REF!/AO24)-1)*100</f>
        <v>#REF!</v>
      </c>
    </row>
    <row r="25" spans="1:50">
      <c r="A25" s="9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R25" s="125" t="s">
        <v>27</v>
      </c>
    </row>
    <row r="26" spans="1:50" ht="15" customHeight="1">
      <c r="A26" s="454" t="s">
        <v>32</v>
      </c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R26" s="125" t="s">
        <v>16</v>
      </c>
      <c r="AS26" s="125" t="s">
        <v>8</v>
      </c>
      <c r="AT26" s="125" t="s">
        <v>3</v>
      </c>
      <c r="AU26" s="125" t="s">
        <v>4</v>
      </c>
      <c r="AV26" s="125" t="s">
        <v>17</v>
      </c>
      <c r="AW26" s="125" t="s">
        <v>6</v>
      </c>
      <c r="AX26" s="125" t="s">
        <v>7</v>
      </c>
    </row>
    <row r="27" spans="1:50" ht="30">
      <c r="A27" s="115" t="s">
        <v>85</v>
      </c>
      <c r="B27" s="11" t="s">
        <v>10</v>
      </c>
      <c r="C27" s="11">
        <f t="shared" ref="C27" si="12">((C4/C13)^(1/9)-1)*100</f>
        <v>-5.2876251364844862</v>
      </c>
      <c r="D27" s="11">
        <f t="shared" ref="D27:S27" si="13">((D4/D13)^(1/9)-1)*100</f>
        <v>1.6885332817687226</v>
      </c>
      <c r="E27" s="11" t="s">
        <v>10</v>
      </c>
      <c r="F27" s="11" t="s">
        <v>10</v>
      </c>
      <c r="G27" s="11">
        <f t="shared" si="13"/>
        <v>-6.8603196379310223</v>
      </c>
      <c r="H27" s="11" t="s">
        <v>10</v>
      </c>
      <c r="I27" s="11">
        <f t="shared" si="13"/>
        <v>-4.1675550743053069</v>
      </c>
      <c r="J27" s="11">
        <f t="shared" si="13"/>
        <v>4.0175116173539971</v>
      </c>
      <c r="K27" s="11" t="s">
        <v>10</v>
      </c>
      <c r="L27" s="11" t="s">
        <v>10</v>
      </c>
      <c r="M27" s="11">
        <f t="shared" si="13"/>
        <v>-7.8689314562431107</v>
      </c>
      <c r="N27" s="11" t="s">
        <v>10</v>
      </c>
      <c r="O27" s="11">
        <f t="shared" si="13"/>
        <v>-8.8860015040448488</v>
      </c>
      <c r="P27" s="11">
        <f t="shared" si="13"/>
        <v>-2.8912710313519052</v>
      </c>
      <c r="Q27" s="11" t="s">
        <v>10</v>
      </c>
      <c r="R27" s="11" t="s">
        <v>10</v>
      </c>
      <c r="S27" s="11">
        <f t="shared" si="13"/>
        <v>-6.1732148452157904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Q27" s="125">
        <v>1999</v>
      </c>
      <c r="AR27" s="125" t="e">
        <f>#REF!/#REF!</f>
        <v>#REF!</v>
      </c>
      <c r="AS27" s="125" t="e">
        <f>#REF!/#REF!</f>
        <v>#REF!</v>
      </c>
      <c r="AT27" s="125" t="e">
        <f>#REF!/#REF!</f>
        <v>#REF!</v>
      </c>
      <c r="AU27" s="125" t="e">
        <f>#REF!/#REF!</f>
        <v>#REF!</v>
      </c>
      <c r="AV27" s="125" t="e">
        <f>#REF!/#REF!</f>
        <v>#REF!</v>
      </c>
      <c r="AW27" s="125" t="e">
        <f t="shared" ref="AW27:AW28" si="14">AN13/$AN$14</f>
        <v>#DIV/0!</v>
      </c>
      <c r="AX27" s="125" t="e">
        <f t="shared" ref="AX27:AX28" si="15">AO13/$AO$14</f>
        <v>#DIV/0!</v>
      </c>
    </row>
    <row r="28" spans="1:50" ht="30">
      <c r="A28" s="130" t="s">
        <v>323</v>
      </c>
      <c r="B28" s="11">
        <f>((B13/B17)^(1/4)-1)*100</f>
        <v>-4.3421801404918465</v>
      </c>
      <c r="C28" s="11">
        <f t="shared" ref="C28" si="16">((C13/C17)^(1/4)-1)*100</f>
        <v>4.7323135234577984</v>
      </c>
      <c r="D28" s="11">
        <f t="shared" ref="D28:S28" si="17">((D13/D17)^(1/4)-1)*100</f>
        <v>3.6223367376896354</v>
      </c>
      <c r="E28" s="11">
        <f t="shared" si="17"/>
        <v>8.3260489209129993</v>
      </c>
      <c r="F28" s="11">
        <f t="shared" si="17"/>
        <v>9.4864107056561444</v>
      </c>
      <c r="G28" s="11">
        <f t="shared" si="17"/>
        <v>1.071175212520048</v>
      </c>
      <c r="H28" s="11">
        <f t="shared" si="17"/>
        <v>-2.2928487258544572</v>
      </c>
      <c r="I28" s="11">
        <f t="shared" si="17"/>
        <v>6.2862446621795298</v>
      </c>
      <c r="J28" s="11">
        <f t="shared" si="17"/>
        <v>4.4608194523219069</v>
      </c>
      <c r="K28" s="11">
        <f t="shared" si="17"/>
        <v>6.9121533993218298</v>
      </c>
      <c r="L28" s="11">
        <f t="shared" si="17"/>
        <v>8.78041502199045</v>
      </c>
      <c r="M28" s="11">
        <f t="shared" si="17"/>
        <v>1.7474735689688714</v>
      </c>
      <c r="N28" s="11">
        <f t="shared" si="17"/>
        <v>-5.3235044206125011</v>
      </c>
      <c r="O28" s="11">
        <f t="shared" si="17"/>
        <v>1.1170102532515935</v>
      </c>
      <c r="P28" s="11">
        <f t="shared" si="17"/>
        <v>2.4236423175023614</v>
      </c>
      <c r="Q28" s="11">
        <f t="shared" si="17"/>
        <v>8.1827561219973468</v>
      </c>
      <c r="R28" s="11">
        <f t="shared" si="17"/>
        <v>6.8026542749078045</v>
      </c>
      <c r="S28" s="11">
        <f t="shared" si="17"/>
        <v>-1.2757133359897033</v>
      </c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Q28" s="125">
        <v>2000</v>
      </c>
      <c r="AR28" s="125" t="e">
        <f>#REF!/#REF!</f>
        <v>#REF!</v>
      </c>
      <c r="AS28" s="125" t="e">
        <f>#REF!/#REF!</f>
        <v>#REF!</v>
      </c>
      <c r="AT28" s="125" t="e">
        <f>#REF!/#REF!</f>
        <v>#REF!</v>
      </c>
      <c r="AU28" s="125" t="e">
        <f>#REF!/#REF!</f>
        <v>#REF!</v>
      </c>
      <c r="AV28" s="125" t="e">
        <f>#REF!/#REF!</f>
        <v>#REF!</v>
      </c>
      <c r="AW28" s="125" t="e">
        <f t="shared" si="14"/>
        <v>#DIV/0!</v>
      </c>
      <c r="AX28" s="125" t="e">
        <f t="shared" si="15"/>
        <v>#DIV/0!</v>
      </c>
    </row>
    <row r="29" spans="1:50" s="259" customFormat="1" ht="30">
      <c r="A29" s="325" t="s">
        <v>524</v>
      </c>
      <c r="B29" s="11">
        <f>((B21/B17)^(1/4)-1)*100</f>
        <v>5.2299792257007649</v>
      </c>
      <c r="C29" s="11">
        <f t="shared" ref="C29:S29" si="18">((C21/C17)^(1/4)-1)*100</f>
        <v>-4.114626900247254</v>
      </c>
      <c r="D29" s="11">
        <f t="shared" si="18"/>
        <v>-6.0079598621732959</v>
      </c>
      <c r="E29" s="11">
        <f t="shared" si="18"/>
        <v>-10.67940825472421</v>
      </c>
      <c r="F29" s="11">
        <f t="shared" si="18"/>
        <v>-8.8801748272755994</v>
      </c>
      <c r="G29" s="11">
        <f t="shared" si="18"/>
        <v>2.0143545763553261</v>
      </c>
      <c r="H29" s="11">
        <f t="shared" si="18"/>
        <v>4.4420026152496295</v>
      </c>
      <c r="I29" s="11">
        <f t="shared" si="18"/>
        <v>-3.8558864141008176</v>
      </c>
      <c r="J29" s="11">
        <f t="shared" si="18"/>
        <v>-5.3612496744602662</v>
      </c>
      <c r="K29" s="11">
        <f t="shared" si="18"/>
        <v>-9.3863120624216307</v>
      </c>
      <c r="L29" s="11">
        <f t="shared" si="18"/>
        <v>-7.9449731157671843</v>
      </c>
      <c r="M29" s="11">
        <f t="shared" si="18"/>
        <v>1.5906415238803095</v>
      </c>
      <c r="N29" s="11">
        <f t="shared" si="18"/>
        <v>5.583994694878891</v>
      </c>
      <c r="O29" s="11">
        <f t="shared" si="18"/>
        <v>-4.6808405267890869</v>
      </c>
      <c r="P29" s="11">
        <f t="shared" si="18"/>
        <v>-6.9283613298682383</v>
      </c>
      <c r="Q29" s="11">
        <f t="shared" si="18"/>
        <v>-11.850618136684322</v>
      </c>
      <c r="R29" s="11">
        <f t="shared" si="18"/>
        <v>-9.7219614121740179</v>
      </c>
      <c r="S29" s="11">
        <f t="shared" si="18"/>
        <v>2.4148288728910172</v>
      </c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</row>
    <row r="30" spans="1:50" s="259" customFormat="1" ht="30">
      <c r="A30" s="248" t="s">
        <v>368</v>
      </c>
      <c r="B30" s="11">
        <f>((B24/B21)^(1/3)-1)*100</f>
        <v>-3.9278829080330646</v>
      </c>
      <c r="C30" s="11">
        <f t="shared" ref="C30" si="19">((C24/C21)^(1/3)-1)*100</f>
        <v>-4.7400721043331151</v>
      </c>
      <c r="D30" s="11">
        <f t="shared" ref="D30:S30" si="20">((D24/D21)^(1/3)-1)*100</f>
        <v>-6.0380912212338771</v>
      </c>
      <c r="E30" s="11">
        <f t="shared" si="20"/>
        <v>-2.196483617802214</v>
      </c>
      <c r="F30" s="11">
        <f t="shared" si="20"/>
        <v>-0.84539533517573595</v>
      </c>
      <c r="G30" s="11">
        <f t="shared" si="20"/>
        <v>1.3814311924600808</v>
      </c>
      <c r="H30" s="11">
        <f t="shared" si="20"/>
        <v>0.35335982668596166</v>
      </c>
      <c r="I30" s="11">
        <f t="shared" si="20"/>
        <v>-7.0863823388348628</v>
      </c>
      <c r="J30" s="11">
        <f t="shared" si="20"/>
        <v>-8.1563897718286764</v>
      </c>
      <c r="K30" s="11">
        <f t="shared" si="20"/>
        <v>-8.4797854433686037</v>
      </c>
      <c r="L30" s="11">
        <f t="shared" si="20"/>
        <v>-7.4135456733780858</v>
      </c>
      <c r="M30" s="11">
        <f t="shared" si="20"/>
        <v>1.1650319824487942</v>
      </c>
      <c r="N30" s="11">
        <f t="shared" si="20"/>
        <v>-5.9255855762038179</v>
      </c>
      <c r="O30" s="11">
        <f t="shared" si="20"/>
        <v>0.12546560850545951</v>
      </c>
      <c r="P30" s="11">
        <f t="shared" si="20"/>
        <v>-3.0604012242284373</v>
      </c>
      <c r="Q30" s="11">
        <f t="shared" si="20"/>
        <v>3.045657386787437</v>
      </c>
      <c r="R30" s="11">
        <f t="shared" si="20"/>
        <v>6.432196492289477</v>
      </c>
      <c r="S30" s="11">
        <f t="shared" si="20"/>
        <v>3.2864452431900837</v>
      </c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50" ht="30">
      <c r="A31" s="325" t="s">
        <v>525</v>
      </c>
      <c r="B31" s="11">
        <f>((B24/B14)^(1/10)-1)*100</f>
        <v>0.52584247762064162</v>
      </c>
      <c r="C31" s="11">
        <f t="shared" ref="C31:S31" si="21">((C24/C14)^(1/10)-1)*100</f>
        <v>-6.1751207007224469</v>
      </c>
      <c r="D31" s="11">
        <f t="shared" si="21"/>
        <v>-4.6974586711964639</v>
      </c>
      <c r="E31" s="11">
        <f t="shared" si="21"/>
        <v>-5.1959784868054415</v>
      </c>
      <c r="F31" s="11">
        <f t="shared" si="21"/>
        <v>-6.6659109868538291</v>
      </c>
      <c r="G31" s="11">
        <f t="shared" si="21"/>
        <v>-1.5504959352845571</v>
      </c>
      <c r="H31" s="11">
        <f t="shared" si="21"/>
        <v>1.4824574380402078</v>
      </c>
      <c r="I31" s="11">
        <f t="shared" si="21"/>
        <v>-8.0329506669749033</v>
      </c>
      <c r="J31" s="11">
        <f t="shared" si="21"/>
        <v>-5.3941413706380059</v>
      </c>
      <c r="K31" s="11">
        <f t="shared" si="21"/>
        <v>-6.7761453381011139</v>
      </c>
      <c r="L31" s="11">
        <f t="shared" si="21"/>
        <v>-9.3764068640382661</v>
      </c>
      <c r="M31" s="11">
        <f t="shared" si="21"/>
        <v>-2.7892662616963104</v>
      </c>
      <c r="N31" s="11">
        <f t="shared" si="21"/>
        <v>5.6038251051204746E-2</v>
      </c>
      <c r="O31" s="11">
        <f t="shared" si="21"/>
        <v>-1.329842508175616</v>
      </c>
      <c r="P31" s="11">
        <f t="shared" si="21"/>
        <v>-3.7299508319327601</v>
      </c>
      <c r="Q31" s="11">
        <f t="shared" si="21"/>
        <v>-3.7838686691596846</v>
      </c>
      <c r="R31" s="11">
        <f t="shared" si="21"/>
        <v>-1.385104570850082</v>
      </c>
      <c r="S31" s="11">
        <f t="shared" si="21"/>
        <v>2.4930997174074987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Q31" s="125">
        <v>2001</v>
      </c>
      <c r="AR31" s="125" t="e">
        <f>#REF!/#REF!</f>
        <v>#REF!</v>
      </c>
      <c r="AS31" s="125" t="e">
        <f>#REF!/#REF!</f>
        <v>#REF!</v>
      </c>
      <c r="AT31" s="125" t="e">
        <f>#REF!/#REF!</f>
        <v>#REF!</v>
      </c>
      <c r="AU31" s="125" t="e">
        <f>#REF!/#REF!</f>
        <v>#REF!</v>
      </c>
      <c r="AV31" s="125" t="e">
        <f>#REF!/#REF!</f>
        <v>#REF!</v>
      </c>
      <c r="AW31" s="125" t="e">
        <f>AN15/$AN$14</f>
        <v>#DIV/0!</v>
      </c>
      <c r="AX31" s="125" t="e">
        <f>AO15/$AO$14</f>
        <v>#DIV/0!</v>
      </c>
    </row>
    <row r="32" spans="1:50">
      <c r="A32" s="115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</row>
    <row r="33" spans="1:50">
      <c r="A33" s="237" t="s">
        <v>39</v>
      </c>
      <c r="B33" s="237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</row>
    <row r="34" spans="1:50">
      <c r="A34" s="237" t="s">
        <v>76</v>
      </c>
      <c r="B34" s="237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50">
      <c r="A35" s="237" t="s">
        <v>9</v>
      </c>
      <c r="B35" s="237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50">
      <c r="A36" s="237" t="s">
        <v>10</v>
      </c>
      <c r="B36" s="237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50">
      <c r="A37" s="237" t="s">
        <v>40</v>
      </c>
      <c r="B37" s="237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50">
      <c r="A38" s="231" t="s">
        <v>322</v>
      </c>
      <c r="B38" s="23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</row>
    <row r="39" spans="1:50">
      <c r="A39" s="231" t="s">
        <v>144</v>
      </c>
      <c r="B39" s="238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</row>
    <row r="40" spans="1:50">
      <c r="A40" s="259" t="s">
        <v>371</v>
      </c>
      <c r="B40" s="237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</row>
    <row r="41" spans="1:50">
      <c r="AQ41" s="125">
        <v>2011</v>
      </c>
      <c r="AR41" s="125" t="e">
        <f>#REF!/#REF!</f>
        <v>#REF!</v>
      </c>
      <c r="AS41" s="125" t="e">
        <f>#REF!/#REF!</f>
        <v>#REF!</v>
      </c>
      <c r="AT41" s="125" t="e">
        <f>#REF!/#REF!</f>
        <v>#REF!</v>
      </c>
      <c r="AU41" s="125" t="e">
        <f>#REF!/#REF!</f>
        <v>#REF!</v>
      </c>
      <c r="AV41" s="125" t="e">
        <f>#REF!/#REF!</f>
        <v>#REF!</v>
      </c>
      <c r="AW41" s="125" t="e">
        <f>#REF!/$AN$14</f>
        <v>#REF!</v>
      </c>
      <c r="AX41" s="125" t="e">
        <f>#REF!/$AO$14</f>
        <v>#REF!</v>
      </c>
    </row>
    <row r="42" spans="1:50">
      <c r="AQ42" s="125">
        <v>2012</v>
      </c>
      <c r="AR42" s="125" t="e">
        <f>#REF!/#REF!</f>
        <v>#REF!</v>
      </c>
      <c r="AS42" s="125" t="e">
        <f>#REF!/#REF!</f>
        <v>#REF!</v>
      </c>
      <c r="AT42" s="125" t="e">
        <f>#REF!/#REF!</f>
        <v>#REF!</v>
      </c>
      <c r="AU42" s="125" t="e">
        <f>#REF!/#REF!</f>
        <v>#REF!</v>
      </c>
      <c r="AV42" s="125" t="e">
        <f>#REF!/#REF!</f>
        <v>#REF!</v>
      </c>
      <c r="AW42" s="125" t="e">
        <f>#REF!/$AN$14</f>
        <v>#REF!</v>
      </c>
      <c r="AX42" s="125" t="e">
        <f>#REF!/$AO$14</f>
        <v>#REF!</v>
      </c>
    </row>
    <row r="43" spans="1:50">
      <c r="AQ43" s="125">
        <v>2013</v>
      </c>
      <c r="AR43" s="125" t="e">
        <f>#REF!/#REF!</f>
        <v>#REF!</v>
      </c>
      <c r="AS43" s="125" t="e">
        <f>#REF!/#REF!</f>
        <v>#REF!</v>
      </c>
      <c r="AT43" s="125" t="e">
        <f>#REF!/#REF!</f>
        <v>#REF!</v>
      </c>
      <c r="AU43" s="125" t="e">
        <f>#REF!/#REF!</f>
        <v>#REF!</v>
      </c>
      <c r="AV43" s="125" t="e">
        <f>#REF!/#REF!</f>
        <v>#REF!</v>
      </c>
      <c r="AW43" s="125" t="e">
        <f>#REF!/$AN$14</f>
        <v>#REF!</v>
      </c>
      <c r="AX43" s="125" t="e">
        <f>#REF!/$AO$14</f>
        <v>#REF!</v>
      </c>
    </row>
  </sheetData>
  <mergeCells count="5">
    <mergeCell ref="A26:R26"/>
    <mergeCell ref="A1:S1"/>
    <mergeCell ref="B2:G2"/>
    <mergeCell ref="H2:M2"/>
    <mergeCell ref="N2:S2"/>
  </mergeCells>
  <printOptions gridLines="1"/>
  <pageMargins left="0.70866141732283472" right="0.70866141732283472" top="0.74803149606299213" bottom="0.74803149606299213" header="0.31496062992125984" footer="0.31496062992125984"/>
  <pageSetup scale="47" orientation="portrait" horizontalDpi="0" verticalDpi="0" r:id="rId1"/>
  <colBreaks count="1" manualBreakCount="1">
    <brk id="1" max="39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G43"/>
  <sheetViews>
    <sheetView view="pageBreakPreview" zoomScaleNormal="100" zoomScaleSheetLayoutView="100" workbookViewId="0">
      <selection activeCell="N2" sqref="B2:S2"/>
    </sheetView>
  </sheetViews>
  <sheetFormatPr defaultRowHeight="15"/>
  <cols>
    <col min="1" max="1" width="12.7109375" style="125" bestFit="1" customWidth="1"/>
    <col min="2" max="6" width="10.140625" style="125" customWidth="1"/>
    <col min="7" max="7" width="10.140625" style="259" customWidth="1"/>
    <col min="8" max="12" width="10.140625" style="125" customWidth="1"/>
    <col min="13" max="13" width="10.140625" style="259" customWidth="1"/>
    <col min="14" max="39" width="10.140625" style="125" customWidth="1"/>
    <col min="40" max="41" width="10.140625" style="125" bestFit="1" customWidth="1"/>
    <col min="42" max="42" width="9.140625" style="125"/>
    <col min="43" max="59" width="0" style="125" hidden="1" customWidth="1"/>
    <col min="60" max="16384" width="9.140625" style="125"/>
  </cols>
  <sheetData>
    <row r="1" spans="1:59" ht="15" customHeight="1">
      <c r="A1" s="454" t="s">
        <v>377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59" ht="34.5" customHeight="1">
      <c r="A2" s="115"/>
      <c r="B2" s="462" t="s">
        <v>5</v>
      </c>
      <c r="C2" s="462"/>
      <c r="D2" s="462"/>
      <c r="E2" s="462"/>
      <c r="F2" s="462"/>
      <c r="G2" s="462"/>
      <c r="H2" s="462" t="s">
        <v>6</v>
      </c>
      <c r="I2" s="462"/>
      <c r="J2" s="462"/>
      <c r="K2" s="462"/>
      <c r="L2" s="462"/>
      <c r="M2" s="462"/>
      <c r="N2" s="462" t="s">
        <v>7</v>
      </c>
      <c r="O2" s="462"/>
      <c r="P2" s="462"/>
      <c r="Q2" s="462"/>
      <c r="R2" s="462"/>
      <c r="S2" s="462"/>
    </row>
    <row r="3" spans="1:59" ht="75">
      <c r="A3" s="115"/>
      <c r="B3" s="115" t="s">
        <v>80</v>
      </c>
      <c r="C3" s="115" t="s">
        <v>83</v>
      </c>
      <c r="D3" s="115" t="s">
        <v>84</v>
      </c>
      <c r="E3" s="115" t="s">
        <v>81</v>
      </c>
      <c r="F3" s="371" t="s">
        <v>540</v>
      </c>
      <c r="G3" s="271" t="s">
        <v>369</v>
      </c>
      <c r="H3" s="115" t="s">
        <v>80</v>
      </c>
      <c r="I3" s="115" t="s">
        <v>83</v>
      </c>
      <c r="J3" s="115" t="s">
        <v>84</v>
      </c>
      <c r="K3" s="115" t="s">
        <v>81</v>
      </c>
      <c r="L3" s="115" t="s">
        <v>82</v>
      </c>
      <c r="M3" s="371" t="s">
        <v>540</v>
      </c>
      <c r="N3" s="115" t="s">
        <v>80</v>
      </c>
      <c r="O3" s="115" t="s">
        <v>83</v>
      </c>
      <c r="P3" s="115" t="s">
        <v>84</v>
      </c>
      <c r="Q3" s="115" t="s">
        <v>81</v>
      </c>
      <c r="R3" s="371" t="s">
        <v>540</v>
      </c>
      <c r="S3" s="271" t="s">
        <v>369</v>
      </c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</row>
    <row r="4" spans="1:59" s="128" customFormat="1">
      <c r="A4" s="115">
        <v>1990</v>
      </c>
      <c r="B4" s="129" t="s">
        <v>9</v>
      </c>
      <c r="C4" s="129">
        <v>3345268</v>
      </c>
      <c r="D4" s="129">
        <v>39911</v>
      </c>
      <c r="E4" s="62" t="s">
        <v>9</v>
      </c>
      <c r="F4" s="10" t="s">
        <v>9</v>
      </c>
      <c r="G4" s="129">
        <f>(C4/D4)*1000</f>
        <v>83818.19548495402</v>
      </c>
      <c r="H4" s="129" t="s">
        <v>9</v>
      </c>
      <c r="I4" s="129">
        <v>2112576</v>
      </c>
      <c r="J4" s="129">
        <v>19646</v>
      </c>
      <c r="K4" s="62" t="s">
        <v>9</v>
      </c>
      <c r="L4" s="10" t="s">
        <v>9</v>
      </c>
      <c r="M4" s="129">
        <f>(I4/J4)*1000</f>
        <v>107532.11849740405</v>
      </c>
      <c r="N4" s="129" t="s">
        <v>9</v>
      </c>
      <c r="O4" s="129">
        <v>1232692</v>
      </c>
      <c r="P4" s="129">
        <v>20265</v>
      </c>
      <c r="Q4" s="62" t="s">
        <v>9</v>
      </c>
      <c r="R4" s="10" t="s">
        <v>9</v>
      </c>
      <c r="S4" s="129">
        <f>(O4/P4)*1000</f>
        <v>60828.620774734765</v>
      </c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</row>
    <row r="5" spans="1:59" s="128" customFormat="1">
      <c r="A5" s="115">
        <v>1991</v>
      </c>
      <c r="B5" s="129" t="s">
        <v>9</v>
      </c>
      <c r="C5" s="129">
        <v>2524013</v>
      </c>
      <c r="D5" s="129">
        <v>36968</v>
      </c>
      <c r="E5" s="62" t="s">
        <v>9</v>
      </c>
      <c r="F5" s="10" t="s">
        <v>9</v>
      </c>
      <c r="G5" s="129">
        <f t="shared" ref="G5:G24" si="0">(C5/D5)*1000</f>
        <v>68275.616749621287</v>
      </c>
      <c r="H5" s="129" t="s">
        <v>9</v>
      </c>
      <c r="I5" s="129">
        <v>1391494</v>
      </c>
      <c r="J5" s="129">
        <v>18455</v>
      </c>
      <c r="K5" s="62" t="s">
        <v>9</v>
      </c>
      <c r="L5" s="10" t="s">
        <v>9</v>
      </c>
      <c r="M5" s="129">
        <f t="shared" ref="M5:M24" si="1">(I5/J5)*1000</f>
        <v>75399.295583852625</v>
      </c>
      <c r="N5" s="129" t="s">
        <v>9</v>
      </c>
      <c r="O5" s="129">
        <v>1132519</v>
      </c>
      <c r="P5" s="129">
        <v>18513</v>
      </c>
      <c r="Q5" s="62" t="s">
        <v>9</v>
      </c>
      <c r="R5" s="10" t="s">
        <v>9</v>
      </c>
      <c r="S5" s="129">
        <f t="shared" ref="S5:S24" si="2">(O5/P5)*1000</f>
        <v>61174.255928266626</v>
      </c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</row>
    <row r="6" spans="1:59" s="128" customFormat="1">
      <c r="A6" s="115">
        <v>1992</v>
      </c>
      <c r="B6" s="129" t="s">
        <v>9</v>
      </c>
      <c r="C6" s="129">
        <v>2722038</v>
      </c>
      <c r="D6" s="129">
        <v>36501</v>
      </c>
      <c r="E6" s="62" t="s">
        <v>9</v>
      </c>
      <c r="F6" s="10" t="s">
        <v>9</v>
      </c>
      <c r="G6" s="129">
        <f t="shared" si="0"/>
        <v>74574.340429029355</v>
      </c>
      <c r="H6" s="129" t="s">
        <v>9</v>
      </c>
      <c r="I6" s="129">
        <v>1613970</v>
      </c>
      <c r="J6" s="129">
        <v>17905</v>
      </c>
      <c r="K6" s="62" t="s">
        <v>9</v>
      </c>
      <c r="L6" s="10" t="s">
        <v>9</v>
      </c>
      <c r="M6" s="129">
        <f t="shared" si="1"/>
        <v>90140.742809271163</v>
      </c>
      <c r="N6" s="129" t="s">
        <v>9</v>
      </c>
      <c r="O6" s="129">
        <v>1108068</v>
      </c>
      <c r="P6" s="129">
        <v>18596</v>
      </c>
      <c r="Q6" s="62" t="s">
        <v>9</v>
      </c>
      <c r="R6" s="10" t="s">
        <v>9</v>
      </c>
      <c r="S6" s="129">
        <f t="shared" si="2"/>
        <v>59586.362658636266</v>
      </c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</row>
    <row r="7" spans="1:59" s="128" customFormat="1">
      <c r="A7" s="115">
        <v>1993</v>
      </c>
      <c r="B7" s="129" t="s">
        <v>9</v>
      </c>
      <c r="C7" s="129">
        <v>2644202</v>
      </c>
      <c r="D7" s="129">
        <v>34868</v>
      </c>
      <c r="E7" s="62" t="s">
        <v>9</v>
      </c>
      <c r="F7" s="10" t="s">
        <v>9</v>
      </c>
      <c r="G7" s="129">
        <f t="shared" si="0"/>
        <v>75834.633474819319</v>
      </c>
      <c r="H7" s="129" t="s">
        <v>9</v>
      </c>
      <c r="I7" s="129">
        <v>1508480</v>
      </c>
      <c r="J7" s="129">
        <v>17473</v>
      </c>
      <c r="K7" s="62" t="s">
        <v>9</v>
      </c>
      <c r="L7" s="10" t="s">
        <v>9</v>
      </c>
      <c r="M7" s="129">
        <f t="shared" si="1"/>
        <v>86332.05517083501</v>
      </c>
      <c r="N7" s="129" t="s">
        <v>9</v>
      </c>
      <c r="O7" s="129">
        <v>1135722</v>
      </c>
      <c r="P7" s="129">
        <v>17395</v>
      </c>
      <c r="Q7" s="62" t="s">
        <v>9</v>
      </c>
      <c r="R7" s="10" t="s">
        <v>9</v>
      </c>
      <c r="S7" s="129">
        <f t="shared" si="2"/>
        <v>65290.140845070426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</row>
    <row r="8" spans="1:59" s="128" customFormat="1">
      <c r="A8" s="115">
        <v>1994</v>
      </c>
      <c r="B8" s="129" t="s">
        <v>9</v>
      </c>
      <c r="C8" s="129">
        <v>3233833</v>
      </c>
      <c r="D8" s="129">
        <v>34568</v>
      </c>
      <c r="E8" s="62" t="s">
        <v>9</v>
      </c>
      <c r="F8" s="10" t="s">
        <v>9</v>
      </c>
      <c r="G8" s="129">
        <f t="shared" si="0"/>
        <v>93549.901643138161</v>
      </c>
      <c r="H8" s="129" t="s">
        <v>9</v>
      </c>
      <c r="I8" s="129">
        <v>1933018</v>
      </c>
      <c r="J8" s="129">
        <v>16945</v>
      </c>
      <c r="K8" s="62" t="s">
        <v>9</v>
      </c>
      <c r="L8" s="10" t="s">
        <v>9</v>
      </c>
      <c r="M8" s="129">
        <f t="shared" si="1"/>
        <v>114076.01062260254</v>
      </c>
      <c r="N8" s="129" t="s">
        <v>9</v>
      </c>
      <c r="O8" s="129">
        <v>1300815</v>
      </c>
      <c r="P8" s="129">
        <v>17623</v>
      </c>
      <c r="Q8" s="62" t="s">
        <v>9</v>
      </c>
      <c r="R8" s="10" t="s">
        <v>9</v>
      </c>
      <c r="S8" s="129">
        <f t="shared" si="2"/>
        <v>73813.482380979403</v>
      </c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BA8" s="128" t="s">
        <v>32</v>
      </c>
    </row>
    <row r="9" spans="1:59" s="128" customFormat="1">
      <c r="A9" s="115">
        <v>1995</v>
      </c>
      <c r="B9" s="129" t="s">
        <v>9</v>
      </c>
      <c r="C9" s="129">
        <v>4994024</v>
      </c>
      <c r="D9" s="129">
        <v>35963</v>
      </c>
      <c r="E9" s="62" t="s">
        <v>9</v>
      </c>
      <c r="F9" s="10" t="s">
        <v>9</v>
      </c>
      <c r="G9" s="129">
        <f t="shared" si="0"/>
        <v>138865.61187887553</v>
      </c>
      <c r="H9" s="129" t="s">
        <v>9</v>
      </c>
      <c r="I9" s="129">
        <v>3371718</v>
      </c>
      <c r="J9" s="129">
        <v>16588</v>
      </c>
      <c r="K9" s="62" t="s">
        <v>9</v>
      </c>
      <c r="L9" s="10" t="s">
        <v>9</v>
      </c>
      <c r="M9" s="129">
        <f t="shared" si="1"/>
        <v>203262.47890040994</v>
      </c>
      <c r="N9" s="129" t="s">
        <v>9</v>
      </c>
      <c r="O9" s="129">
        <v>1622306</v>
      </c>
      <c r="P9" s="129">
        <v>19375</v>
      </c>
      <c r="Q9" s="62" t="s">
        <v>9</v>
      </c>
      <c r="R9" s="10" t="s">
        <v>9</v>
      </c>
      <c r="S9" s="129">
        <f t="shared" si="2"/>
        <v>83731.922580645158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R9" s="128" t="s">
        <v>24</v>
      </c>
      <c r="BA9" s="128" t="s">
        <v>16</v>
      </c>
      <c r="BB9" s="128" t="s">
        <v>8</v>
      </c>
      <c r="BC9" s="128" t="s">
        <v>3</v>
      </c>
      <c r="BD9" s="128" t="s">
        <v>4</v>
      </c>
      <c r="BE9" s="128" t="s">
        <v>17</v>
      </c>
      <c r="BF9" s="128" t="s">
        <v>6</v>
      </c>
      <c r="BG9" s="128" t="s">
        <v>7</v>
      </c>
    </row>
    <row r="10" spans="1:59" s="128" customFormat="1">
      <c r="A10" s="115">
        <v>1996</v>
      </c>
      <c r="B10" s="129" t="s">
        <v>9</v>
      </c>
      <c r="C10" s="129">
        <v>4385670</v>
      </c>
      <c r="D10" s="129">
        <v>35335</v>
      </c>
      <c r="E10" s="62" t="s">
        <v>9</v>
      </c>
      <c r="F10" s="10" t="s">
        <v>9</v>
      </c>
      <c r="G10" s="129">
        <f t="shared" si="0"/>
        <v>124116.88127918493</v>
      </c>
      <c r="H10" s="129" t="s">
        <v>9</v>
      </c>
      <c r="I10" s="129">
        <v>2619590</v>
      </c>
      <c r="J10" s="129">
        <v>16312</v>
      </c>
      <c r="K10" s="62" t="s">
        <v>9</v>
      </c>
      <c r="L10" s="10" t="s">
        <v>9</v>
      </c>
      <c r="M10" s="129">
        <f t="shared" si="1"/>
        <v>160592.81510544382</v>
      </c>
      <c r="N10" s="129" t="s">
        <v>9</v>
      </c>
      <c r="O10" s="129">
        <v>1766080</v>
      </c>
      <c r="P10" s="129">
        <v>19023</v>
      </c>
      <c r="Q10" s="62" t="s">
        <v>9</v>
      </c>
      <c r="R10" s="10" t="s">
        <v>9</v>
      </c>
      <c r="S10" s="129">
        <f t="shared" si="2"/>
        <v>92839.194659096873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R10" s="128" t="s">
        <v>16</v>
      </c>
      <c r="AS10" s="128" t="s">
        <v>8</v>
      </c>
      <c r="AT10" s="128" t="s">
        <v>3</v>
      </c>
      <c r="AU10" s="128" t="s">
        <v>4</v>
      </c>
      <c r="AV10" s="128" t="s">
        <v>17</v>
      </c>
      <c r="AW10" s="128" t="s">
        <v>6</v>
      </c>
      <c r="AX10" s="128" t="s">
        <v>7</v>
      </c>
      <c r="AZ10" s="128" t="s">
        <v>19</v>
      </c>
      <c r="BA10" s="128" t="e">
        <f>((#REF!/#REF!)^(1/3)-1)*100</f>
        <v>#REF!</v>
      </c>
      <c r="BB10" s="128" t="e">
        <f>((#REF!/#REF!)^(1/3)-1)*100</f>
        <v>#REF!</v>
      </c>
      <c r="BC10" s="128" t="e">
        <f>((#REF!/#REF!)^(1/3)-1)*100</f>
        <v>#REF!</v>
      </c>
      <c r="BD10" s="128" t="e">
        <f>((#REF!/#REF!)^(1/3)-1)*100</f>
        <v>#REF!</v>
      </c>
      <c r="BE10" s="128" t="e">
        <f>((#REF!/#REF!)^(1/3)-1)*100</f>
        <v>#REF!</v>
      </c>
      <c r="BF10" s="128" t="e">
        <f>((AN14/AN11)^(1/3)-1)*100</f>
        <v>#DIV/0!</v>
      </c>
      <c r="BG10" s="128" t="e">
        <f t="shared" ref="BG10" si="3">((AO14/AO11)^(1/3)-1)*100</f>
        <v>#DIV/0!</v>
      </c>
    </row>
    <row r="11" spans="1:59" s="128" customFormat="1">
      <c r="A11" s="115">
        <v>1997</v>
      </c>
      <c r="B11" s="129" t="s">
        <v>9</v>
      </c>
      <c r="C11" s="129">
        <v>4208298</v>
      </c>
      <c r="D11" s="129">
        <v>34723</v>
      </c>
      <c r="E11" s="62" t="s">
        <v>9</v>
      </c>
      <c r="F11" s="10" t="s">
        <v>9</v>
      </c>
      <c r="G11" s="129">
        <f t="shared" si="0"/>
        <v>121196.26760360568</v>
      </c>
      <c r="H11" s="129" t="s">
        <v>9</v>
      </c>
      <c r="I11" s="129">
        <v>2388835</v>
      </c>
      <c r="J11" s="129">
        <v>16256</v>
      </c>
      <c r="K11" s="62" t="s">
        <v>9</v>
      </c>
      <c r="L11" s="10" t="s">
        <v>9</v>
      </c>
      <c r="M11" s="129">
        <f t="shared" si="1"/>
        <v>146950.97194881891</v>
      </c>
      <c r="N11" s="129" t="s">
        <v>9</v>
      </c>
      <c r="O11" s="129">
        <v>1819463</v>
      </c>
      <c r="P11" s="129">
        <v>18467</v>
      </c>
      <c r="Q11" s="62" t="s">
        <v>9</v>
      </c>
      <c r="R11" s="10" t="s">
        <v>9</v>
      </c>
      <c r="S11" s="129">
        <f t="shared" si="2"/>
        <v>98525.098824930959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Q11" s="128">
        <v>1998</v>
      </c>
      <c r="AR11" s="128" t="e">
        <f>((#REF!/#REF!)-1)*100</f>
        <v>#REF!</v>
      </c>
      <c r="AS11" s="128" t="e">
        <f>((#REF!/#REF!)-1)*100</f>
        <v>#REF!</v>
      </c>
      <c r="AT11" s="128" t="e">
        <f>((#REF!/#REF!)-1)*100</f>
        <v>#REF!</v>
      </c>
      <c r="AU11" s="128" t="e">
        <f>((#REF!/#REF!)-1)*100</f>
        <v>#REF!</v>
      </c>
      <c r="AV11" s="128" t="e">
        <f>((#REF!/#REF!)-1)*100</f>
        <v>#REF!</v>
      </c>
      <c r="AW11" s="128" t="e">
        <f t="shared" ref="AW11:AX23" si="4">((AN12/AN11)-1)*100</f>
        <v>#DIV/0!</v>
      </c>
      <c r="AX11" s="128" t="e">
        <f t="shared" si="4"/>
        <v>#DIV/0!</v>
      </c>
      <c r="AZ11" s="128" t="s">
        <v>21</v>
      </c>
      <c r="BA11" s="128" t="e">
        <f>((#REF!/#REF!)^(1/8)-1)*100</f>
        <v>#REF!</v>
      </c>
      <c r="BB11" s="128" t="e">
        <f>((#REF!/#REF!)^(1/8)-1)*100</f>
        <v>#REF!</v>
      </c>
      <c r="BC11" s="128" t="e">
        <f>((#REF!/#REF!)^(1/8)-1)*100</f>
        <v>#REF!</v>
      </c>
      <c r="BD11" s="128" t="e">
        <f>((#REF!/#REF!)^(1/8)-1)*100</f>
        <v>#REF!</v>
      </c>
      <c r="BE11" s="128" t="e">
        <f>((#REF!/#REF!)^(1/8)-1)*100</f>
        <v>#REF!</v>
      </c>
      <c r="BF11" s="128" t="e">
        <f>((AN22/AN14)^(1/8)-1)*100</f>
        <v>#DIV/0!</v>
      </c>
      <c r="BG11" s="128" t="e">
        <f t="shared" ref="BG11" si="5">((AO22/AO14)^(1/8)-1)*100</f>
        <v>#DIV/0!</v>
      </c>
    </row>
    <row r="12" spans="1:59" s="128" customFormat="1">
      <c r="A12" s="115">
        <v>1998</v>
      </c>
      <c r="B12" s="129">
        <v>308</v>
      </c>
      <c r="C12" s="129">
        <v>4083961</v>
      </c>
      <c r="D12" s="129">
        <v>33998</v>
      </c>
      <c r="E12" s="62">
        <f t="shared" ref="E12:E24" si="6">D12/B12</f>
        <v>110.38311688311688</v>
      </c>
      <c r="F12" s="10">
        <f t="shared" ref="F12:F24" si="7">C12/B12</f>
        <v>13259.613636363636</v>
      </c>
      <c r="G12" s="129">
        <f t="shared" si="0"/>
        <v>120123.56609212307</v>
      </c>
      <c r="H12" s="129">
        <v>40</v>
      </c>
      <c r="I12" s="129">
        <v>2509906</v>
      </c>
      <c r="J12" s="129">
        <v>14840</v>
      </c>
      <c r="K12" s="62">
        <f t="shared" ref="K12:K24" si="8">J12/H12</f>
        <v>371</v>
      </c>
      <c r="L12" s="10">
        <f t="shared" ref="L12:L24" si="9">I12/H12</f>
        <v>62747.65</v>
      </c>
      <c r="M12" s="129">
        <f t="shared" si="1"/>
        <v>169131.13207547169</v>
      </c>
      <c r="N12" s="129">
        <v>268</v>
      </c>
      <c r="O12" s="129">
        <v>1574055</v>
      </c>
      <c r="P12" s="129">
        <v>19158</v>
      </c>
      <c r="Q12" s="62">
        <f t="shared" ref="Q12:Q24" si="10">P12/N12</f>
        <v>71.485074626865668</v>
      </c>
      <c r="R12" s="10">
        <f t="shared" ref="R12:R24" si="11">O12/N12</f>
        <v>5873.3395522388064</v>
      </c>
      <c r="S12" s="129">
        <f t="shared" si="2"/>
        <v>82161.760100219224</v>
      </c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Q12" s="128">
        <v>1999</v>
      </c>
      <c r="AR12" s="128" t="e">
        <f>((#REF!/#REF!)-1)*100</f>
        <v>#REF!</v>
      </c>
      <c r="AS12" s="128" t="e">
        <f>((#REF!/#REF!)-1)*100</f>
        <v>#REF!</v>
      </c>
      <c r="AT12" s="128" t="e">
        <f>((#REF!/#REF!)-1)*100</f>
        <v>#REF!</v>
      </c>
      <c r="AU12" s="128" t="e">
        <f>((#REF!/#REF!)-1)*100</f>
        <v>#REF!</v>
      </c>
      <c r="AV12" s="128" t="e">
        <f>((#REF!/#REF!)-1)*100</f>
        <v>#REF!</v>
      </c>
      <c r="AW12" s="128" t="e">
        <f t="shared" si="4"/>
        <v>#DIV/0!</v>
      </c>
      <c r="AX12" s="128" t="e">
        <f t="shared" si="4"/>
        <v>#DIV/0!</v>
      </c>
      <c r="AZ12" s="128" t="s">
        <v>22</v>
      </c>
      <c r="BA12" s="128" t="e">
        <f>((#REF!/#REF!)^(1/5)-1)*100</f>
        <v>#REF!</v>
      </c>
      <c r="BB12" s="128" t="e">
        <f>((#REF!/#REF!)^(1/5)-1)*100</f>
        <v>#REF!</v>
      </c>
      <c r="BC12" s="128" t="e">
        <f>((#REF!/#REF!)^(1/5)-1)*100</f>
        <v>#REF!</v>
      </c>
      <c r="BD12" s="128" t="e">
        <f>((#REF!/#REF!)^(1/5)-1)*100</f>
        <v>#REF!</v>
      </c>
      <c r="BE12" s="128" t="e">
        <f>((#REF!/#REF!)^(1/5)-1)*100</f>
        <v>#REF!</v>
      </c>
      <c r="BF12" s="128" t="e">
        <f>((#REF!/AN22)^(1/5)-1)*100</f>
        <v>#REF!</v>
      </c>
      <c r="BG12" s="128" t="e">
        <f>((#REF!/AO22)^(1/5)-1)*100</f>
        <v>#REF!</v>
      </c>
    </row>
    <row r="13" spans="1:59" s="128" customFormat="1">
      <c r="A13" s="115">
        <v>1999</v>
      </c>
      <c r="B13" s="129">
        <v>289</v>
      </c>
      <c r="C13" s="129">
        <v>4058670</v>
      </c>
      <c r="D13" s="129">
        <v>34085</v>
      </c>
      <c r="E13" s="62">
        <f t="shared" si="6"/>
        <v>117.94117647058823</v>
      </c>
      <c r="F13" s="10">
        <f t="shared" si="7"/>
        <v>14043.840830449826</v>
      </c>
      <c r="G13" s="129">
        <f t="shared" si="0"/>
        <v>119074.95965967435</v>
      </c>
      <c r="H13" s="129">
        <v>44</v>
      </c>
      <c r="I13" s="129">
        <v>2364404</v>
      </c>
      <c r="J13" s="129">
        <v>14511</v>
      </c>
      <c r="K13" s="62">
        <f t="shared" si="8"/>
        <v>329.79545454545456</v>
      </c>
      <c r="L13" s="10">
        <f t="shared" si="9"/>
        <v>53736.454545454544</v>
      </c>
      <c r="M13" s="129">
        <f t="shared" si="1"/>
        <v>162938.73613121081</v>
      </c>
      <c r="N13" s="129">
        <v>245</v>
      </c>
      <c r="O13" s="129">
        <v>1694266</v>
      </c>
      <c r="P13" s="129">
        <v>19574</v>
      </c>
      <c r="Q13" s="62">
        <f t="shared" si="10"/>
        <v>79.89387755102041</v>
      </c>
      <c r="R13" s="10">
        <f t="shared" si="11"/>
        <v>6915.3714285714286</v>
      </c>
      <c r="S13" s="129">
        <f t="shared" si="2"/>
        <v>86556.963318688067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Q13" s="128">
        <v>2000</v>
      </c>
      <c r="AR13" s="128" t="e">
        <f>((#REF!/#REF!)-1)*100</f>
        <v>#REF!</v>
      </c>
      <c r="AS13" s="128" t="e">
        <f>((#REF!/#REF!)-1)*100</f>
        <v>#REF!</v>
      </c>
      <c r="AT13" s="128" t="e">
        <f>((#REF!/#REF!)-1)*100</f>
        <v>#REF!</v>
      </c>
      <c r="AU13" s="128" t="e">
        <f>((#REF!/#REF!)-1)*100</f>
        <v>#REF!</v>
      </c>
      <c r="AV13" s="128" t="e">
        <f>((#REF!/#REF!)-1)*100</f>
        <v>#REF!</v>
      </c>
      <c r="AW13" s="128" t="e">
        <f t="shared" si="4"/>
        <v>#DIV/0!</v>
      </c>
      <c r="AX13" s="128" t="e">
        <f t="shared" si="4"/>
        <v>#DIV/0!</v>
      </c>
      <c r="AZ13" s="128" t="s">
        <v>18</v>
      </c>
      <c r="BA13" s="128" t="e">
        <f>((#REF!/#REF!)^(1/16)-1)*100</f>
        <v>#REF!</v>
      </c>
      <c r="BB13" s="128" t="e">
        <f>((#REF!/#REF!)^(1/16)-1)*100</f>
        <v>#REF!</v>
      </c>
      <c r="BC13" s="128" t="e">
        <f>((#REF!/#REF!)^(1/16)-1)*100</f>
        <v>#REF!</v>
      </c>
      <c r="BD13" s="128" t="e">
        <f>((#REF!/#REF!)^(1/16)-1)*100</f>
        <v>#REF!</v>
      </c>
      <c r="BE13" s="128" t="e">
        <f>((#REF!/#REF!)^(1/16)-1)*100</f>
        <v>#REF!</v>
      </c>
      <c r="BF13" s="128" t="e">
        <f>((#REF!/AN11)^(1/16)-1)*100</f>
        <v>#REF!</v>
      </c>
      <c r="BG13" s="128" t="e">
        <f>((#REF!/AO11)^(1/16)-1)*100</f>
        <v>#REF!</v>
      </c>
    </row>
    <row r="14" spans="1:59" s="128" customFormat="1">
      <c r="A14" s="115">
        <v>2000</v>
      </c>
      <c r="B14" s="129">
        <v>396</v>
      </c>
      <c r="C14" s="129">
        <v>5567436</v>
      </c>
      <c r="D14" s="129">
        <v>34453</v>
      </c>
      <c r="E14" s="62">
        <f t="shared" si="6"/>
        <v>87.002525252525245</v>
      </c>
      <c r="F14" s="10">
        <f t="shared" si="7"/>
        <v>14059.181818181818</v>
      </c>
      <c r="G14" s="129">
        <f t="shared" si="0"/>
        <v>161595.10057179347</v>
      </c>
      <c r="H14" s="129">
        <v>51</v>
      </c>
      <c r="I14" s="129">
        <v>3260562</v>
      </c>
      <c r="J14" s="129">
        <v>14021</v>
      </c>
      <c r="K14" s="62">
        <f t="shared" si="8"/>
        <v>274.92156862745099</v>
      </c>
      <c r="L14" s="10">
        <f t="shared" si="9"/>
        <v>63932.588235294119</v>
      </c>
      <c r="M14" s="129">
        <f t="shared" si="1"/>
        <v>232548.46301975608</v>
      </c>
      <c r="N14" s="129">
        <v>345</v>
      </c>
      <c r="O14" s="129">
        <v>2306874</v>
      </c>
      <c r="P14" s="129">
        <v>20432</v>
      </c>
      <c r="Q14" s="62">
        <f t="shared" si="10"/>
        <v>59.223188405797103</v>
      </c>
      <c r="R14" s="10">
        <f t="shared" si="11"/>
        <v>6686.5913043478258</v>
      </c>
      <c r="S14" s="129">
        <f t="shared" si="2"/>
        <v>112904.95301487861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Q14" s="128">
        <v>2001</v>
      </c>
      <c r="AR14" s="128" t="e">
        <f>((#REF!/#REF!)-1)*100</f>
        <v>#REF!</v>
      </c>
      <c r="AS14" s="128" t="e">
        <f>((#REF!/#REF!)-1)*100</f>
        <v>#REF!</v>
      </c>
      <c r="AT14" s="128" t="e">
        <f>((#REF!/#REF!)-1)*100</f>
        <v>#REF!</v>
      </c>
      <c r="AU14" s="128" t="e">
        <f>((#REF!/#REF!)-1)*100</f>
        <v>#REF!</v>
      </c>
      <c r="AV14" s="128" t="e">
        <f>((#REF!/#REF!)-1)*100</f>
        <v>#REF!</v>
      </c>
      <c r="AW14" s="128" t="e">
        <f t="shared" si="4"/>
        <v>#DIV/0!</v>
      </c>
      <c r="AX14" s="128" t="e">
        <f t="shared" si="4"/>
        <v>#DIV/0!</v>
      </c>
    </row>
    <row r="15" spans="1:59" s="128" customFormat="1">
      <c r="A15" s="115">
        <v>2001</v>
      </c>
      <c r="B15" s="129">
        <v>385</v>
      </c>
      <c r="C15" s="129">
        <v>5192321</v>
      </c>
      <c r="D15" s="129">
        <v>34737</v>
      </c>
      <c r="E15" s="62">
        <f t="shared" si="6"/>
        <v>90.225974025974025</v>
      </c>
      <c r="F15" s="10">
        <f t="shared" si="7"/>
        <v>13486.548051948052</v>
      </c>
      <c r="G15" s="129">
        <f t="shared" si="0"/>
        <v>149475.22814290237</v>
      </c>
      <c r="H15" s="129">
        <v>52</v>
      </c>
      <c r="I15" s="129">
        <v>2798884</v>
      </c>
      <c r="J15" s="129">
        <v>14091</v>
      </c>
      <c r="K15" s="62">
        <f t="shared" si="8"/>
        <v>270.98076923076923</v>
      </c>
      <c r="L15" s="10">
        <f t="shared" si="9"/>
        <v>53824.692307692305</v>
      </c>
      <c r="M15" s="129">
        <f t="shared" si="1"/>
        <v>198629.19594067134</v>
      </c>
      <c r="N15" s="129">
        <v>333</v>
      </c>
      <c r="O15" s="129">
        <v>2393437</v>
      </c>
      <c r="P15" s="129">
        <v>20646</v>
      </c>
      <c r="Q15" s="62">
        <f t="shared" si="10"/>
        <v>62</v>
      </c>
      <c r="R15" s="10">
        <f t="shared" si="11"/>
        <v>7187.4984984984985</v>
      </c>
      <c r="S15" s="129">
        <f t="shared" si="2"/>
        <v>115927.39513707256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Q15" s="128">
        <v>2002</v>
      </c>
      <c r="AR15" s="128" t="e">
        <f>((#REF!/#REF!)-1)*100</f>
        <v>#REF!</v>
      </c>
      <c r="AS15" s="128" t="e">
        <f>((#REF!/#REF!)-1)*100</f>
        <v>#REF!</v>
      </c>
      <c r="AT15" s="128" t="e">
        <f>((#REF!/#REF!)-1)*100</f>
        <v>#REF!</v>
      </c>
      <c r="AU15" s="128" t="e">
        <f>((#REF!/#REF!)-1)*100</f>
        <v>#REF!</v>
      </c>
      <c r="AV15" s="128" t="e">
        <f>((#REF!/#REF!)-1)*100</f>
        <v>#REF!</v>
      </c>
      <c r="AW15" s="128" t="e">
        <f t="shared" si="4"/>
        <v>#DIV/0!</v>
      </c>
      <c r="AX15" s="128" t="e">
        <f t="shared" si="4"/>
        <v>#DIV/0!</v>
      </c>
    </row>
    <row r="16" spans="1:59" s="128" customFormat="1">
      <c r="A16" s="115">
        <v>2002</v>
      </c>
      <c r="B16" s="129">
        <v>394</v>
      </c>
      <c r="C16" s="129">
        <v>5020899</v>
      </c>
      <c r="D16" s="129">
        <v>34361</v>
      </c>
      <c r="E16" s="62">
        <f t="shared" si="6"/>
        <v>87.210659898477161</v>
      </c>
      <c r="F16" s="10">
        <f t="shared" si="7"/>
        <v>12743.39847715736</v>
      </c>
      <c r="G16" s="129">
        <f t="shared" si="0"/>
        <v>146122.02788044585</v>
      </c>
      <c r="H16" s="129">
        <v>52</v>
      </c>
      <c r="I16" s="129">
        <v>2555072</v>
      </c>
      <c r="J16" s="129">
        <v>13350</v>
      </c>
      <c r="K16" s="62">
        <f t="shared" si="8"/>
        <v>256.73076923076923</v>
      </c>
      <c r="L16" s="10">
        <f t="shared" si="9"/>
        <v>49136</v>
      </c>
      <c r="M16" s="129">
        <f t="shared" si="1"/>
        <v>191391.16104868913</v>
      </c>
      <c r="N16" s="129">
        <v>342</v>
      </c>
      <c r="O16" s="129">
        <v>2465827</v>
      </c>
      <c r="P16" s="129">
        <v>21011</v>
      </c>
      <c r="Q16" s="62">
        <f t="shared" si="10"/>
        <v>61.435672514619881</v>
      </c>
      <c r="R16" s="10">
        <f t="shared" si="11"/>
        <v>7210.020467836257</v>
      </c>
      <c r="S16" s="129">
        <f t="shared" si="2"/>
        <v>117358.85964494788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Q16" s="128">
        <v>2003</v>
      </c>
      <c r="AR16" s="128" t="e">
        <f>((#REF!/#REF!)-1)*100</f>
        <v>#REF!</v>
      </c>
      <c r="AS16" s="128" t="e">
        <f>((#REF!/#REF!)-1)*100</f>
        <v>#REF!</v>
      </c>
      <c r="AT16" s="128" t="e">
        <f>((#REF!/#REF!)-1)*100</f>
        <v>#REF!</v>
      </c>
      <c r="AU16" s="128" t="e">
        <f>((#REF!/#REF!)-1)*100</f>
        <v>#REF!</v>
      </c>
      <c r="AV16" s="128" t="e">
        <f>((#REF!/#REF!)-1)*100</f>
        <v>#REF!</v>
      </c>
      <c r="AW16" s="128" t="e">
        <f t="shared" si="4"/>
        <v>#DIV/0!</v>
      </c>
      <c r="AX16" s="128" t="e">
        <f t="shared" si="4"/>
        <v>#DIV/0!</v>
      </c>
    </row>
    <row r="17" spans="1:50" s="95" customFormat="1" ht="15.75" thickBot="1">
      <c r="A17" s="94">
        <v>2003</v>
      </c>
      <c r="B17" s="82">
        <v>407</v>
      </c>
      <c r="C17" s="82">
        <v>4624800</v>
      </c>
      <c r="D17" s="82">
        <v>33322</v>
      </c>
      <c r="E17" s="78">
        <f t="shared" si="6"/>
        <v>81.872235872235876</v>
      </c>
      <c r="F17" s="74">
        <f t="shared" si="7"/>
        <v>11363.144963144963</v>
      </c>
      <c r="G17" s="82">
        <f t="shared" si="0"/>
        <v>138791.18900426145</v>
      </c>
      <c r="H17" s="82">
        <v>56</v>
      </c>
      <c r="I17" s="82">
        <v>2104720</v>
      </c>
      <c r="J17" s="82">
        <v>12819</v>
      </c>
      <c r="K17" s="78">
        <f t="shared" si="8"/>
        <v>228.91071428571428</v>
      </c>
      <c r="L17" s="74">
        <f t="shared" si="9"/>
        <v>37584.285714285717</v>
      </c>
      <c r="M17" s="82">
        <f t="shared" si="1"/>
        <v>164187.53412902722</v>
      </c>
      <c r="N17" s="82">
        <v>351</v>
      </c>
      <c r="O17" s="82">
        <v>2520080</v>
      </c>
      <c r="P17" s="82">
        <v>20503</v>
      </c>
      <c r="Q17" s="78">
        <f t="shared" si="10"/>
        <v>58.413105413105413</v>
      </c>
      <c r="R17" s="74">
        <f t="shared" si="11"/>
        <v>7179.7150997150993</v>
      </c>
      <c r="S17" s="82">
        <f t="shared" si="2"/>
        <v>122912.74447641808</v>
      </c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Q17" s="95">
        <v>2004</v>
      </c>
      <c r="AR17" s="95" t="e">
        <f>((#REF!/#REF!)-1)*100</f>
        <v>#REF!</v>
      </c>
      <c r="AS17" s="95" t="e">
        <f>((#REF!/#REF!)-1)*100</f>
        <v>#REF!</v>
      </c>
      <c r="AT17" s="95" t="e">
        <f>((#REF!/#REF!)-1)*100</f>
        <v>#REF!</v>
      </c>
      <c r="AU17" s="95" t="e">
        <f>((#REF!/#REF!)-1)*100</f>
        <v>#REF!</v>
      </c>
      <c r="AV17" s="95" t="e">
        <f>((#REF!/#REF!)-1)*100</f>
        <v>#REF!</v>
      </c>
      <c r="AW17" s="95" t="e">
        <f t="shared" si="4"/>
        <v>#DIV/0!</v>
      </c>
      <c r="AX17" s="95" t="e">
        <f t="shared" si="4"/>
        <v>#DIV/0!</v>
      </c>
    </row>
    <row r="18" spans="1:50" s="128" customFormat="1">
      <c r="A18" s="115">
        <v>2004</v>
      </c>
      <c r="B18" s="129">
        <v>533</v>
      </c>
      <c r="C18" s="129">
        <v>4195335</v>
      </c>
      <c r="D18" s="129">
        <v>30985</v>
      </c>
      <c r="E18" s="62">
        <f t="shared" si="6"/>
        <v>58.133208255159474</v>
      </c>
      <c r="F18" s="10">
        <f t="shared" si="7"/>
        <v>7871.1726078799247</v>
      </c>
      <c r="G18" s="129">
        <f t="shared" si="0"/>
        <v>135398.90269485235</v>
      </c>
      <c r="H18" s="129">
        <v>75</v>
      </c>
      <c r="I18" s="129">
        <v>1930757</v>
      </c>
      <c r="J18" s="129">
        <v>12031</v>
      </c>
      <c r="K18" s="62">
        <f t="shared" si="8"/>
        <v>160.41333333333333</v>
      </c>
      <c r="L18" s="10">
        <f t="shared" si="9"/>
        <v>25743.426666666666</v>
      </c>
      <c r="M18" s="129">
        <f t="shared" si="1"/>
        <v>160481.83858365889</v>
      </c>
      <c r="N18" s="129">
        <v>458</v>
      </c>
      <c r="O18" s="129">
        <v>2264578</v>
      </c>
      <c r="P18" s="129">
        <v>18954</v>
      </c>
      <c r="Q18" s="62">
        <f t="shared" si="10"/>
        <v>41.384279475982531</v>
      </c>
      <c r="R18" s="10">
        <f t="shared" si="11"/>
        <v>4944.4934497816594</v>
      </c>
      <c r="S18" s="129">
        <f t="shared" si="2"/>
        <v>119477.57729239212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Q18" s="128">
        <v>2005</v>
      </c>
      <c r="AR18" s="128" t="e">
        <f>((#REF!/#REF!)-1)*100</f>
        <v>#REF!</v>
      </c>
      <c r="AS18" s="128" t="e">
        <f>((#REF!/#REF!)-1)*100</f>
        <v>#REF!</v>
      </c>
      <c r="AT18" s="128" t="e">
        <f>((#REF!/#REF!)-1)*100</f>
        <v>#REF!</v>
      </c>
      <c r="AU18" s="128" t="e">
        <f>((#REF!/#REF!)-1)*100</f>
        <v>#REF!</v>
      </c>
      <c r="AV18" s="128" t="e">
        <f>((#REF!/#REF!)-1)*100</f>
        <v>#REF!</v>
      </c>
      <c r="AW18" s="128" t="e">
        <f t="shared" si="4"/>
        <v>#DIV/0!</v>
      </c>
      <c r="AX18" s="128" t="e">
        <f t="shared" si="4"/>
        <v>#DIV/0!</v>
      </c>
    </row>
    <row r="19" spans="1:50" s="128" customFormat="1">
      <c r="A19" s="115">
        <v>2005</v>
      </c>
      <c r="B19" s="129">
        <v>494</v>
      </c>
      <c r="C19" s="129">
        <v>3927082</v>
      </c>
      <c r="D19" s="129">
        <v>29681</v>
      </c>
      <c r="E19" s="62">
        <f t="shared" si="6"/>
        <v>60.082995951417004</v>
      </c>
      <c r="F19" s="10">
        <f t="shared" si="7"/>
        <v>7949.5587044534414</v>
      </c>
      <c r="G19" s="129">
        <f t="shared" si="0"/>
        <v>132309.62568646608</v>
      </c>
      <c r="H19" s="129">
        <v>80</v>
      </c>
      <c r="I19" s="129">
        <v>1715382</v>
      </c>
      <c r="J19" s="129">
        <v>10963</v>
      </c>
      <c r="K19" s="62">
        <f t="shared" si="8"/>
        <v>137.03749999999999</v>
      </c>
      <c r="L19" s="10">
        <f t="shared" si="9"/>
        <v>21442.275000000001</v>
      </c>
      <c r="M19" s="129">
        <f t="shared" si="1"/>
        <v>156470.1267901122</v>
      </c>
      <c r="N19" s="129">
        <v>414</v>
      </c>
      <c r="O19" s="129">
        <v>2211700</v>
      </c>
      <c r="P19" s="129">
        <v>18718</v>
      </c>
      <c r="Q19" s="62">
        <f t="shared" si="10"/>
        <v>45.212560386473427</v>
      </c>
      <c r="R19" s="10">
        <f t="shared" si="11"/>
        <v>5342.2705314009663</v>
      </c>
      <c r="S19" s="129">
        <f t="shared" si="2"/>
        <v>118158.99134522919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Q19" s="128">
        <v>2006</v>
      </c>
      <c r="AR19" s="128" t="e">
        <f>((#REF!/#REF!)-1)*100</f>
        <v>#REF!</v>
      </c>
      <c r="AS19" s="128" t="e">
        <f>((#REF!/#REF!)-1)*100</f>
        <v>#REF!</v>
      </c>
      <c r="AT19" s="128" t="e">
        <f>((#REF!/#REF!)-1)*100</f>
        <v>#REF!</v>
      </c>
      <c r="AU19" s="128" t="e">
        <f>((#REF!/#REF!)-1)*100</f>
        <v>#REF!</v>
      </c>
      <c r="AV19" s="128" t="e">
        <f>((#REF!/#REF!)-1)*100</f>
        <v>#REF!</v>
      </c>
      <c r="AW19" s="128" t="e">
        <f t="shared" si="4"/>
        <v>#DIV/0!</v>
      </c>
      <c r="AX19" s="128" t="e">
        <f t="shared" si="4"/>
        <v>#DIV/0!</v>
      </c>
    </row>
    <row r="20" spans="1:50" s="128" customFormat="1">
      <c r="A20" s="115">
        <v>2006</v>
      </c>
      <c r="B20" s="129">
        <v>469</v>
      </c>
      <c r="C20" s="129">
        <v>3502732</v>
      </c>
      <c r="D20" s="129">
        <v>26339</v>
      </c>
      <c r="E20" s="62">
        <f t="shared" si="6"/>
        <v>56.159914712153515</v>
      </c>
      <c r="F20" s="10">
        <f t="shared" si="7"/>
        <v>7468.5117270788915</v>
      </c>
      <c r="G20" s="129">
        <f t="shared" si="0"/>
        <v>132986.52188769507</v>
      </c>
      <c r="H20" s="129">
        <v>65</v>
      </c>
      <c r="I20" s="129">
        <v>1348256</v>
      </c>
      <c r="J20" s="129">
        <v>8197</v>
      </c>
      <c r="K20" s="62">
        <f t="shared" si="8"/>
        <v>126.1076923076923</v>
      </c>
      <c r="L20" s="10">
        <f t="shared" si="9"/>
        <v>20742.400000000001</v>
      </c>
      <c r="M20" s="129">
        <f t="shared" si="1"/>
        <v>164481.63962425277</v>
      </c>
      <c r="N20" s="129">
        <v>404</v>
      </c>
      <c r="O20" s="129">
        <v>2154476</v>
      </c>
      <c r="P20" s="129">
        <v>18142</v>
      </c>
      <c r="Q20" s="62">
        <f t="shared" si="10"/>
        <v>44.905940594059409</v>
      </c>
      <c r="R20" s="10">
        <f t="shared" si="11"/>
        <v>5332.8613861386139</v>
      </c>
      <c r="S20" s="129">
        <f t="shared" si="2"/>
        <v>118756.25620108037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Q20" s="128">
        <v>2007</v>
      </c>
      <c r="AR20" s="128" t="e">
        <f>((#REF!/#REF!)-1)*100</f>
        <v>#REF!</v>
      </c>
      <c r="AS20" s="128" t="e">
        <f>((#REF!/#REF!)-1)*100</f>
        <v>#REF!</v>
      </c>
      <c r="AT20" s="128" t="e">
        <f>((#REF!/#REF!)-1)*100</f>
        <v>#REF!</v>
      </c>
      <c r="AU20" s="128" t="e">
        <f>((#REF!/#REF!)-1)*100</f>
        <v>#REF!</v>
      </c>
      <c r="AV20" s="128" t="e">
        <f>((#REF!/#REF!)-1)*100</f>
        <v>#REF!</v>
      </c>
      <c r="AW20" s="128" t="e">
        <f t="shared" si="4"/>
        <v>#DIV/0!</v>
      </c>
      <c r="AX20" s="128" t="e">
        <f t="shared" si="4"/>
        <v>#DIV/0!</v>
      </c>
    </row>
    <row r="21" spans="1:50" s="128" customFormat="1">
      <c r="A21" s="115">
        <v>2007</v>
      </c>
      <c r="B21" s="129">
        <v>452</v>
      </c>
      <c r="C21" s="129">
        <v>3373388</v>
      </c>
      <c r="D21" s="129">
        <v>24000</v>
      </c>
      <c r="E21" s="62">
        <f t="shared" si="6"/>
        <v>53.097345132743364</v>
      </c>
      <c r="F21" s="10">
        <f t="shared" si="7"/>
        <v>7463.2477876106195</v>
      </c>
      <c r="G21" s="129">
        <f t="shared" si="0"/>
        <v>140557.83333333331</v>
      </c>
      <c r="H21" s="129">
        <v>67</v>
      </c>
      <c r="I21" s="129">
        <v>1401498</v>
      </c>
      <c r="J21" s="129">
        <v>7698</v>
      </c>
      <c r="K21" s="62">
        <f t="shared" si="8"/>
        <v>114.8955223880597</v>
      </c>
      <c r="L21" s="10">
        <f t="shared" si="9"/>
        <v>20917.880597014926</v>
      </c>
      <c r="M21" s="129">
        <f t="shared" si="1"/>
        <v>182060.01558846454</v>
      </c>
      <c r="N21" s="129">
        <v>385</v>
      </c>
      <c r="O21" s="129">
        <v>1971890</v>
      </c>
      <c r="P21" s="129">
        <v>16302</v>
      </c>
      <c r="Q21" s="62">
        <f t="shared" si="10"/>
        <v>42.342857142857142</v>
      </c>
      <c r="R21" s="10">
        <f t="shared" si="11"/>
        <v>5121.7922077922076</v>
      </c>
      <c r="S21" s="129">
        <f t="shared" si="2"/>
        <v>120960.00490737334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Q21" s="128">
        <v>2008</v>
      </c>
      <c r="AR21" s="128" t="e">
        <f>((#REF!/#REF!)-1)*100</f>
        <v>#REF!</v>
      </c>
      <c r="AS21" s="128" t="e">
        <f>((#REF!/#REF!)-1)*100</f>
        <v>#REF!</v>
      </c>
      <c r="AT21" s="128" t="e">
        <f>((#REF!/#REF!)-1)*100</f>
        <v>#REF!</v>
      </c>
      <c r="AU21" s="128" t="e">
        <f>((#REF!/#REF!)-1)*100</f>
        <v>#REF!</v>
      </c>
      <c r="AV21" s="128" t="e">
        <f>((#REF!/#REF!)-1)*100</f>
        <v>#REF!</v>
      </c>
      <c r="AW21" s="128" t="e">
        <f t="shared" si="4"/>
        <v>#DIV/0!</v>
      </c>
      <c r="AX21" s="128" t="e">
        <f t="shared" si="4"/>
        <v>#DIV/0!</v>
      </c>
    </row>
    <row r="22" spans="1:50" s="128" customFormat="1">
      <c r="A22" s="115">
        <v>2008</v>
      </c>
      <c r="B22" s="129">
        <v>434</v>
      </c>
      <c r="C22" s="129">
        <v>3193017</v>
      </c>
      <c r="D22" s="129">
        <v>22909</v>
      </c>
      <c r="E22" s="62">
        <f t="shared" si="6"/>
        <v>52.785714285714285</v>
      </c>
      <c r="F22" s="10">
        <f t="shared" si="7"/>
        <v>7357.1820276497692</v>
      </c>
      <c r="G22" s="129">
        <f t="shared" si="0"/>
        <v>139378.27927888604</v>
      </c>
      <c r="H22" s="129">
        <v>65</v>
      </c>
      <c r="I22" s="129">
        <v>1341269</v>
      </c>
      <c r="J22" s="129">
        <v>7163</v>
      </c>
      <c r="K22" s="62">
        <f t="shared" si="8"/>
        <v>110.2</v>
      </c>
      <c r="L22" s="10">
        <f t="shared" si="9"/>
        <v>20634.907692307694</v>
      </c>
      <c r="M22" s="129">
        <f t="shared" si="1"/>
        <v>187249.61608264691</v>
      </c>
      <c r="N22" s="129">
        <v>369</v>
      </c>
      <c r="O22" s="129">
        <v>1851748</v>
      </c>
      <c r="P22" s="129">
        <v>15746</v>
      </c>
      <c r="Q22" s="62">
        <f t="shared" si="10"/>
        <v>42.672086720867206</v>
      </c>
      <c r="R22" s="10">
        <f t="shared" si="11"/>
        <v>5018.2872628726291</v>
      </c>
      <c r="S22" s="129">
        <f t="shared" si="2"/>
        <v>117601.16855074304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Q22" s="128">
        <v>2009</v>
      </c>
      <c r="AR22" s="128" t="e">
        <f>((#REF!/#REF!)-1)*100</f>
        <v>#REF!</v>
      </c>
      <c r="AS22" s="128" t="e">
        <f>((#REF!/#REF!)-1)*100</f>
        <v>#REF!</v>
      </c>
      <c r="AT22" s="128" t="e">
        <f>((#REF!/#REF!)-1)*100</f>
        <v>#REF!</v>
      </c>
      <c r="AU22" s="128" t="e">
        <f>((#REF!/#REF!)-1)*100</f>
        <v>#REF!</v>
      </c>
      <c r="AV22" s="128" t="e">
        <f>((#REF!/#REF!)-1)*100</f>
        <v>#REF!</v>
      </c>
      <c r="AW22" s="128" t="e">
        <f t="shared" si="4"/>
        <v>#DIV/0!</v>
      </c>
      <c r="AX22" s="128" t="e">
        <f t="shared" si="4"/>
        <v>#DIV/0!</v>
      </c>
    </row>
    <row r="23" spans="1:50" s="128" customFormat="1">
      <c r="A23" s="115">
        <v>2009</v>
      </c>
      <c r="B23" s="129">
        <v>427</v>
      </c>
      <c r="C23" s="129">
        <v>2856563</v>
      </c>
      <c r="D23" s="129">
        <v>21134</v>
      </c>
      <c r="E23" s="62">
        <f t="shared" si="6"/>
        <v>49.494145199063233</v>
      </c>
      <c r="F23" s="10">
        <f t="shared" si="7"/>
        <v>6689.8430913348948</v>
      </c>
      <c r="G23" s="129">
        <f t="shared" si="0"/>
        <v>135164.33235544618</v>
      </c>
      <c r="H23" s="129">
        <v>62</v>
      </c>
      <c r="I23" s="129">
        <v>983451</v>
      </c>
      <c r="J23" s="129">
        <v>5838</v>
      </c>
      <c r="K23" s="62">
        <f t="shared" si="8"/>
        <v>94.161290322580641</v>
      </c>
      <c r="L23" s="10">
        <f t="shared" si="9"/>
        <v>15862.112903225807</v>
      </c>
      <c r="M23" s="129">
        <f t="shared" si="1"/>
        <v>168456.83453237411</v>
      </c>
      <c r="N23" s="129">
        <v>365</v>
      </c>
      <c r="O23" s="129">
        <v>1873112</v>
      </c>
      <c r="P23" s="129">
        <v>15296</v>
      </c>
      <c r="Q23" s="62">
        <f t="shared" si="10"/>
        <v>41.906849315068492</v>
      </c>
      <c r="R23" s="10">
        <f t="shared" si="11"/>
        <v>5131.813698630137</v>
      </c>
      <c r="S23" s="129">
        <f t="shared" si="2"/>
        <v>122457.63598326359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Q23" s="128">
        <v>2010</v>
      </c>
      <c r="AR23" s="128" t="e">
        <f>((#REF!/#REF!)-1)*100</f>
        <v>#REF!</v>
      </c>
      <c r="AS23" s="128" t="e">
        <f>((#REF!/#REF!)-1)*100</f>
        <v>#REF!</v>
      </c>
      <c r="AT23" s="128" t="e">
        <f>((#REF!/#REF!)-1)*100</f>
        <v>#REF!</v>
      </c>
      <c r="AU23" s="128" t="e">
        <f>((#REF!/#REF!)-1)*100</f>
        <v>#REF!</v>
      </c>
      <c r="AV23" s="128" t="e">
        <f>((#REF!/#REF!)-1)*100</f>
        <v>#REF!</v>
      </c>
      <c r="AW23" s="128" t="e">
        <f t="shared" si="4"/>
        <v>#DIV/0!</v>
      </c>
      <c r="AX23" s="128" t="e">
        <f t="shared" si="4"/>
        <v>#DIV/0!</v>
      </c>
    </row>
    <row r="24" spans="1:50" s="128" customFormat="1">
      <c r="A24" s="115">
        <v>2010</v>
      </c>
      <c r="B24" s="129">
        <v>413</v>
      </c>
      <c r="C24" s="129">
        <v>2754171</v>
      </c>
      <c r="D24" s="129">
        <v>19320</v>
      </c>
      <c r="E24" s="62">
        <f t="shared" si="6"/>
        <v>46.779661016949156</v>
      </c>
      <c r="F24" s="10">
        <f t="shared" si="7"/>
        <v>6668.6949152542375</v>
      </c>
      <c r="G24" s="129">
        <f t="shared" si="0"/>
        <v>142555.4347826087</v>
      </c>
      <c r="H24" s="129">
        <v>66</v>
      </c>
      <c r="I24" s="129">
        <v>1049987</v>
      </c>
      <c r="J24" s="129">
        <v>5040</v>
      </c>
      <c r="K24" s="62">
        <f t="shared" si="8"/>
        <v>76.36363636363636</v>
      </c>
      <c r="L24" s="10">
        <f t="shared" si="9"/>
        <v>15908.89393939394</v>
      </c>
      <c r="M24" s="129">
        <f t="shared" si="1"/>
        <v>208330.75396825396</v>
      </c>
      <c r="N24" s="129">
        <v>347</v>
      </c>
      <c r="O24" s="129">
        <v>1704184</v>
      </c>
      <c r="P24" s="129">
        <v>14280</v>
      </c>
      <c r="Q24" s="62">
        <f t="shared" si="10"/>
        <v>41.152737752161386</v>
      </c>
      <c r="R24" s="10">
        <f t="shared" si="11"/>
        <v>4911.1930835734875</v>
      </c>
      <c r="S24" s="129">
        <f t="shared" si="2"/>
        <v>119340.6162464986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Q24" s="128">
        <v>2011</v>
      </c>
      <c r="AR24" s="128" t="e">
        <f>((#REF!/#REF!)-1)*100</f>
        <v>#REF!</v>
      </c>
      <c r="AS24" s="128" t="e">
        <f>((#REF!/#REF!)-1)*100</f>
        <v>#REF!</v>
      </c>
      <c r="AT24" s="128" t="e">
        <f>((#REF!/#REF!)-1)*100</f>
        <v>#REF!</v>
      </c>
      <c r="AU24" s="128" t="e">
        <f>((#REF!/#REF!)-1)*100</f>
        <v>#REF!</v>
      </c>
      <c r="AV24" s="128" t="e">
        <f>((#REF!/#REF!)-1)*100</f>
        <v>#REF!</v>
      </c>
      <c r="AW24" s="128" t="e">
        <f>((#REF!/AN24)-1)*100</f>
        <v>#REF!</v>
      </c>
      <c r="AX24" s="128" t="e">
        <f>((#REF!/AO24)-1)*100</f>
        <v>#REF!</v>
      </c>
    </row>
    <row r="25" spans="1:50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R25" s="125" t="s">
        <v>27</v>
      </c>
    </row>
    <row r="26" spans="1:50" ht="15" customHeight="1">
      <c r="A26" s="454" t="s">
        <v>32</v>
      </c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R26" s="125" t="s">
        <v>16</v>
      </c>
      <c r="AS26" s="125" t="s">
        <v>8</v>
      </c>
      <c r="AT26" s="125" t="s">
        <v>3</v>
      </c>
      <c r="AU26" s="125" t="s">
        <v>4</v>
      </c>
      <c r="AV26" s="125" t="s">
        <v>17</v>
      </c>
      <c r="AW26" s="125" t="s">
        <v>6</v>
      </c>
      <c r="AX26" s="125" t="s">
        <v>7</v>
      </c>
    </row>
    <row r="27" spans="1:50">
      <c r="A27" s="115" t="s">
        <v>85</v>
      </c>
      <c r="B27" s="11" t="s">
        <v>10</v>
      </c>
      <c r="C27" s="11">
        <f t="shared" ref="C27:S27" si="12">((C4/C13)^(1/9)-1)*100</f>
        <v>-2.1249699707740488</v>
      </c>
      <c r="D27" s="11">
        <f t="shared" si="12"/>
        <v>1.7687330546917179</v>
      </c>
      <c r="E27" s="11" t="s">
        <v>10</v>
      </c>
      <c r="F27" s="11" t="s">
        <v>10</v>
      </c>
      <c r="G27" s="11">
        <f t="shared" si="12"/>
        <v>-3.8260307548225625</v>
      </c>
      <c r="H27" s="11" t="s">
        <v>10</v>
      </c>
      <c r="I27" s="11">
        <f t="shared" si="12"/>
        <v>-1.2435139520965532</v>
      </c>
      <c r="J27" s="11">
        <f t="shared" si="12"/>
        <v>3.4235984342240844</v>
      </c>
      <c r="K27" s="11" t="s">
        <v>10</v>
      </c>
      <c r="L27" s="11" t="s">
        <v>10</v>
      </c>
      <c r="M27" s="11">
        <f t="shared" si="12"/>
        <v>-4.5126184516668726</v>
      </c>
      <c r="N27" s="11" t="s">
        <v>10</v>
      </c>
      <c r="O27" s="11">
        <f t="shared" si="12"/>
        <v>-3.4721676835102966</v>
      </c>
      <c r="P27" s="11">
        <f t="shared" si="12"/>
        <v>0.38622287096752306</v>
      </c>
      <c r="Q27" s="11" t="s">
        <v>10</v>
      </c>
      <c r="R27" s="11" t="s">
        <v>10</v>
      </c>
      <c r="S27" s="11">
        <f t="shared" si="12"/>
        <v>-3.8435459011514239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Q27" s="125">
        <v>1999</v>
      </c>
      <c r="AR27" s="125" t="e">
        <f>#REF!/#REF!</f>
        <v>#REF!</v>
      </c>
      <c r="AS27" s="125" t="e">
        <f>#REF!/#REF!</f>
        <v>#REF!</v>
      </c>
      <c r="AT27" s="125" t="e">
        <f>#REF!/#REF!</f>
        <v>#REF!</v>
      </c>
      <c r="AU27" s="125" t="e">
        <f>#REF!/#REF!</f>
        <v>#REF!</v>
      </c>
      <c r="AV27" s="125" t="e">
        <f>#REF!/#REF!</f>
        <v>#REF!</v>
      </c>
      <c r="AW27" s="125" t="e">
        <f t="shared" ref="AW27:AW28" si="13">AN13/$AN$14</f>
        <v>#DIV/0!</v>
      </c>
      <c r="AX27" s="125" t="e">
        <f t="shared" ref="AX27:AX28" si="14">AO13/$AO$14</f>
        <v>#DIV/0!</v>
      </c>
    </row>
    <row r="28" spans="1:50">
      <c r="A28" s="130" t="s">
        <v>323</v>
      </c>
      <c r="B28" s="11">
        <f>((B13/B17)^(1/4)-1)*100</f>
        <v>-8.2035558932571426</v>
      </c>
      <c r="C28" s="11">
        <f t="shared" ref="C28:S28" si="15">((C13/C17)^(1/4)-1)*100</f>
        <v>-3.2117369230466708</v>
      </c>
      <c r="D28" s="11">
        <f t="shared" si="15"/>
        <v>0.567593877319994</v>
      </c>
      <c r="E28" s="11">
        <f t="shared" si="15"/>
        <v>9.5549994947275572</v>
      </c>
      <c r="F28" s="11">
        <f t="shared" si="15"/>
        <v>5.4379219356317066</v>
      </c>
      <c r="G28" s="11">
        <f t="shared" si="15"/>
        <v>-3.7580006189438908</v>
      </c>
      <c r="H28" s="11">
        <f t="shared" si="15"/>
        <v>-5.8509022651879956</v>
      </c>
      <c r="I28" s="11">
        <f t="shared" si="15"/>
        <v>2.9513010420675556</v>
      </c>
      <c r="J28" s="11">
        <f t="shared" si="15"/>
        <v>3.1479969254176954</v>
      </c>
      <c r="K28" s="11">
        <f t="shared" si="15"/>
        <v>9.5581364103485491</v>
      </c>
      <c r="L28" s="11">
        <f t="shared" si="15"/>
        <v>9.3492168475671988</v>
      </c>
      <c r="M28" s="11">
        <f t="shared" si="15"/>
        <v>-0.19069287743160857</v>
      </c>
      <c r="N28" s="11">
        <f t="shared" si="15"/>
        <v>-8.5960967438476921</v>
      </c>
      <c r="O28" s="11">
        <f t="shared" si="15"/>
        <v>-9.4492989528558446</v>
      </c>
      <c r="P28" s="11">
        <f t="shared" si="15"/>
        <v>-1.1525334043526403</v>
      </c>
      <c r="Q28" s="11">
        <f t="shared" si="15"/>
        <v>8.1435946106535937</v>
      </c>
      <c r="R28" s="11">
        <f t="shared" si="15"/>
        <v>-0.93344176628553654</v>
      </c>
      <c r="S28" s="11">
        <f t="shared" si="15"/>
        <v>-8.3935034799046075</v>
      </c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Q28" s="125">
        <v>2000</v>
      </c>
      <c r="AR28" s="125" t="e">
        <f>#REF!/#REF!</f>
        <v>#REF!</v>
      </c>
      <c r="AS28" s="125" t="e">
        <f>#REF!/#REF!</f>
        <v>#REF!</v>
      </c>
      <c r="AT28" s="125" t="e">
        <f>#REF!/#REF!</f>
        <v>#REF!</v>
      </c>
      <c r="AU28" s="125" t="e">
        <f>#REF!/#REF!</f>
        <v>#REF!</v>
      </c>
      <c r="AV28" s="125" t="e">
        <f>#REF!/#REF!</f>
        <v>#REF!</v>
      </c>
      <c r="AW28" s="125" t="e">
        <f t="shared" si="13"/>
        <v>#DIV/0!</v>
      </c>
      <c r="AX28" s="125" t="e">
        <f t="shared" si="14"/>
        <v>#DIV/0!</v>
      </c>
    </row>
    <row r="29" spans="1:50" s="259" customFormat="1">
      <c r="A29" s="325" t="s">
        <v>524</v>
      </c>
      <c r="B29" s="11">
        <f>((B21/B17)^(1/4)-1)*100</f>
        <v>2.6563943826798386</v>
      </c>
      <c r="C29" s="11">
        <f t="shared" ref="C29:S29" si="16">((C21/C17)^(1/4)-1)*100</f>
        <v>-7.5848155112624767</v>
      </c>
      <c r="D29" s="11">
        <f t="shared" si="16"/>
        <v>-7.8765814789019561</v>
      </c>
      <c r="E29" s="11">
        <f t="shared" si="16"/>
        <v>-10.260418676227056</v>
      </c>
      <c r="F29" s="11">
        <f t="shared" si="16"/>
        <v>-9.976202608251949</v>
      </c>
      <c r="G29" s="11">
        <f t="shared" si="16"/>
        <v>0.31671205033783068</v>
      </c>
      <c r="H29" s="11">
        <f t="shared" si="16"/>
        <v>4.5855522360028544</v>
      </c>
      <c r="I29" s="11">
        <f t="shared" si="16"/>
        <v>-9.666354157384383</v>
      </c>
      <c r="J29" s="11">
        <f t="shared" si="16"/>
        <v>-11.969951768511244</v>
      </c>
      <c r="K29" s="11">
        <f t="shared" si="16"/>
        <v>-15.82962813750386</v>
      </c>
      <c r="L29" s="11">
        <f t="shared" si="16"/>
        <v>-13.62703173496379</v>
      </c>
      <c r="M29" s="11">
        <f t="shared" si="16"/>
        <v>2.616831022367716</v>
      </c>
      <c r="N29" s="11">
        <f t="shared" si="16"/>
        <v>2.3383482781325959</v>
      </c>
      <c r="O29" s="11">
        <f t="shared" si="16"/>
        <v>-5.9482048598152755</v>
      </c>
      <c r="P29" s="11">
        <f t="shared" si="16"/>
        <v>-5.5708959092558796</v>
      </c>
      <c r="Q29" s="11">
        <f t="shared" si="16"/>
        <v>-7.7285243708379303</v>
      </c>
      <c r="R29" s="11">
        <f t="shared" si="16"/>
        <v>-8.0972121178142125</v>
      </c>
      <c r="S29" s="11">
        <f t="shared" si="16"/>
        <v>-0.39956849553163254</v>
      </c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</row>
    <row r="30" spans="1:50" s="259" customFormat="1">
      <c r="A30" s="248" t="s">
        <v>368</v>
      </c>
      <c r="B30" s="11">
        <f>((B24/B21)^(1/3)-1)*100</f>
        <v>-2.9630348078442115</v>
      </c>
      <c r="C30" s="11">
        <f t="shared" ref="C30:S30" si="17">((C24/C21)^(1/3)-1)*100</f>
        <v>-6.536608728788984</v>
      </c>
      <c r="D30" s="11">
        <f t="shared" si="17"/>
        <v>-6.9752253154977133</v>
      </c>
      <c r="E30" s="11">
        <f t="shared" si="17"/>
        <v>-4.134703202752088</v>
      </c>
      <c r="F30" s="11">
        <f t="shared" si="17"/>
        <v>-3.6826934085049667</v>
      </c>
      <c r="G30" s="11">
        <f t="shared" si="17"/>
        <v>0.47150513204285982</v>
      </c>
      <c r="H30" s="11">
        <f t="shared" si="17"/>
        <v>-0.50000835448091863</v>
      </c>
      <c r="I30" s="11">
        <f t="shared" si="17"/>
        <v>-9.1767274083574097</v>
      </c>
      <c r="J30" s="11">
        <f t="shared" si="17"/>
        <v>-13.167119136329919</v>
      </c>
      <c r="K30" s="11">
        <f t="shared" si="17"/>
        <v>-12.730765673807431</v>
      </c>
      <c r="L30" s="11">
        <f t="shared" si="17"/>
        <v>-8.7203213893608744</v>
      </c>
      <c r="M30" s="11">
        <f t="shared" si="17"/>
        <v>4.5954846692666251</v>
      </c>
      <c r="N30" s="11">
        <f t="shared" si="17"/>
        <v>-3.4046437734108315</v>
      </c>
      <c r="O30" s="11">
        <f t="shared" si="17"/>
        <v>-4.7471600455595508</v>
      </c>
      <c r="P30" s="11">
        <f t="shared" si="17"/>
        <v>-4.3182508070139569</v>
      </c>
      <c r="Q30" s="11">
        <f t="shared" si="17"/>
        <v>-0.94580844182614587</v>
      </c>
      <c r="R30" s="11">
        <f t="shared" si="17"/>
        <v>-1.3898352100897071</v>
      </c>
      <c r="S30" s="11">
        <f t="shared" si="17"/>
        <v>-0.44826651076425028</v>
      </c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</row>
    <row r="31" spans="1:50">
      <c r="A31" s="325" t="s">
        <v>525</v>
      </c>
      <c r="B31" s="11">
        <f>((B24/B14)^(1/10)-1)*100</f>
        <v>0.42121845870273233</v>
      </c>
      <c r="C31" s="11">
        <f t="shared" ref="C31:S31" si="18">((C24/C14)^(1/10)-1)*100</f>
        <v>-6.796211267972474</v>
      </c>
      <c r="D31" s="11">
        <f t="shared" si="18"/>
        <v>-5.6204270752715946</v>
      </c>
      <c r="E31" s="11">
        <f t="shared" si="18"/>
        <v>-6.0163037520391089</v>
      </c>
      <c r="F31" s="11">
        <f t="shared" si="18"/>
        <v>-7.1871560985324106</v>
      </c>
      <c r="G31" s="11">
        <f t="shared" si="18"/>
        <v>-1.2458036800384931</v>
      </c>
      <c r="H31" s="11">
        <f t="shared" si="18"/>
        <v>2.6118165254426451</v>
      </c>
      <c r="I31" s="11">
        <f t="shared" si="18"/>
        <v>-10.712811924875121</v>
      </c>
      <c r="J31" s="11">
        <f t="shared" si="18"/>
        <v>-9.7254869006008775</v>
      </c>
      <c r="K31" s="11">
        <f t="shared" si="18"/>
        <v>-12.02327747797397</v>
      </c>
      <c r="L31" s="11">
        <f t="shared" si="18"/>
        <v>-12.985471753161992</v>
      </c>
      <c r="M31" s="11">
        <f t="shared" si="18"/>
        <v>-1.0936918853133304</v>
      </c>
      <c r="N31" s="11">
        <f t="shared" si="18"/>
        <v>5.7820338672120997E-2</v>
      </c>
      <c r="O31" s="11">
        <f t="shared" si="18"/>
        <v>-2.9826828162833663</v>
      </c>
      <c r="P31" s="11">
        <f t="shared" si="18"/>
        <v>-3.5190140879035714</v>
      </c>
      <c r="Q31" s="11">
        <f t="shared" si="18"/>
        <v>-3.5747674839097576</v>
      </c>
      <c r="R31" s="11">
        <f t="shared" si="18"/>
        <v>-3.0387461416450101</v>
      </c>
      <c r="S31" s="11">
        <f t="shared" si="18"/>
        <v>0.55589323279598979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Q31" s="125">
        <v>2001</v>
      </c>
      <c r="AR31" s="125" t="e">
        <f>#REF!/#REF!</f>
        <v>#REF!</v>
      </c>
      <c r="AS31" s="125" t="e">
        <f>#REF!/#REF!</f>
        <v>#REF!</v>
      </c>
      <c r="AT31" s="125" t="e">
        <f>#REF!/#REF!</f>
        <v>#REF!</v>
      </c>
      <c r="AU31" s="125" t="e">
        <f>#REF!/#REF!</f>
        <v>#REF!</v>
      </c>
      <c r="AV31" s="125" t="e">
        <f>#REF!/#REF!</f>
        <v>#REF!</v>
      </c>
      <c r="AW31" s="125" t="e">
        <f>AN15/$AN$14</f>
        <v>#DIV/0!</v>
      </c>
      <c r="AX31" s="125" t="e">
        <f>AO15/$AO$14</f>
        <v>#DIV/0!</v>
      </c>
    </row>
    <row r="32" spans="1:50">
      <c r="A32" s="115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</row>
    <row r="33" spans="1:50">
      <c r="A33" s="237" t="s">
        <v>39</v>
      </c>
      <c r="B33" s="237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</row>
    <row r="34" spans="1:50">
      <c r="A34" s="237" t="s">
        <v>76</v>
      </c>
      <c r="B34" s="237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</row>
    <row r="35" spans="1:50">
      <c r="A35" s="237" t="s">
        <v>9</v>
      </c>
      <c r="B35" s="237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</row>
    <row r="36" spans="1:50">
      <c r="A36" s="237" t="s">
        <v>10</v>
      </c>
      <c r="B36" s="237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</row>
    <row r="37" spans="1:50">
      <c r="A37" s="237" t="s">
        <v>40</v>
      </c>
      <c r="B37" s="237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</row>
    <row r="38" spans="1:50">
      <c r="A38" s="231" t="s">
        <v>322</v>
      </c>
      <c r="B38" s="23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</row>
    <row r="39" spans="1:50">
      <c r="A39" s="231" t="s">
        <v>144</v>
      </c>
      <c r="B39" s="238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</row>
    <row r="40" spans="1:50">
      <c r="A40" s="259" t="s">
        <v>371</v>
      </c>
      <c r="B40" s="237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</row>
    <row r="41" spans="1:50">
      <c r="AQ41" s="125">
        <v>2011</v>
      </c>
      <c r="AR41" s="125" t="e">
        <f>#REF!/#REF!</f>
        <v>#REF!</v>
      </c>
      <c r="AS41" s="125" t="e">
        <f>#REF!/#REF!</f>
        <v>#REF!</v>
      </c>
      <c r="AT41" s="125" t="e">
        <f>#REF!/#REF!</f>
        <v>#REF!</v>
      </c>
      <c r="AU41" s="125" t="e">
        <f>#REF!/#REF!</f>
        <v>#REF!</v>
      </c>
      <c r="AV41" s="125" t="e">
        <f>#REF!/#REF!</f>
        <v>#REF!</v>
      </c>
      <c r="AW41" s="125" t="e">
        <f>#REF!/$AN$14</f>
        <v>#REF!</v>
      </c>
      <c r="AX41" s="125" t="e">
        <f>#REF!/$AO$14</f>
        <v>#REF!</v>
      </c>
    </row>
    <row r="42" spans="1:50">
      <c r="AQ42" s="125">
        <v>2012</v>
      </c>
      <c r="AR42" s="125" t="e">
        <f>#REF!/#REF!</f>
        <v>#REF!</v>
      </c>
      <c r="AS42" s="125" t="e">
        <f>#REF!/#REF!</f>
        <v>#REF!</v>
      </c>
      <c r="AT42" s="125" t="e">
        <f>#REF!/#REF!</f>
        <v>#REF!</v>
      </c>
      <c r="AU42" s="125" t="e">
        <f>#REF!/#REF!</f>
        <v>#REF!</v>
      </c>
      <c r="AV42" s="125" t="e">
        <f>#REF!/#REF!</f>
        <v>#REF!</v>
      </c>
      <c r="AW42" s="125" t="e">
        <f>#REF!/$AN$14</f>
        <v>#REF!</v>
      </c>
      <c r="AX42" s="125" t="e">
        <f>#REF!/$AO$14</f>
        <v>#REF!</v>
      </c>
    </row>
    <row r="43" spans="1:50">
      <c r="AQ43" s="125">
        <v>2013</v>
      </c>
      <c r="AR43" s="125" t="e">
        <f>#REF!/#REF!</f>
        <v>#REF!</v>
      </c>
      <c r="AS43" s="125" t="e">
        <f>#REF!/#REF!</f>
        <v>#REF!</v>
      </c>
      <c r="AT43" s="125" t="e">
        <f>#REF!/#REF!</f>
        <v>#REF!</v>
      </c>
      <c r="AU43" s="125" t="e">
        <f>#REF!/#REF!</f>
        <v>#REF!</v>
      </c>
      <c r="AV43" s="125" t="e">
        <f>#REF!/#REF!</f>
        <v>#REF!</v>
      </c>
      <c r="AW43" s="125" t="e">
        <f>#REF!/$AN$14</f>
        <v>#REF!</v>
      </c>
      <c r="AX43" s="125" t="e">
        <f>#REF!/$AO$14</f>
        <v>#REF!</v>
      </c>
    </row>
  </sheetData>
  <mergeCells count="5">
    <mergeCell ref="A26:R26"/>
    <mergeCell ref="A1:S1"/>
    <mergeCell ref="B2:G2"/>
    <mergeCell ref="H2:M2"/>
    <mergeCell ref="N2:S2"/>
  </mergeCells>
  <printOptions gridLines="1"/>
  <pageMargins left="0.70866141732283472" right="0.70866141732283472" top="0.74803149606299213" bottom="0.74803149606299213" header="0.31496062992125984" footer="0.31496062992125984"/>
  <pageSetup scale="46" orientation="portrait" horizontalDpi="0" verticalDpi="0" r:id="rId1"/>
  <colBreaks count="1" manualBreakCount="1">
    <brk id="1" max="39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37"/>
  <sheetViews>
    <sheetView view="pageBreakPreview" zoomScaleNormal="100" zoomScaleSheetLayoutView="100" workbookViewId="0">
      <selection activeCell="B2" sqref="B2:E2"/>
    </sheetView>
  </sheetViews>
  <sheetFormatPr defaultRowHeight="15"/>
  <cols>
    <col min="1" max="1" width="12.42578125" style="114" customWidth="1"/>
    <col min="2" max="2" width="19.140625" style="114" customWidth="1"/>
    <col min="3" max="3" width="20" style="114" customWidth="1"/>
    <col min="4" max="4" width="32.42578125" style="114" bestFit="1" customWidth="1"/>
    <col min="5" max="5" width="24.7109375" style="114" bestFit="1" customWidth="1"/>
    <col min="6" max="26" width="10.140625" style="114" customWidth="1"/>
    <col min="27" max="28" width="10.140625" style="114" bestFit="1" customWidth="1"/>
    <col min="29" max="29" width="9.140625" style="114"/>
    <col min="30" max="46" width="0" style="114" hidden="1" customWidth="1"/>
    <col min="47" max="16384" width="9.140625" style="114"/>
  </cols>
  <sheetData>
    <row r="1" spans="1:46" ht="15" customHeight="1">
      <c r="A1" s="465" t="s">
        <v>184</v>
      </c>
      <c r="B1" s="465"/>
      <c r="C1" s="465"/>
      <c r="D1" s="465"/>
      <c r="E1" s="465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</row>
    <row r="2" spans="1:46" ht="34.5" customHeight="1">
      <c r="A2" s="118"/>
      <c r="B2" s="146" t="s">
        <v>130</v>
      </c>
      <c r="C2" s="29" t="s">
        <v>86</v>
      </c>
      <c r="D2" s="29" t="s">
        <v>4</v>
      </c>
      <c r="E2" s="29" t="s">
        <v>5</v>
      </c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</row>
    <row r="3" spans="1:46" s="79" customFormat="1">
      <c r="A3" s="118">
        <v>1990</v>
      </c>
      <c r="B3" s="123" t="s">
        <v>9</v>
      </c>
      <c r="C3" s="25">
        <v>2077</v>
      </c>
      <c r="D3" s="25" t="s">
        <v>9</v>
      </c>
      <c r="E3" s="25" t="s">
        <v>9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46" s="79" customFormat="1">
      <c r="A4" s="118">
        <v>1991</v>
      </c>
      <c r="B4" s="123" t="s">
        <v>9</v>
      </c>
      <c r="C4" s="25">
        <v>2034</v>
      </c>
      <c r="D4" s="25" t="s">
        <v>9</v>
      </c>
      <c r="E4" s="25" t="s">
        <v>9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46" s="79" customFormat="1">
      <c r="A5" s="118">
        <v>1992</v>
      </c>
      <c r="B5" s="123" t="s">
        <v>9</v>
      </c>
      <c r="C5" s="25">
        <v>2054</v>
      </c>
      <c r="D5" s="25" t="s">
        <v>9</v>
      </c>
      <c r="E5" s="25" t="s">
        <v>9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46" s="79" customFormat="1">
      <c r="A6" s="118">
        <v>1993</v>
      </c>
      <c r="B6" s="123" t="s">
        <v>9</v>
      </c>
      <c r="C6" s="25">
        <v>2039</v>
      </c>
      <c r="D6" s="25" t="s">
        <v>9</v>
      </c>
      <c r="E6" s="25" t="s">
        <v>9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46" s="79" customFormat="1">
      <c r="A7" s="118">
        <v>1994</v>
      </c>
      <c r="B7" s="123" t="s">
        <v>9</v>
      </c>
      <c r="C7" s="25">
        <v>1675</v>
      </c>
      <c r="D7" s="25" t="s">
        <v>9</v>
      </c>
      <c r="E7" s="25" t="s">
        <v>9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N7" s="79" t="s">
        <v>32</v>
      </c>
    </row>
    <row r="8" spans="1:46" s="79" customFormat="1">
      <c r="A8" s="118">
        <v>1995</v>
      </c>
      <c r="B8" s="123" t="s">
        <v>9</v>
      </c>
      <c r="C8" s="25">
        <v>2224</v>
      </c>
      <c r="D8" s="25" t="s">
        <v>9</v>
      </c>
      <c r="E8" s="25" t="s">
        <v>9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E8" s="79" t="s">
        <v>24</v>
      </c>
      <c r="AN8" s="79" t="s">
        <v>16</v>
      </c>
      <c r="AO8" s="79" t="s">
        <v>8</v>
      </c>
      <c r="AP8" s="79" t="s">
        <v>3</v>
      </c>
      <c r="AQ8" s="79" t="s">
        <v>4</v>
      </c>
      <c r="AR8" s="79" t="s">
        <v>17</v>
      </c>
      <c r="AS8" s="79" t="s">
        <v>6</v>
      </c>
      <c r="AT8" s="79" t="s">
        <v>7</v>
      </c>
    </row>
    <row r="9" spans="1:46" s="79" customFormat="1">
      <c r="A9" s="118">
        <v>1996</v>
      </c>
      <c r="B9" s="123" t="s">
        <v>9</v>
      </c>
      <c r="C9" s="25">
        <v>2083</v>
      </c>
      <c r="D9" s="25" t="s">
        <v>9</v>
      </c>
      <c r="E9" s="25" t="s">
        <v>9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E9" s="79" t="s">
        <v>16</v>
      </c>
      <c r="AF9" s="79" t="s">
        <v>8</v>
      </c>
      <c r="AG9" s="79" t="s">
        <v>3</v>
      </c>
      <c r="AH9" s="79" t="s">
        <v>4</v>
      </c>
      <c r="AI9" s="79" t="s">
        <v>17</v>
      </c>
      <c r="AJ9" s="79" t="s">
        <v>6</v>
      </c>
      <c r="AK9" s="79" t="s">
        <v>7</v>
      </c>
      <c r="AM9" s="79" t="s">
        <v>19</v>
      </c>
      <c r="AN9" s="79" t="e">
        <f>((C13/C10)^(1/3)-1)*100</f>
        <v>#VALUE!</v>
      </c>
      <c r="AO9" s="79" t="e">
        <f>((#REF!/#REF!)^(1/3)-1)*100</f>
        <v>#REF!</v>
      </c>
      <c r="AP9" s="79" t="e">
        <f>((#REF!/#REF!)^(1/3)-1)*100</f>
        <v>#REF!</v>
      </c>
      <c r="AQ9" s="79" t="e">
        <f>((#REF!/#REF!)^(1/3)-1)*100</f>
        <v>#REF!</v>
      </c>
      <c r="AR9" s="79" t="e">
        <f>((#REF!/#REF!)^(1/3)-1)*100</f>
        <v>#REF!</v>
      </c>
      <c r="AS9" s="79" t="e">
        <f>((AA13/AA10)^(1/3)-1)*100</f>
        <v>#DIV/0!</v>
      </c>
      <c r="AT9" s="79" t="e">
        <f t="shared" ref="AT9" si="0">((AB13/AB10)^(1/3)-1)*100</f>
        <v>#DIV/0!</v>
      </c>
    </row>
    <row r="10" spans="1:46" s="79" customFormat="1">
      <c r="A10" s="118">
        <v>1997</v>
      </c>
      <c r="B10" s="123" t="s">
        <v>9</v>
      </c>
      <c r="C10" s="25">
        <v>1742</v>
      </c>
      <c r="D10" s="25" t="s">
        <v>9</v>
      </c>
      <c r="E10" s="25" t="s">
        <v>9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D10" s="79">
        <v>1998</v>
      </c>
      <c r="AE10" s="79">
        <f t="shared" ref="AE10:AE15" si="1">((C11/C10)-1)*100</f>
        <v>19.058553386911605</v>
      </c>
      <c r="AF10" s="79" t="e">
        <f>((#REF!/#REF!)-1)*100</f>
        <v>#REF!</v>
      </c>
      <c r="AG10" s="79" t="e">
        <f>((#REF!/#REF!)-1)*100</f>
        <v>#REF!</v>
      </c>
      <c r="AH10" s="79" t="e">
        <f>((#REF!/#REF!)-1)*100</f>
        <v>#REF!</v>
      </c>
      <c r="AI10" s="79" t="e">
        <f>((#REF!/#REF!)-1)*100</f>
        <v>#REF!</v>
      </c>
      <c r="AJ10" s="79" t="e">
        <f t="shared" ref="AJ10:AK22" si="2">((AA11/AA10)-1)*100</f>
        <v>#DIV/0!</v>
      </c>
      <c r="AK10" s="79" t="e">
        <f t="shared" si="2"/>
        <v>#DIV/0!</v>
      </c>
      <c r="AM10" s="79" t="s">
        <v>21</v>
      </c>
      <c r="AN10" s="79" t="e">
        <f>((#REF!/C13)^(1/8)-1)*100</f>
        <v>#REF!</v>
      </c>
      <c r="AO10" s="79" t="e">
        <f>((#REF!/#REF!)^(1/8)-1)*100</f>
        <v>#REF!</v>
      </c>
      <c r="AP10" s="79" t="e">
        <f>((#REF!/#REF!)^(1/8)-1)*100</f>
        <v>#REF!</v>
      </c>
      <c r="AQ10" s="79" t="e">
        <f>((#REF!/#REF!)^(1/8)-1)*100</f>
        <v>#REF!</v>
      </c>
      <c r="AR10" s="79" t="e">
        <f>((#REF!/#REF!)^(1/8)-1)*100</f>
        <v>#REF!</v>
      </c>
      <c r="AS10" s="79" t="e">
        <f>((AA21/AA13)^(1/8)-1)*100</f>
        <v>#DIV/0!</v>
      </c>
      <c r="AT10" s="79" t="e">
        <f t="shared" ref="AT10" si="3">((AB21/AB13)^(1/8)-1)*100</f>
        <v>#DIV/0!</v>
      </c>
    </row>
    <row r="11" spans="1:46" s="79" customFormat="1">
      <c r="A11" s="118">
        <v>1998</v>
      </c>
      <c r="B11" s="123">
        <f t="shared" ref="B11:B23" si="4">C11+D11+E11</f>
        <v>2994</v>
      </c>
      <c r="C11" s="25">
        <v>2074</v>
      </c>
      <c r="D11" s="25">
        <v>722</v>
      </c>
      <c r="E11" s="25">
        <v>198</v>
      </c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D11" s="79">
        <v>1999</v>
      </c>
      <c r="AE11" s="79">
        <f t="shared" si="1"/>
        <v>9.2092574734812018</v>
      </c>
      <c r="AF11" s="79" t="e">
        <f>((#REF!/#REF!)-1)*100</f>
        <v>#REF!</v>
      </c>
      <c r="AG11" s="79" t="e">
        <f>((#REF!/#REF!)-1)*100</f>
        <v>#REF!</v>
      </c>
      <c r="AH11" s="79" t="e">
        <f>((#REF!/#REF!)-1)*100</f>
        <v>#REF!</v>
      </c>
      <c r="AI11" s="79" t="e">
        <f>((#REF!/#REF!)-1)*100</f>
        <v>#REF!</v>
      </c>
      <c r="AJ11" s="79" t="e">
        <f t="shared" si="2"/>
        <v>#DIV/0!</v>
      </c>
      <c r="AK11" s="79" t="e">
        <f t="shared" si="2"/>
        <v>#DIV/0!</v>
      </c>
      <c r="AM11" s="79" t="s">
        <v>22</v>
      </c>
      <c r="AN11" s="79" t="e">
        <f>((#REF!/#REF!)^(1/5)-1)*100</f>
        <v>#REF!</v>
      </c>
      <c r="AO11" s="79" t="e">
        <f>((#REF!/#REF!)^(1/5)-1)*100</f>
        <v>#REF!</v>
      </c>
      <c r="AP11" s="79" t="e">
        <f>((#REF!/#REF!)^(1/5)-1)*100</f>
        <v>#REF!</v>
      </c>
      <c r="AQ11" s="79" t="e">
        <f>((#REF!/#REF!)^(1/5)-1)*100</f>
        <v>#REF!</v>
      </c>
      <c r="AR11" s="79" t="e">
        <f>((#REF!/#REF!)^(1/5)-1)*100</f>
        <v>#REF!</v>
      </c>
      <c r="AS11" s="79" t="e">
        <f>((#REF!/AA21)^(1/5)-1)*100</f>
        <v>#REF!</v>
      </c>
      <c r="AT11" s="79" t="e">
        <f>((#REF!/AB21)^(1/5)-1)*100</f>
        <v>#REF!</v>
      </c>
    </row>
    <row r="12" spans="1:46" s="79" customFormat="1">
      <c r="A12" s="118">
        <v>1999</v>
      </c>
      <c r="B12" s="123">
        <f t="shared" si="4"/>
        <v>3178</v>
      </c>
      <c r="C12" s="25">
        <v>2265</v>
      </c>
      <c r="D12" s="25">
        <v>702</v>
      </c>
      <c r="E12" s="25">
        <v>211</v>
      </c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D12" s="79">
        <v>2000</v>
      </c>
      <c r="AE12" s="79" t="e">
        <f t="shared" si="1"/>
        <v>#VALUE!</v>
      </c>
      <c r="AF12" s="79" t="e">
        <f>((#REF!/#REF!)-1)*100</f>
        <v>#REF!</v>
      </c>
      <c r="AG12" s="79" t="e">
        <f>((#REF!/#REF!)-1)*100</f>
        <v>#REF!</v>
      </c>
      <c r="AH12" s="79" t="e">
        <f>((#REF!/#REF!)-1)*100</f>
        <v>#REF!</v>
      </c>
      <c r="AI12" s="79" t="e">
        <f>((#REF!/#REF!)-1)*100</f>
        <v>#REF!</v>
      </c>
      <c r="AJ12" s="79" t="e">
        <f t="shared" si="2"/>
        <v>#DIV/0!</v>
      </c>
      <c r="AK12" s="79" t="e">
        <f t="shared" si="2"/>
        <v>#DIV/0!</v>
      </c>
      <c r="AM12" s="79" t="s">
        <v>18</v>
      </c>
      <c r="AN12" s="79" t="e">
        <f>((#REF!/C10)^(1/16)-1)*100</f>
        <v>#REF!</v>
      </c>
      <c r="AO12" s="79" t="e">
        <f>((#REF!/#REF!)^(1/16)-1)*100</f>
        <v>#REF!</v>
      </c>
      <c r="AP12" s="79" t="e">
        <f>((#REF!/#REF!)^(1/16)-1)*100</f>
        <v>#REF!</v>
      </c>
      <c r="AQ12" s="79" t="e">
        <f>((#REF!/#REF!)^(1/16)-1)*100</f>
        <v>#REF!</v>
      </c>
      <c r="AR12" s="79" t="e">
        <f>((#REF!/#REF!)^(1/16)-1)*100</f>
        <v>#REF!</v>
      </c>
      <c r="AS12" s="79" t="e">
        <f>((#REF!/AA10)^(1/16)-1)*100</f>
        <v>#REF!</v>
      </c>
      <c r="AT12" s="79" t="e">
        <f>((#REF!/AB10)^(1/16)-1)*100</f>
        <v>#REF!</v>
      </c>
    </row>
    <row r="13" spans="1:46" s="79" customFormat="1">
      <c r="A13" s="118">
        <v>2000</v>
      </c>
      <c r="B13" s="123" t="s">
        <v>9</v>
      </c>
      <c r="C13" s="25" t="s">
        <v>9</v>
      </c>
      <c r="D13" s="25">
        <v>1123</v>
      </c>
      <c r="E13" s="25">
        <v>260</v>
      </c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D13" s="79">
        <v>2001</v>
      </c>
      <c r="AE13" s="79" t="e">
        <f t="shared" si="1"/>
        <v>#VALUE!</v>
      </c>
      <c r="AF13" s="79" t="e">
        <f>((#REF!/#REF!)-1)*100</f>
        <v>#REF!</v>
      </c>
      <c r="AG13" s="79" t="e">
        <f>((#REF!/#REF!)-1)*100</f>
        <v>#REF!</v>
      </c>
      <c r="AH13" s="79" t="e">
        <f>((#REF!/#REF!)-1)*100</f>
        <v>#REF!</v>
      </c>
      <c r="AI13" s="79" t="e">
        <f>((#REF!/#REF!)-1)*100</f>
        <v>#REF!</v>
      </c>
      <c r="AJ13" s="79" t="e">
        <f t="shared" si="2"/>
        <v>#DIV/0!</v>
      </c>
      <c r="AK13" s="79" t="e">
        <f t="shared" si="2"/>
        <v>#DIV/0!</v>
      </c>
    </row>
    <row r="14" spans="1:46" s="79" customFormat="1">
      <c r="A14" s="118">
        <v>2001</v>
      </c>
      <c r="B14" s="123" t="s">
        <v>9</v>
      </c>
      <c r="C14" s="25" t="s">
        <v>9</v>
      </c>
      <c r="D14" s="25">
        <v>1129</v>
      </c>
      <c r="E14" s="25">
        <v>251</v>
      </c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D14" s="79">
        <v>2002</v>
      </c>
      <c r="AE14" s="79" t="e">
        <f t="shared" si="1"/>
        <v>#VALUE!</v>
      </c>
      <c r="AF14" s="79" t="e">
        <f>((#REF!/#REF!)-1)*100</f>
        <v>#REF!</v>
      </c>
      <c r="AG14" s="79" t="e">
        <f>((#REF!/#REF!)-1)*100</f>
        <v>#REF!</v>
      </c>
      <c r="AH14" s="79" t="e">
        <f>((#REF!/#REF!)-1)*100</f>
        <v>#REF!</v>
      </c>
      <c r="AI14" s="79" t="e">
        <f>((#REF!/#REF!)-1)*100</f>
        <v>#REF!</v>
      </c>
      <c r="AJ14" s="79" t="e">
        <f t="shared" si="2"/>
        <v>#DIV/0!</v>
      </c>
      <c r="AK14" s="79" t="e">
        <f t="shared" si="2"/>
        <v>#DIV/0!</v>
      </c>
    </row>
    <row r="15" spans="1:46" s="79" customFormat="1">
      <c r="A15" s="118">
        <v>2002</v>
      </c>
      <c r="B15" s="123" t="s">
        <v>9</v>
      </c>
      <c r="C15" s="25" t="s">
        <v>9</v>
      </c>
      <c r="D15" s="25">
        <v>1151</v>
      </c>
      <c r="E15" s="25">
        <v>249</v>
      </c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D15" s="79">
        <v>2003</v>
      </c>
      <c r="AE15" s="79" t="e">
        <f t="shared" si="1"/>
        <v>#VALUE!</v>
      </c>
      <c r="AF15" s="79" t="e">
        <f>((#REF!/#REF!)-1)*100</f>
        <v>#REF!</v>
      </c>
      <c r="AG15" s="79" t="e">
        <f>((#REF!/#REF!)-1)*100</f>
        <v>#REF!</v>
      </c>
      <c r="AH15" s="79" t="e">
        <f>((#REF!/#REF!)-1)*100</f>
        <v>#REF!</v>
      </c>
      <c r="AI15" s="79" t="e">
        <f>((#REF!/#REF!)-1)*100</f>
        <v>#REF!</v>
      </c>
      <c r="AJ15" s="79" t="e">
        <f t="shared" si="2"/>
        <v>#DIV/0!</v>
      </c>
      <c r="AK15" s="79" t="e">
        <f t="shared" si="2"/>
        <v>#DIV/0!</v>
      </c>
    </row>
    <row r="16" spans="1:46" s="95" customFormat="1" ht="15.75" thickBot="1">
      <c r="A16" s="120">
        <v>2003</v>
      </c>
      <c r="B16" s="124" t="s">
        <v>9</v>
      </c>
      <c r="C16" s="82" t="s">
        <v>9</v>
      </c>
      <c r="D16" s="82">
        <v>1131</v>
      </c>
      <c r="E16" s="98">
        <v>252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D16" s="95">
        <v>2004</v>
      </c>
      <c r="AE16" s="95" t="e">
        <f>((#REF!/C16)-1)*100</f>
        <v>#REF!</v>
      </c>
      <c r="AF16" s="95" t="e">
        <f>((#REF!/#REF!)-1)*100</f>
        <v>#REF!</v>
      </c>
      <c r="AG16" s="95" t="e">
        <f>((#REF!/#REF!)-1)*100</f>
        <v>#REF!</v>
      </c>
      <c r="AH16" s="95" t="e">
        <f>((#REF!/#REF!)-1)*100</f>
        <v>#REF!</v>
      </c>
      <c r="AI16" s="95" t="e">
        <f>((#REF!/#REF!)-1)*100</f>
        <v>#REF!</v>
      </c>
      <c r="AJ16" s="95" t="e">
        <f t="shared" si="2"/>
        <v>#DIV/0!</v>
      </c>
      <c r="AK16" s="95" t="e">
        <f t="shared" si="2"/>
        <v>#DIV/0!</v>
      </c>
    </row>
    <row r="17" spans="1:37" s="79" customFormat="1">
      <c r="A17" s="118">
        <v>2004</v>
      </c>
      <c r="B17" s="123">
        <f t="shared" si="4"/>
        <v>4872</v>
      </c>
      <c r="C17" s="25">
        <v>2762</v>
      </c>
      <c r="D17" s="25">
        <v>1770</v>
      </c>
      <c r="E17" s="83">
        <v>340</v>
      </c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D17" s="79">
        <v>2005</v>
      </c>
      <c r="AE17" s="79" t="e">
        <f>((#REF!/#REF!)-1)*100</f>
        <v>#REF!</v>
      </c>
      <c r="AF17" s="79" t="e">
        <f>((#REF!/#REF!)-1)*100</f>
        <v>#REF!</v>
      </c>
      <c r="AG17" s="79" t="e">
        <f>((#REF!/#REF!)-1)*100</f>
        <v>#REF!</v>
      </c>
      <c r="AH17" s="79" t="e">
        <f>((#REF!/#REF!)-1)*100</f>
        <v>#REF!</v>
      </c>
      <c r="AI17" s="79" t="e">
        <f>((#REF!/#REF!)-1)*100</f>
        <v>#REF!</v>
      </c>
      <c r="AJ17" s="79" t="e">
        <f t="shared" si="2"/>
        <v>#DIV/0!</v>
      </c>
      <c r="AK17" s="79" t="e">
        <f t="shared" si="2"/>
        <v>#DIV/0!</v>
      </c>
    </row>
    <row r="18" spans="1:37" s="79" customFormat="1">
      <c r="A18" s="118">
        <v>2005</v>
      </c>
      <c r="B18" s="123">
        <f t="shared" si="4"/>
        <v>5977</v>
      </c>
      <c r="C18" s="25">
        <v>4128</v>
      </c>
      <c r="D18" s="25">
        <v>1522</v>
      </c>
      <c r="E18" s="83">
        <v>327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D18" s="79">
        <v>2006</v>
      </c>
      <c r="AE18" s="79" t="e">
        <f>((#REF!/#REF!)-1)*100</f>
        <v>#REF!</v>
      </c>
      <c r="AF18" s="79" t="e">
        <f>((#REF!/#REF!)-1)*100</f>
        <v>#REF!</v>
      </c>
      <c r="AG18" s="79" t="e">
        <f>((#REF!/#REF!)-1)*100</f>
        <v>#REF!</v>
      </c>
      <c r="AH18" s="79" t="e">
        <f>((#REF!/#REF!)-1)*100</f>
        <v>#REF!</v>
      </c>
      <c r="AI18" s="79" t="e">
        <f>((#REF!/#REF!)-1)*100</f>
        <v>#REF!</v>
      </c>
      <c r="AJ18" s="79" t="e">
        <f t="shared" si="2"/>
        <v>#DIV/0!</v>
      </c>
      <c r="AK18" s="79" t="e">
        <f t="shared" si="2"/>
        <v>#DIV/0!</v>
      </c>
    </row>
    <row r="19" spans="1:37" s="79" customFormat="1">
      <c r="A19" s="118">
        <v>2006</v>
      </c>
      <c r="B19" s="123">
        <f t="shared" si="4"/>
        <v>6044</v>
      </c>
      <c r="C19" s="25">
        <v>4140</v>
      </c>
      <c r="D19" s="25">
        <v>1590</v>
      </c>
      <c r="E19" s="83">
        <v>314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D19" s="79">
        <v>2007</v>
      </c>
      <c r="AE19" s="79" t="e">
        <f>((#REF!/#REF!)-1)*100</f>
        <v>#REF!</v>
      </c>
      <c r="AF19" s="79" t="e">
        <f>((#REF!/#REF!)-1)*100</f>
        <v>#REF!</v>
      </c>
      <c r="AG19" s="79" t="e">
        <f>((#REF!/#REF!)-1)*100</f>
        <v>#REF!</v>
      </c>
      <c r="AH19" s="79" t="e">
        <f>((#REF!/#REF!)-1)*100</f>
        <v>#REF!</v>
      </c>
      <c r="AI19" s="79" t="e">
        <f>((#REF!/#REF!)-1)*100</f>
        <v>#REF!</v>
      </c>
      <c r="AJ19" s="79" t="e">
        <f t="shared" si="2"/>
        <v>#DIV/0!</v>
      </c>
      <c r="AK19" s="79" t="e">
        <f t="shared" si="2"/>
        <v>#DIV/0!</v>
      </c>
    </row>
    <row r="20" spans="1:37" s="79" customFormat="1">
      <c r="A20" s="118">
        <v>2007</v>
      </c>
      <c r="B20" s="123">
        <f t="shared" si="4"/>
        <v>6007</v>
      </c>
      <c r="C20" s="25">
        <v>4123</v>
      </c>
      <c r="D20" s="25">
        <v>1575</v>
      </c>
      <c r="E20" s="83">
        <v>309</v>
      </c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D20" s="79">
        <v>2008</v>
      </c>
      <c r="AE20" s="79" t="e">
        <f>((#REF!/#REF!)-1)*100</f>
        <v>#REF!</v>
      </c>
      <c r="AF20" s="79" t="e">
        <f>((#REF!/#REF!)-1)*100</f>
        <v>#REF!</v>
      </c>
      <c r="AG20" s="79" t="e">
        <f>((#REF!/#REF!)-1)*100</f>
        <v>#REF!</v>
      </c>
      <c r="AH20" s="79" t="e">
        <f>((#REF!/#REF!)-1)*100</f>
        <v>#REF!</v>
      </c>
      <c r="AI20" s="79" t="e">
        <f>((#REF!/#REF!)-1)*100</f>
        <v>#REF!</v>
      </c>
      <c r="AJ20" s="79" t="e">
        <f t="shared" si="2"/>
        <v>#DIV/0!</v>
      </c>
      <c r="AK20" s="79" t="e">
        <f t="shared" si="2"/>
        <v>#DIV/0!</v>
      </c>
    </row>
    <row r="21" spans="1:37" s="79" customFormat="1">
      <c r="A21" s="118">
        <v>2008</v>
      </c>
      <c r="B21" s="123">
        <f t="shared" si="4"/>
        <v>5882</v>
      </c>
      <c r="C21" s="25">
        <v>4066</v>
      </c>
      <c r="D21" s="25">
        <v>1519</v>
      </c>
      <c r="E21" s="83">
        <v>297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D21" s="79">
        <v>2009</v>
      </c>
      <c r="AE21" s="79" t="e">
        <f>((#REF!/#REF!)-1)*100</f>
        <v>#REF!</v>
      </c>
      <c r="AF21" s="79" t="e">
        <f>((#REF!/#REF!)-1)*100</f>
        <v>#REF!</v>
      </c>
      <c r="AG21" s="79" t="e">
        <f>((#REF!/#REF!)-1)*100</f>
        <v>#REF!</v>
      </c>
      <c r="AH21" s="79" t="e">
        <f>((#REF!/#REF!)-1)*100</f>
        <v>#REF!</v>
      </c>
      <c r="AI21" s="79" t="e">
        <f>((#REF!/#REF!)-1)*100</f>
        <v>#REF!</v>
      </c>
      <c r="AJ21" s="79" t="e">
        <f t="shared" si="2"/>
        <v>#DIV/0!</v>
      </c>
      <c r="AK21" s="79" t="e">
        <f t="shared" si="2"/>
        <v>#DIV/0!</v>
      </c>
    </row>
    <row r="22" spans="1:37" s="79" customFormat="1">
      <c r="A22" s="118">
        <v>2009</v>
      </c>
      <c r="B22" s="123">
        <f t="shared" si="4"/>
        <v>5640</v>
      </c>
      <c r="C22" s="25">
        <v>3857</v>
      </c>
      <c r="D22" s="25">
        <v>1492</v>
      </c>
      <c r="E22" s="83">
        <v>291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D22" s="79">
        <v>2010</v>
      </c>
      <c r="AE22" s="79" t="e">
        <f>((#REF!/#REF!)-1)*100</f>
        <v>#REF!</v>
      </c>
      <c r="AF22" s="79" t="e">
        <f>((#REF!/#REF!)-1)*100</f>
        <v>#REF!</v>
      </c>
      <c r="AG22" s="79" t="e">
        <f>((#REF!/#REF!)-1)*100</f>
        <v>#REF!</v>
      </c>
      <c r="AH22" s="79" t="e">
        <f>((#REF!/#REF!)-1)*100</f>
        <v>#REF!</v>
      </c>
      <c r="AI22" s="79" t="e">
        <f>((#REF!/#REF!)-1)*100</f>
        <v>#REF!</v>
      </c>
      <c r="AJ22" s="79" t="e">
        <f t="shared" si="2"/>
        <v>#DIV/0!</v>
      </c>
      <c r="AK22" s="79" t="e">
        <f t="shared" si="2"/>
        <v>#DIV/0!</v>
      </c>
    </row>
    <row r="23" spans="1:37" s="79" customFormat="1">
      <c r="A23" s="118">
        <v>2010</v>
      </c>
      <c r="B23" s="123">
        <f t="shared" si="4"/>
        <v>5637</v>
      </c>
      <c r="C23" s="81">
        <v>3873</v>
      </c>
      <c r="D23" s="25">
        <v>1490</v>
      </c>
      <c r="E23" s="83">
        <v>274</v>
      </c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D23" s="79">
        <v>2011</v>
      </c>
      <c r="AE23" s="79" t="e">
        <f>((#REF!/#REF!)-1)*100</f>
        <v>#REF!</v>
      </c>
      <c r="AF23" s="79" t="e">
        <f>((#REF!/#REF!)-1)*100</f>
        <v>#REF!</v>
      </c>
      <c r="AG23" s="79" t="e">
        <f>((#REF!/#REF!)-1)*100</f>
        <v>#REF!</v>
      </c>
      <c r="AH23" s="79" t="e">
        <f>((#REF!/#REF!)-1)*100</f>
        <v>#REF!</v>
      </c>
      <c r="AI23" s="79" t="e">
        <f>((#REF!/#REF!)-1)*100</f>
        <v>#REF!</v>
      </c>
      <c r="AJ23" s="79" t="e">
        <f>((#REF!/AA23)-1)*100</f>
        <v>#REF!</v>
      </c>
      <c r="AK23" s="79" t="e">
        <f>((#REF!/AB23)-1)*100</f>
        <v>#REF!</v>
      </c>
    </row>
    <row r="24" spans="1:37">
      <c r="A24" s="29"/>
      <c r="B24" s="29"/>
      <c r="C24" s="119"/>
      <c r="D24" s="119"/>
      <c r="E24" s="121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E24" s="114" t="s">
        <v>27</v>
      </c>
    </row>
    <row r="25" spans="1:37" ht="15" customHeight="1">
      <c r="A25" s="465" t="s">
        <v>32</v>
      </c>
      <c r="B25" s="465"/>
      <c r="C25" s="465"/>
      <c r="D25" s="465"/>
      <c r="E25" s="465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E25" s="114" t="s">
        <v>16</v>
      </c>
      <c r="AF25" s="114" t="s">
        <v>8</v>
      </c>
      <c r="AG25" s="114" t="s">
        <v>3</v>
      </c>
      <c r="AH25" s="114" t="s">
        <v>4</v>
      </c>
      <c r="AI25" s="114" t="s">
        <v>17</v>
      </c>
      <c r="AJ25" s="114" t="s">
        <v>6</v>
      </c>
      <c r="AK25" s="114" t="s">
        <v>7</v>
      </c>
    </row>
    <row r="26" spans="1:37">
      <c r="A26" s="118" t="s">
        <v>85</v>
      </c>
      <c r="B26" s="122" t="s">
        <v>10</v>
      </c>
      <c r="C26" s="122">
        <f>((C3/C12)^(1/9)-1)*100</f>
        <v>-0.95816026621591277</v>
      </c>
      <c r="D26" s="122" t="s">
        <v>10</v>
      </c>
      <c r="E26" s="122" t="s">
        <v>10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D26" s="114">
        <v>1999</v>
      </c>
      <c r="AE26" s="114" t="e">
        <f>C12/$C$13</f>
        <v>#VALUE!</v>
      </c>
      <c r="AF26" s="114" t="e">
        <f>#REF!/#REF!</f>
        <v>#REF!</v>
      </c>
      <c r="AG26" s="114" t="e">
        <f>#REF!/#REF!</f>
        <v>#REF!</v>
      </c>
      <c r="AH26" s="114" t="e">
        <f>#REF!/#REF!</f>
        <v>#REF!</v>
      </c>
      <c r="AI26" s="114" t="e">
        <f>#REF!/#REF!</f>
        <v>#REF!</v>
      </c>
      <c r="AJ26" s="114" t="e">
        <f t="shared" ref="AJ26:AJ27" si="5">AA12/$AA$13</f>
        <v>#DIV/0!</v>
      </c>
      <c r="AK26" s="114" t="e">
        <f t="shared" ref="AK26:AK27" si="6">AB12/$AB$13</f>
        <v>#DIV/0!</v>
      </c>
    </row>
    <row r="27" spans="1:37">
      <c r="A27" s="133" t="s">
        <v>323</v>
      </c>
      <c r="B27" s="226" t="s">
        <v>10</v>
      </c>
      <c r="C27" s="226" t="s">
        <v>10</v>
      </c>
      <c r="D27" s="226">
        <f t="shared" ref="D27:E27" si="7">((D12/D16)^(1/4)-1)*100</f>
        <v>-11.239727515158259</v>
      </c>
      <c r="E27" s="226">
        <f t="shared" si="7"/>
        <v>-4.3421801404918465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D27" s="114">
        <v>2000</v>
      </c>
      <c r="AE27" s="114" t="e">
        <f>C13/$C$13</f>
        <v>#VALUE!</v>
      </c>
      <c r="AF27" s="114" t="e">
        <f>#REF!/#REF!</f>
        <v>#REF!</v>
      </c>
      <c r="AG27" s="114" t="e">
        <f>#REF!/#REF!</f>
        <v>#REF!</v>
      </c>
      <c r="AH27" s="114" t="e">
        <f>#REF!/#REF!</f>
        <v>#REF!</v>
      </c>
      <c r="AI27" s="114" t="e">
        <f>#REF!/#REF!</f>
        <v>#REF!</v>
      </c>
      <c r="AJ27" s="114" t="e">
        <f t="shared" si="5"/>
        <v>#DIV/0!</v>
      </c>
      <c r="AK27" s="114" t="e">
        <f t="shared" si="6"/>
        <v>#DIV/0!</v>
      </c>
    </row>
    <row r="28" spans="1:37">
      <c r="A28" s="268" t="s">
        <v>524</v>
      </c>
      <c r="B28" s="226" t="s">
        <v>10</v>
      </c>
      <c r="C28" s="226" t="s">
        <v>10</v>
      </c>
      <c r="D28" s="214">
        <f t="shared" ref="D28:E28" si="8">((D20/D16)^(1/4)-1)*100</f>
        <v>8.631177808512124</v>
      </c>
      <c r="E28" s="214">
        <f t="shared" si="8"/>
        <v>5.2299792257007649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D28" s="114">
        <v>2001</v>
      </c>
      <c r="AE28" s="114" t="e">
        <f>C14/$C$13</f>
        <v>#VALUE!</v>
      </c>
      <c r="AF28" s="114" t="e">
        <f>#REF!/#REF!</f>
        <v>#REF!</v>
      </c>
      <c r="AG28" s="114" t="e">
        <f>#REF!/#REF!</f>
        <v>#REF!</v>
      </c>
      <c r="AH28" s="114" t="e">
        <f>#REF!/#REF!</f>
        <v>#REF!</v>
      </c>
      <c r="AI28" s="114" t="e">
        <f>#REF!/#REF!</f>
        <v>#REF!</v>
      </c>
      <c r="AJ28" s="114" t="e">
        <f>AA14/$AA$13</f>
        <v>#DIV/0!</v>
      </c>
      <c r="AK28" s="114" t="e">
        <f>AB14/$AB$13</f>
        <v>#DIV/0!</v>
      </c>
    </row>
    <row r="29" spans="1:37" s="259" customFormat="1">
      <c r="A29" s="250" t="s">
        <v>368</v>
      </c>
      <c r="B29" s="226">
        <f>((B23/B20)^(1/3)-1)*100</f>
        <v>-2.0968194192696243</v>
      </c>
      <c r="C29" s="226">
        <f t="shared" ref="C29:E29" si="9">((C23/C20)^(1/3)-1)*100</f>
        <v>-2.0634681262257759</v>
      </c>
      <c r="D29" s="226">
        <f t="shared" si="9"/>
        <v>-1.8323103536719731</v>
      </c>
      <c r="E29" s="226">
        <f t="shared" si="9"/>
        <v>-3.9278829080330646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37" s="259" customFormat="1">
      <c r="A30" s="330" t="s">
        <v>525</v>
      </c>
      <c r="B30" s="226" t="s">
        <v>10</v>
      </c>
      <c r="C30" s="226" t="s">
        <v>10</v>
      </c>
      <c r="D30" s="226">
        <f t="shared" ref="D30:E30" si="10">((D23/D13)^(1/10)-1)*100</f>
        <v>2.8680840913788863</v>
      </c>
      <c r="E30" s="226">
        <f t="shared" si="10"/>
        <v>0.52584247762064162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37">
      <c r="A31" s="118"/>
      <c r="B31" s="118"/>
      <c r="C31" s="122"/>
      <c r="D31" s="122"/>
      <c r="E31" s="122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37" s="237" customFormat="1">
      <c r="A32" s="231" t="s">
        <v>144</v>
      </c>
      <c r="B32" s="133"/>
      <c r="C32" s="226"/>
      <c r="D32" s="226"/>
      <c r="E32" s="226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37">
      <c r="A33" s="60" t="s">
        <v>131</v>
      </c>
      <c r="B33" s="118"/>
      <c r="C33" s="122"/>
      <c r="D33" s="122"/>
      <c r="E33" s="122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37">
      <c r="A34" s="28" t="s">
        <v>324</v>
      </c>
      <c r="B34" s="28"/>
      <c r="C34" s="28"/>
      <c r="D34" s="28"/>
      <c r="E34" s="28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D34" s="114">
        <v>2008</v>
      </c>
      <c r="AE34" s="114" t="e">
        <f>#REF!/$C$13</f>
        <v>#REF!</v>
      </c>
      <c r="AF34" s="114" t="e">
        <f>#REF!/#REF!</f>
        <v>#REF!</v>
      </c>
      <c r="AG34" s="114" t="e">
        <f>#REF!/#REF!</f>
        <v>#REF!</v>
      </c>
      <c r="AH34" s="114" t="e">
        <f>#REF!/#REF!</f>
        <v>#REF!</v>
      </c>
      <c r="AI34" s="114" t="e">
        <f>#REF!/#REF!</f>
        <v>#REF!</v>
      </c>
      <c r="AJ34" s="114" t="e">
        <f t="shared" ref="AJ34" si="11">AA21/$AA$13</f>
        <v>#DIV/0!</v>
      </c>
      <c r="AK34" s="114" t="e">
        <f t="shared" ref="AK34" si="12">AB21/$AB$13</f>
        <v>#DIV/0!</v>
      </c>
    </row>
    <row r="35" spans="1:37">
      <c r="AD35" s="114">
        <v>2011</v>
      </c>
      <c r="AE35" s="114" t="e">
        <f>#REF!/$C$13</f>
        <v>#REF!</v>
      </c>
      <c r="AF35" s="114" t="e">
        <f>#REF!/#REF!</f>
        <v>#REF!</v>
      </c>
      <c r="AG35" s="114" t="e">
        <f>#REF!/#REF!</f>
        <v>#REF!</v>
      </c>
      <c r="AH35" s="114" t="e">
        <f>#REF!/#REF!</f>
        <v>#REF!</v>
      </c>
      <c r="AI35" s="114" t="e">
        <f>#REF!/#REF!</f>
        <v>#REF!</v>
      </c>
      <c r="AJ35" s="114" t="e">
        <f>#REF!/$AA$13</f>
        <v>#REF!</v>
      </c>
      <c r="AK35" s="114" t="e">
        <f>#REF!/$AB$13</f>
        <v>#REF!</v>
      </c>
    </row>
    <row r="36" spans="1:37">
      <c r="AD36" s="114">
        <v>2012</v>
      </c>
      <c r="AE36" s="114" t="e">
        <f>#REF!/$C$13</f>
        <v>#REF!</v>
      </c>
      <c r="AF36" s="114" t="e">
        <f>#REF!/#REF!</f>
        <v>#REF!</v>
      </c>
      <c r="AG36" s="114" t="e">
        <f>#REF!/#REF!</f>
        <v>#REF!</v>
      </c>
      <c r="AH36" s="114" t="e">
        <f>#REF!/#REF!</f>
        <v>#REF!</v>
      </c>
      <c r="AI36" s="114" t="e">
        <f>#REF!/#REF!</f>
        <v>#REF!</v>
      </c>
      <c r="AJ36" s="114" t="e">
        <f>#REF!/$AA$13</f>
        <v>#REF!</v>
      </c>
      <c r="AK36" s="114" t="e">
        <f>#REF!/$AB$13</f>
        <v>#REF!</v>
      </c>
    </row>
    <row r="37" spans="1:37">
      <c r="AD37" s="114">
        <v>2013</v>
      </c>
      <c r="AE37" s="114" t="e">
        <f>#REF!/$C$13</f>
        <v>#REF!</v>
      </c>
      <c r="AF37" s="114" t="e">
        <f>#REF!/#REF!</f>
        <v>#REF!</v>
      </c>
      <c r="AG37" s="114" t="e">
        <f>#REF!/#REF!</f>
        <v>#REF!</v>
      </c>
      <c r="AH37" s="114" t="e">
        <f>#REF!/#REF!</f>
        <v>#REF!</v>
      </c>
      <c r="AI37" s="114" t="e">
        <f>#REF!/#REF!</f>
        <v>#REF!</v>
      </c>
      <c r="AJ37" s="114" t="e">
        <f>#REF!/$AA$13</f>
        <v>#REF!</v>
      </c>
      <c r="AK37" s="114" t="e">
        <f>#REF!/$AB$13</f>
        <v>#REF!</v>
      </c>
    </row>
  </sheetData>
  <mergeCells count="2">
    <mergeCell ref="A25:E25"/>
    <mergeCell ref="A1:E1"/>
  </mergeCells>
  <printOptions gridLines="1"/>
  <pageMargins left="0.70866141732283472" right="0.70866141732283472" top="0.74803149606299213" bottom="0.74803149606299213" header="0.31496062992125984" footer="0.31496062992125984"/>
  <pageSetup scale="83" orientation="portrait" horizontalDpi="0" verticalDpi="0" r:id="rId1"/>
  <colBreaks count="2" manualBreakCount="2">
    <brk id="3" max="84" man="1"/>
    <brk id="4" max="84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37"/>
  <sheetViews>
    <sheetView view="pageBreakPreview" zoomScaleNormal="100" zoomScaleSheetLayoutView="100" workbookViewId="0">
      <selection activeCell="D15" sqref="D15"/>
    </sheetView>
  </sheetViews>
  <sheetFormatPr defaultRowHeight="15"/>
  <cols>
    <col min="1" max="1" width="13.140625" style="114" customWidth="1"/>
    <col min="2" max="2" width="20.7109375" style="114" customWidth="1"/>
    <col min="3" max="3" width="19.5703125" style="114" customWidth="1"/>
    <col min="4" max="4" width="32.42578125" style="114" bestFit="1" customWidth="1"/>
    <col min="5" max="5" width="24.7109375" style="114" bestFit="1" customWidth="1"/>
    <col min="6" max="26" width="10.140625" style="114" customWidth="1"/>
    <col min="27" max="28" width="10.140625" style="114" bestFit="1" customWidth="1"/>
    <col min="29" max="29" width="9.140625" style="114"/>
    <col min="30" max="46" width="0" style="114" hidden="1" customWidth="1"/>
    <col min="47" max="16384" width="9.140625" style="114"/>
  </cols>
  <sheetData>
    <row r="1" spans="1:46" ht="15" customHeight="1">
      <c r="A1" s="454" t="s">
        <v>185</v>
      </c>
      <c r="B1" s="454"/>
      <c r="C1" s="454"/>
      <c r="D1" s="454"/>
      <c r="E1" s="454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</row>
    <row r="2" spans="1:46" ht="34.5" customHeight="1">
      <c r="A2" s="70"/>
      <c r="B2" s="146" t="s">
        <v>130</v>
      </c>
      <c r="C2" s="29" t="s">
        <v>86</v>
      </c>
      <c r="D2" s="381" t="s">
        <v>4</v>
      </c>
      <c r="E2" s="29" t="s">
        <v>5</v>
      </c>
    </row>
    <row r="3" spans="1:46" s="79" customFormat="1">
      <c r="A3" s="70">
        <v>1990</v>
      </c>
      <c r="B3" s="8" t="s">
        <v>9</v>
      </c>
      <c r="C3" s="25">
        <v>1371</v>
      </c>
      <c r="D3" s="25" t="s">
        <v>9</v>
      </c>
      <c r="E3" s="25" t="s">
        <v>9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</row>
    <row r="4" spans="1:46" s="79" customFormat="1">
      <c r="A4" s="70">
        <v>1991</v>
      </c>
      <c r="B4" s="8" t="s">
        <v>9</v>
      </c>
      <c r="C4" s="25">
        <v>1219</v>
      </c>
      <c r="D4" s="25" t="s">
        <v>9</v>
      </c>
      <c r="E4" s="25" t="s">
        <v>9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46" s="79" customFormat="1">
      <c r="A5" s="70">
        <v>1992</v>
      </c>
      <c r="B5" s="8" t="s">
        <v>9</v>
      </c>
      <c r="C5" s="25">
        <v>1563</v>
      </c>
      <c r="D5" s="25" t="s">
        <v>9</v>
      </c>
      <c r="E5" s="25" t="s">
        <v>9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</row>
    <row r="6" spans="1:46" s="79" customFormat="1">
      <c r="A6" s="70">
        <v>1993</v>
      </c>
      <c r="B6" s="8" t="s">
        <v>9</v>
      </c>
      <c r="C6" s="25">
        <v>1485</v>
      </c>
      <c r="D6" s="25" t="s">
        <v>9</v>
      </c>
      <c r="E6" s="25" t="s">
        <v>9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1:46" s="79" customFormat="1">
      <c r="A7" s="70">
        <v>1994</v>
      </c>
      <c r="B7" s="8" t="s">
        <v>9</v>
      </c>
      <c r="C7" s="25">
        <v>1213</v>
      </c>
      <c r="D7" s="25" t="s">
        <v>9</v>
      </c>
      <c r="E7" s="25" t="s">
        <v>9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N7" s="79" t="s">
        <v>32</v>
      </c>
    </row>
    <row r="8" spans="1:46" s="79" customFormat="1">
      <c r="A8" s="70">
        <v>1995</v>
      </c>
      <c r="B8" s="8" t="s">
        <v>9</v>
      </c>
      <c r="C8" s="25">
        <v>1492</v>
      </c>
      <c r="D8" s="25" t="s">
        <v>9</v>
      </c>
      <c r="E8" s="25" t="s">
        <v>9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E8" s="79" t="s">
        <v>24</v>
      </c>
      <c r="AN8" s="79" t="s">
        <v>16</v>
      </c>
      <c r="AO8" s="79" t="s">
        <v>8</v>
      </c>
      <c r="AP8" s="79" t="s">
        <v>3</v>
      </c>
      <c r="AQ8" s="79" t="s">
        <v>4</v>
      </c>
      <c r="AR8" s="79" t="s">
        <v>17</v>
      </c>
      <c r="AS8" s="79" t="s">
        <v>6</v>
      </c>
      <c r="AT8" s="79" t="s">
        <v>7</v>
      </c>
    </row>
    <row r="9" spans="1:46" s="79" customFormat="1">
      <c r="A9" s="70">
        <v>1996</v>
      </c>
      <c r="B9" s="8" t="s">
        <v>9</v>
      </c>
      <c r="C9" s="25">
        <v>1359</v>
      </c>
      <c r="D9" s="25" t="s">
        <v>9</v>
      </c>
      <c r="E9" s="25" t="s">
        <v>9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E9" s="79" t="s">
        <v>16</v>
      </c>
      <c r="AF9" s="79" t="s">
        <v>8</v>
      </c>
      <c r="AG9" s="79" t="s">
        <v>3</v>
      </c>
      <c r="AH9" s="79" t="s">
        <v>4</v>
      </c>
      <c r="AI9" s="79" t="s">
        <v>17</v>
      </c>
      <c r="AJ9" s="79" t="s">
        <v>6</v>
      </c>
      <c r="AK9" s="79" t="s">
        <v>7</v>
      </c>
      <c r="AM9" s="79" t="s">
        <v>19</v>
      </c>
      <c r="AN9" s="79" t="e">
        <f>((C13/C10)^(1/3)-1)*100</f>
        <v>#VALUE!</v>
      </c>
      <c r="AO9" s="79" t="e">
        <f>((#REF!/#REF!)^(1/3)-1)*100</f>
        <v>#REF!</v>
      </c>
      <c r="AP9" s="79" t="e">
        <f>((#REF!/#REF!)^(1/3)-1)*100</f>
        <v>#REF!</v>
      </c>
      <c r="AQ9" s="79" t="e">
        <f>((#REF!/#REF!)^(1/3)-1)*100</f>
        <v>#REF!</v>
      </c>
      <c r="AR9" s="79" t="e">
        <f>((#REF!/#REF!)^(1/3)-1)*100</f>
        <v>#REF!</v>
      </c>
      <c r="AS9" s="79" t="e">
        <f>((AA13/AA10)^(1/3)-1)*100</f>
        <v>#DIV/0!</v>
      </c>
      <c r="AT9" s="79" t="e">
        <f t="shared" ref="AT9" si="0">((AB13/AB10)^(1/3)-1)*100</f>
        <v>#DIV/0!</v>
      </c>
    </row>
    <row r="10" spans="1:46" s="79" customFormat="1">
      <c r="A10" s="70">
        <v>1997</v>
      </c>
      <c r="B10" s="8" t="s">
        <v>9</v>
      </c>
      <c r="C10" s="25">
        <v>1757</v>
      </c>
      <c r="D10" s="25" t="s">
        <v>9</v>
      </c>
      <c r="E10" s="25" t="s">
        <v>9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D10" s="79">
        <v>1998</v>
      </c>
      <c r="AE10" s="79">
        <f t="shared" ref="AE10:AE15" si="1">((C11/C10)-1)*100</f>
        <v>-27.717700626067167</v>
      </c>
      <c r="AF10" s="79" t="e">
        <f>((#REF!/#REF!)-1)*100</f>
        <v>#REF!</v>
      </c>
      <c r="AG10" s="79" t="e">
        <f>((#REF!/#REF!)-1)*100</f>
        <v>#REF!</v>
      </c>
      <c r="AH10" s="79" t="e">
        <f>((#REF!/#REF!)-1)*100</f>
        <v>#REF!</v>
      </c>
      <c r="AI10" s="79" t="e">
        <f>((#REF!/#REF!)-1)*100</f>
        <v>#REF!</v>
      </c>
      <c r="AJ10" s="79" t="e">
        <f t="shared" ref="AJ10:AK22" si="2">((AA11/AA10)-1)*100</f>
        <v>#DIV/0!</v>
      </c>
      <c r="AK10" s="79" t="e">
        <f t="shared" si="2"/>
        <v>#DIV/0!</v>
      </c>
      <c r="AM10" s="79" t="s">
        <v>21</v>
      </c>
      <c r="AN10" s="79" t="e">
        <f>((#REF!/C13)^(1/8)-1)*100</f>
        <v>#REF!</v>
      </c>
      <c r="AO10" s="79" t="e">
        <f>((#REF!/#REF!)^(1/8)-1)*100</f>
        <v>#REF!</v>
      </c>
      <c r="AP10" s="79" t="e">
        <f>((#REF!/#REF!)^(1/8)-1)*100</f>
        <v>#REF!</v>
      </c>
      <c r="AQ10" s="79" t="e">
        <f>((#REF!/#REF!)^(1/8)-1)*100</f>
        <v>#REF!</v>
      </c>
      <c r="AR10" s="79" t="e">
        <f>((#REF!/#REF!)^(1/8)-1)*100</f>
        <v>#REF!</v>
      </c>
      <c r="AS10" s="79" t="e">
        <f>((AA21/AA13)^(1/8)-1)*100</f>
        <v>#DIV/0!</v>
      </c>
      <c r="AT10" s="79" t="e">
        <f t="shared" ref="AT10" si="3">((AB21/AB13)^(1/8)-1)*100</f>
        <v>#DIV/0!</v>
      </c>
    </row>
    <row r="11" spans="1:46" s="79" customFormat="1">
      <c r="A11" s="70">
        <v>1998</v>
      </c>
      <c r="B11" s="8">
        <f t="shared" ref="B11:B23" si="4">C11+D11+E11</f>
        <v>2103</v>
      </c>
      <c r="C11" s="25">
        <v>1270</v>
      </c>
      <c r="D11" s="25">
        <v>525</v>
      </c>
      <c r="E11" s="25">
        <v>308</v>
      </c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D11" s="79">
        <v>1999</v>
      </c>
      <c r="AE11" s="79">
        <f t="shared" si="1"/>
        <v>30.472440944881885</v>
      </c>
      <c r="AF11" s="79" t="e">
        <f>((#REF!/#REF!)-1)*100</f>
        <v>#REF!</v>
      </c>
      <c r="AG11" s="79" t="e">
        <f>((#REF!/#REF!)-1)*100</f>
        <v>#REF!</v>
      </c>
      <c r="AH11" s="79" t="e">
        <f>((#REF!/#REF!)-1)*100</f>
        <v>#REF!</v>
      </c>
      <c r="AI11" s="79" t="e">
        <f>((#REF!/#REF!)-1)*100</f>
        <v>#REF!</v>
      </c>
      <c r="AJ11" s="79" t="e">
        <f t="shared" si="2"/>
        <v>#DIV/0!</v>
      </c>
      <c r="AK11" s="79" t="e">
        <f t="shared" si="2"/>
        <v>#DIV/0!</v>
      </c>
      <c r="AM11" s="79" t="s">
        <v>22</v>
      </c>
      <c r="AN11" s="79" t="e">
        <f>((#REF!/#REF!)^(1/5)-1)*100</f>
        <v>#REF!</v>
      </c>
      <c r="AO11" s="79" t="e">
        <f>((#REF!/#REF!)^(1/5)-1)*100</f>
        <v>#REF!</v>
      </c>
      <c r="AP11" s="79" t="e">
        <f>((#REF!/#REF!)^(1/5)-1)*100</f>
        <v>#REF!</v>
      </c>
      <c r="AQ11" s="79" t="e">
        <f>((#REF!/#REF!)^(1/5)-1)*100</f>
        <v>#REF!</v>
      </c>
      <c r="AR11" s="79" t="e">
        <f>((#REF!/#REF!)^(1/5)-1)*100</f>
        <v>#REF!</v>
      </c>
      <c r="AS11" s="79" t="e">
        <f>((#REF!/AA21)^(1/5)-1)*100</f>
        <v>#REF!</v>
      </c>
      <c r="AT11" s="79" t="e">
        <f>((#REF!/AB21)^(1/5)-1)*100</f>
        <v>#REF!</v>
      </c>
    </row>
    <row r="12" spans="1:46" s="79" customFormat="1">
      <c r="A12" s="70">
        <v>1999</v>
      </c>
      <c r="B12" s="8">
        <f t="shared" si="4"/>
        <v>2421</v>
      </c>
      <c r="C12" s="25">
        <v>1657</v>
      </c>
      <c r="D12" s="25">
        <v>475</v>
      </c>
      <c r="E12" s="25">
        <v>289</v>
      </c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D12" s="79">
        <v>2000</v>
      </c>
      <c r="AE12" s="79" t="e">
        <f t="shared" si="1"/>
        <v>#VALUE!</v>
      </c>
      <c r="AF12" s="79" t="e">
        <f>((#REF!/#REF!)-1)*100</f>
        <v>#REF!</v>
      </c>
      <c r="AG12" s="79" t="e">
        <f>((#REF!/#REF!)-1)*100</f>
        <v>#REF!</v>
      </c>
      <c r="AH12" s="79" t="e">
        <f>((#REF!/#REF!)-1)*100</f>
        <v>#REF!</v>
      </c>
      <c r="AI12" s="79" t="e">
        <f>((#REF!/#REF!)-1)*100</f>
        <v>#REF!</v>
      </c>
      <c r="AJ12" s="79" t="e">
        <f t="shared" si="2"/>
        <v>#DIV/0!</v>
      </c>
      <c r="AK12" s="79" t="e">
        <f t="shared" si="2"/>
        <v>#DIV/0!</v>
      </c>
      <c r="AM12" s="79" t="s">
        <v>18</v>
      </c>
      <c r="AN12" s="79" t="e">
        <f>((#REF!/C10)^(1/16)-1)*100</f>
        <v>#REF!</v>
      </c>
      <c r="AO12" s="79" t="e">
        <f>((#REF!/#REF!)^(1/16)-1)*100</f>
        <v>#REF!</v>
      </c>
      <c r="AP12" s="79" t="e">
        <f>((#REF!/#REF!)^(1/16)-1)*100</f>
        <v>#REF!</v>
      </c>
      <c r="AQ12" s="79" t="e">
        <f>((#REF!/#REF!)^(1/16)-1)*100</f>
        <v>#REF!</v>
      </c>
      <c r="AR12" s="79" t="e">
        <f>((#REF!/#REF!)^(1/16)-1)*100</f>
        <v>#REF!</v>
      </c>
      <c r="AS12" s="79" t="e">
        <f>((#REF!/AA10)^(1/16)-1)*100</f>
        <v>#REF!</v>
      </c>
      <c r="AT12" s="79" t="e">
        <f>((#REF!/AB10)^(1/16)-1)*100</f>
        <v>#REF!</v>
      </c>
    </row>
    <row r="13" spans="1:46" s="79" customFormat="1">
      <c r="A13" s="70">
        <v>2000</v>
      </c>
      <c r="B13" s="8" t="s">
        <v>9</v>
      </c>
      <c r="C13" s="25" t="s">
        <v>9</v>
      </c>
      <c r="D13" s="25">
        <v>922</v>
      </c>
      <c r="E13" s="25">
        <v>396</v>
      </c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D13" s="79">
        <v>2001</v>
      </c>
      <c r="AE13" s="79" t="e">
        <f t="shared" si="1"/>
        <v>#VALUE!</v>
      </c>
      <c r="AF13" s="79" t="e">
        <f>((#REF!/#REF!)-1)*100</f>
        <v>#REF!</v>
      </c>
      <c r="AG13" s="79" t="e">
        <f>((#REF!/#REF!)-1)*100</f>
        <v>#REF!</v>
      </c>
      <c r="AH13" s="79" t="e">
        <f>((#REF!/#REF!)-1)*100</f>
        <v>#REF!</v>
      </c>
      <c r="AI13" s="79" t="e">
        <f>((#REF!/#REF!)-1)*100</f>
        <v>#REF!</v>
      </c>
      <c r="AJ13" s="79" t="e">
        <f t="shared" si="2"/>
        <v>#DIV/0!</v>
      </c>
      <c r="AK13" s="79" t="e">
        <f t="shared" si="2"/>
        <v>#DIV/0!</v>
      </c>
    </row>
    <row r="14" spans="1:46" s="79" customFormat="1">
      <c r="A14" s="70">
        <v>2001</v>
      </c>
      <c r="B14" s="8" t="s">
        <v>9</v>
      </c>
      <c r="C14" s="25" t="s">
        <v>9</v>
      </c>
      <c r="D14" s="25">
        <v>912</v>
      </c>
      <c r="E14" s="25">
        <v>385</v>
      </c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D14" s="79">
        <v>2002</v>
      </c>
      <c r="AE14" s="79" t="e">
        <f t="shared" si="1"/>
        <v>#VALUE!</v>
      </c>
      <c r="AF14" s="79" t="e">
        <f>((#REF!/#REF!)-1)*100</f>
        <v>#REF!</v>
      </c>
      <c r="AG14" s="79" t="e">
        <f>((#REF!/#REF!)-1)*100</f>
        <v>#REF!</v>
      </c>
      <c r="AH14" s="79" t="e">
        <f>((#REF!/#REF!)-1)*100</f>
        <v>#REF!</v>
      </c>
      <c r="AI14" s="79" t="e">
        <f>((#REF!/#REF!)-1)*100</f>
        <v>#REF!</v>
      </c>
      <c r="AJ14" s="79" t="e">
        <f t="shared" si="2"/>
        <v>#DIV/0!</v>
      </c>
      <c r="AK14" s="79" t="e">
        <f t="shared" si="2"/>
        <v>#DIV/0!</v>
      </c>
    </row>
    <row r="15" spans="1:46" s="79" customFormat="1">
      <c r="A15" s="70">
        <v>2002</v>
      </c>
      <c r="B15" s="8" t="s">
        <v>9</v>
      </c>
      <c r="C15" s="25" t="s">
        <v>9</v>
      </c>
      <c r="D15" s="25">
        <v>930</v>
      </c>
      <c r="E15" s="25">
        <v>394</v>
      </c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D15" s="79">
        <v>2003</v>
      </c>
      <c r="AE15" s="79" t="e">
        <f t="shared" si="1"/>
        <v>#VALUE!</v>
      </c>
      <c r="AF15" s="79" t="e">
        <f>((#REF!/#REF!)-1)*100</f>
        <v>#REF!</v>
      </c>
      <c r="AG15" s="79" t="e">
        <f>((#REF!/#REF!)-1)*100</f>
        <v>#REF!</v>
      </c>
      <c r="AH15" s="79" t="e">
        <f>((#REF!/#REF!)-1)*100</f>
        <v>#REF!</v>
      </c>
      <c r="AI15" s="79" t="e">
        <f>((#REF!/#REF!)-1)*100</f>
        <v>#REF!</v>
      </c>
      <c r="AJ15" s="79" t="e">
        <f t="shared" si="2"/>
        <v>#DIV/0!</v>
      </c>
      <c r="AK15" s="79" t="e">
        <f t="shared" si="2"/>
        <v>#DIV/0!</v>
      </c>
    </row>
    <row r="16" spans="1:46" s="95" customFormat="1" ht="15.75" thickBot="1">
      <c r="A16" s="94">
        <v>2003</v>
      </c>
      <c r="B16" s="76" t="s">
        <v>9</v>
      </c>
      <c r="C16" s="82" t="s">
        <v>9</v>
      </c>
      <c r="D16" s="82">
        <v>940</v>
      </c>
      <c r="E16" s="82">
        <v>407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D16" s="95">
        <v>2004</v>
      </c>
      <c r="AE16" s="95" t="e">
        <f>((#REF!/C16)-1)*100</f>
        <v>#REF!</v>
      </c>
      <c r="AF16" s="95" t="e">
        <f>((#REF!/#REF!)-1)*100</f>
        <v>#REF!</v>
      </c>
      <c r="AG16" s="95" t="e">
        <f>((#REF!/#REF!)-1)*100</f>
        <v>#REF!</v>
      </c>
      <c r="AH16" s="95" t="e">
        <f>((#REF!/#REF!)-1)*100</f>
        <v>#REF!</v>
      </c>
      <c r="AI16" s="95" t="e">
        <f>((#REF!/#REF!)-1)*100</f>
        <v>#REF!</v>
      </c>
      <c r="AJ16" s="95" t="e">
        <f t="shared" si="2"/>
        <v>#DIV/0!</v>
      </c>
      <c r="AK16" s="95" t="e">
        <f t="shared" si="2"/>
        <v>#DIV/0!</v>
      </c>
    </row>
    <row r="17" spans="1:37" s="79" customFormat="1">
      <c r="A17" s="70">
        <v>2004</v>
      </c>
      <c r="B17" s="8">
        <f t="shared" si="4"/>
        <v>3598</v>
      </c>
      <c r="C17" s="77">
        <v>1352</v>
      </c>
      <c r="D17" s="25">
        <v>1713</v>
      </c>
      <c r="E17" s="25">
        <v>533</v>
      </c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D17" s="79">
        <v>2005</v>
      </c>
      <c r="AE17" s="79" t="e">
        <f>((#REF!/#REF!)-1)*100</f>
        <v>#REF!</v>
      </c>
      <c r="AF17" s="79" t="e">
        <f>((#REF!/#REF!)-1)*100</f>
        <v>#REF!</v>
      </c>
      <c r="AG17" s="79" t="e">
        <f>((#REF!/#REF!)-1)*100</f>
        <v>#REF!</v>
      </c>
      <c r="AH17" s="79" t="e">
        <f>((#REF!/#REF!)-1)*100</f>
        <v>#REF!</v>
      </c>
      <c r="AI17" s="79" t="e">
        <f>((#REF!/#REF!)-1)*100</f>
        <v>#REF!</v>
      </c>
      <c r="AJ17" s="79" t="e">
        <f t="shared" si="2"/>
        <v>#DIV/0!</v>
      </c>
      <c r="AK17" s="79" t="e">
        <f t="shared" si="2"/>
        <v>#DIV/0!</v>
      </c>
    </row>
    <row r="18" spans="1:37" s="79" customFormat="1">
      <c r="A18" s="70">
        <v>2005</v>
      </c>
      <c r="B18" s="8">
        <f t="shared" si="4"/>
        <v>4428</v>
      </c>
      <c r="C18" s="25">
        <v>2263</v>
      </c>
      <c r="D18" s="25">
        <v>1671</v>
      </c>
      <c r="E18" s="25">
        <v>494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D18" s="79">
        <v>2006</v>
      </c>
      <c r="AE18" s="79" t="e">
        <f>((#REF!/#REF!)-1)*100</f>
        <v>#REF!</v>
      </c>
      <c r="AF18" s="79" t="e">
        <f>((#REF!/#REF!)-1)*100</f>
        <v>#REF!</v>
      </c>
      <c r="AG18" s="79" t="e">
        <f>((#REF!/#REF!)-1)*100</f>
        <v>#REF!</v>
      </c>
      <c r="AH18" s="79" t="e">
        <f>((#REF!/#REF!)-1)*100</f>
        <v>#REF!</v>
      </c>
      <c r="AI18" s="79" t="e">
        <f>((#REF!/#REF!)-1)*100</f>
        <v>#REF!</v>
      </c>
      <c r="AJ18" s="79" t="e">
        <f t="shared" si="2"/>
        <v>#DIV/0!</v>
      </c>
      <c r="AK18" s="79" t="e">
        <f t="shared" si="2"/>
        <v>#DIV/0!</v>
      </c>
    </row>
    <row r="19" spans="1:37" s="79" customFormat="1">
      <c r="A19" s="70">
        <v>2006</v>
      </c>
      <c r="B19" s="8">
        <f t="shared" si="4"/>
        <v>4113</v>
      </c>
      <c r="C19" s="25">
        <v>2049</v>
      </c>
      <c r="D19" s="25">
        <v>1595</v>
      </c>
      <c r="E19" s="25">
        <v>469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D19" s="79">
        <v>2007</v>
      </c>
      <c r="AE19" s="79" t="e">
        <f>((#REF!/#REF!)-1)*100</f>
        <v>#REF!</v>
      </c>
      <c r="AF19" s="79" t="e">
        <f>((#REF!/#REF!)-1)*100</f>
        <v>#REF!</v>
      </c>
      <c r="AG19" s="79" t="e">
        <f>((#REF!/#REF!)-1)*100</f>
        <v>#REF!</v>
      </c>
      <c r="AH19" s="79" t="e">
        <f>((#REF!/#REF!)-1)*100</f>
        <v>#REF!</v>
      </c>
      <c r="AI19" s="79" t="e">
        <f>((#REF!/#REF!)-1)*100</f>
        <v>#REF!</v>
      </c>
      <c r="AJ19" s="79" t="e">
        <f t="shared" si="2"/>
        <v>#DIV/0!</v>
      </c>
      <c r="AK19" s="79" t="e">
        <f t="shared" si="2"/>
        <v>#DIV/0!</v>
      </c>
    </row>
    <row r="20" spans="1:37" s="79" customFormat="1">
      <c r="A20" s="70">
        <v>2007</v>
      </c>
      <c r="B20" s="8">
        <f t="shared" si="4"/>
        <v>4115</v>
      </c>
      <c r="C20" s="25">
        <v>2007</v>
      </c>
      <c r="D20" s="25">
        <v>1656</v>
      </c>
      <c r="E20" s="25">
        <v>452</v>
      </c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D20" s="79">
        <v>2008</v>
      </c>
      <c r="AE20" s="79" t="e">
        <f>((#REF!/#REF!)-1)*100</f>
        <v>#REF!</v>
      </c>
      <c r="AF20" s="79" t="e">
        <f>((#REF!/#REF!)-1)*100</f>
        <v>#REF!</v>
      </c>
      <c r="AG20" s="79" t="e">
        <f>((#REF!/#REF!)-1)*100</f>
        <v>#REF!</v>
      </c>
      <c r="AH20" s="79" t="e">
        <f>((#REF!/#REF!)-1)*100</f>
        <v>#REF!</v>
      </c>
      <c r="AI20" s="79" t="e">
        <f>((#REF!/#REF!)-1)*100</f>
        <v>#REF!</v>
      </c>
      <c r="AJ20" s="79" t="e">
        <f t="shared" si="2"/>
        <v>#DIV/0!</v>
      </c>
      <c r="AK20" s="79" t="e">
        <f t="shared" si="2"/>
        <v>#DIV/0!</v>
      </c>
    </row>
    <row r="21" spans="1:37" s="79" customFormat="1">
      <c r="A21" s="70">
        <v>2008</v>
      </c>
      <c r="B21" s="8">
        <f t="shared" si="4"/>
        <v>4018</v>
      </c>
      <c r="C21" s="25">
        <v>1912</v>
      </c>
      <c r="D21" s="25">
        <v>1672</v>
      </c>
      <c r="E21" s="25">
        <v>434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D21" s="79">
        <v>2009</v>
      </c>
      <c r="AE21" s="79" t="e">
        <f>((#REF!/#REF!)-1)*100</f>
        <v>#REF!</v>
      </c>
      <c r="AF21" s="79" t="e">
        <f>((#REF!/#REF!)-1)*100</f>
        <v>#REF!</v>
      </c>
      <c r="AG21" s="79" t="e">
        <f>((#REF!/#REF!)-1)*100</f>
        <v>#REF!</v>
      </c>
      <c r="AH21" s="79" t="e">
        <f>((#REF!/#REF!)-1)*100</f>
        <v>#REF!</v>
      </c>
      <c r="AI21" s="79" t="e">
        <f>((#REF!/#REF!)-1)*100</f>
        <v>#REF!</v>
      </c>
      <c r="AJ21" s="79" t="e">
        <f t="shared" si="2"/>
        <v>#DIV/0!</v>
      </c>
      <c r="AK21" s="79" t="e">
        <f t="shared" si="2"/>
        <v>#DIV/0!</v>
      </c>
    </row>
    <row r="22" spans="1:37" s="79" customFormat="1">
      <c r="A22" s="70">
        <v>2009</v>
      </c>
      <c r="B22" s="8">
        <f t="shared" si="4"/>
        <v>3830</v>
      </c>
      <c r="C22" s="25">
        <v>1784</v>
      </c>
      <c r="D22" s="25">
        <v>1619</v>
      </c>
      <c r="E22" s="25">
        <v>427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D22" s="79">
        <v>2010</v>
      </c>
      <c r="AE22" s="79" t="e">
        <f>((#REF!/#REF!)-1)*100</f>
        <v>#REF!</v>
      </c>
      <c r="AF22" s="79" t="e">
        <f>((#REF!/#REF!)-1)*100</f>
        <v>#REF!</v>
      </c>
      <c r="AG22" s="79" t="e">
        <f>((#REF!/#REF!)-1)*100</f>
        <v>#REF!</v>
      </c>
      <c r="AH22" s="79" t="e">
        <f>((#REF!/#REF!)-1)*100</f>
        <v>#REF!</v>
      </c>
      <c r="AI22" s="79" t="e">
        <f>((#REF!/#REF!)-1)*100</f>
        <v>#REF!</v>
      </c>
      <c r="AJ22" s="79" t="e">
        <f t="shared" si="2"/>
        <v>#DIV/0!</v>
      </c>
      <c r="AK22" s="79" t="e">
        <f t="shared" si="2"/>
        <v>#DIV/0!</v>
      </c>
    </row>
    <row r="23" spans="1:37" s="79" customFormat="1">
      <c r="A23" s="70">
        <v>2010</v>
      </c>
      <c r="B23" s="8">
        <f t="shared" si="4"/>
        <v>3775</v>
      </c>
      <c r="C23" s="25">
        <v>1754</v>
      </c>
      <c r="D23" s="25">
        <v>1608</v>
      </c>
      <c r="E23" s="25">
        <v>413</v>
      </c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D23" s="79">
        <v>2011</v>
      </c>
      <c r="AE23" s="79" t="e">
        <f>((#REF!/#REF!)-1)*100</f>
        <v>#REF!</v>
      </c>
      <c r="AF23" s="79" t="e">
        <f>((#REF!/#REF!)-1)*100</f>
        <v>#REF!</v>
      </c>
      <c r="AG23" s="79" t="e">
        <f>((#REF!/#REF!)-1)*100</f>
        <v>#REF!</v>
      </c>
      <c r="AH23" s="79" t="e">
        <f>((#REF!/#REF!)-1)*100</f>
        <v>#REF!</v>
      </c>
      <c r="AI23" s="79" t="e">
        <f>((#REF!/#REF!)-1)*100</f>
        <v>#REF!</v>
      </c>
      <c r="AJ23" s="79" t="e">
        <f>((#REF!/AA23)-1)*100</f>
        <v>#REF!</v>
      </c>
      <c r="AK23" s="79" t="e">
        <f>((#REF!/AB23)-1)*100</f>
        <v>#REF!</v>
      </c>
    </row>
    <row r="24" spans="1:37">
      <c r="A24" s="9"/>
      <c r="B24" s="9"/>
      <c r="C24" s="62"/>
      <c r="D24" s="62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E24" s="114" t="s">
        <v>27</v>
      </c>
    </row>
    <row r="25" spans="1:37" ht="15" customHeight="1">
      <c r="A25" s="454" t="s">
        <v>32</v>
      </c>
      <c r="B25" s="454"/>
      <c r="C25" s="454"/>
      <c r="D25" s="454"/>
      <c r="E25" s="454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E25" s="114" t="s">
        <v>16</v>
      </c>
      <c r="AF25" s="114" t="s">
        <v>8</v>
      </c>
      <c r="AG25" s="114" t="s">
        <v>3</v>
      </c>
      <c r="AH25" s="114" t="s">
        <v>4</v>
      </c>
      <c r="AI25" s="114" t="s">
        <v>17</v>
      </c>
      <c r="AJ25" s="114" t="s">
        <v>6</v>
      </c>
      <c r="AK25" s="114" t="s">
        <v>7</v>
      </c>
    </row>
    <row r="26" spans="1:37">
      <c r="A26" s="70" t="s">
        <v>85</v>
      </c>
      <c r="B26" s="11" t="s">
        <v>10</v>
      </c>
      <c r="C26" s="11">
        <f>((C3/C12)^(1/9)-1)*100</f>
        <v>-2.0831990251246935</v>
      </c>
      <c r="D26" s="11" t="s">
        <v>10</v>
      </c>
      <c r="E26" s="11" t="s">
        <v>10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D26" s="114">
        <v>1999</v>
      </c>
      <c r="AE26" s="114" t="e">
        <f>C12/$C$13</f>
        <v>#VALUE!</v>
      </c>
      <c r="AF26" s="114" t="e">
        <f>#REF!/#REF!</f>
        <v>#REF!</v>
      </c>
      <c r="AG26" s="114" t="e">
        <f>#REF!/#REF!</f>
        <v>#REF!</v>
      </c>
      <c r="AH26" s="114" t="e">
        <f>#REF!/#REF!</f>
        <v>#REF!</v>
      </c>
      <c r="AI26" s="114" t="e">
        <f>#REF!/#REF!</f>
        <v>#REF!</v>
      </c>
      <c r="AJ26" s="114" t="e">
        <f t="shared" ref="AJ26:AJ27" si="5">AA12/$AA$13</f>
        <v>#DIV/0!</v>
      </c>
      <c r="AK26" s="114" t="e">
        <f t="shared" ref="AK26:AK27" si="6">AB12/$AB$13</f>
        <v>#DIV/0!</v>
      </c>
    </row>
    <row r="27" spans="1:37">
      <c r="A27" s="130" t="s">
        <v>323</v>
      </c>
      <c r="B27" s="11" t="s">
        <v>10</v>
      </c>
      <c r="C27" s="11" t="s">
        <v>10</v>
      </c>
      <c r="D27" s="11">
        <f>((D16/D12)^(1/4)-1)*100</f>
        <v>18.606519292865762</v>
      </c>
      <c r="E27" s="11">
        <f>((E16/E12)^(1/4)-1)*100</f>
        <v>8.9366815600371972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D27" s="114">
        <v>2000</v>
      </c>
      <c r="AE27" s="114" t="e">
        <f>C13/$C$13</f>
        <v>#VALUE!</v>
      </c>
      <c r="AF27" s="114" t="e">
        <f>#REF!/#REF!</f>
        <v>#REF!</v>
      </c>
      <c r="AG27" s="114" t="e">
        <f>#REF!/#REF!</f>
        <v>#REF!</v>
      </c>
      <c r="AH27" s="114" t="e">
        <f>#REF!/#REF!</f>
        <v>#REF!</v>
      </c>
      <c r="AI27" s="114" t="e">
        <f>#REF!/#REF!</f>
        <v>#REF!</v>
      </c>
      <c r="AJ27" s="114" t="e">
        <f t="shared" si="5"/>
        <v>#DIV/0!</v>
      </c>
      <c r="AK27" s="114" t="e">
        <f t="shared" si="6"/>
        <v>#DIV/0!</v>
      </c>
    </row>
    <row r="28" spans="1:37">
      <c r="A28" s="328" t="s">
        <v>524</v>
      </c>
      <c r="B28" s="11" t="s">
        <v>10</v>
      </c>
      <c r="C28" s="11" t="s">
        <v>10</v>
      </c>
      <c r="D28" s="214">
        <f t="shared" ref="D28:E28" si="7">((D20/D16)^(1/4)-1)*100</f>
        <v>15.208127951607974</v>
      </c>
      <c r="E28" s="214">
        <f t="shared" si="7"/>
        <v>2.6563943826798386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D28" s="114">
        <v>2001</v>
      </c>
      <c r="AE28" s="114" t="e">
        <f>C14/$C$13</f>
        <v>#VALUE!</v>
      </c>
      <c r="AF28" s="114" t="e">
        <f>#REF!/#REF!</f>
        <v>#REF!</v>
      </c>
      <c r="AG28" s="114" t="e">
        <f>#REF!/#REF!</f>
        <v>#REF!</v>
      </c>
      <c r="AH28" s="114" t="e">
        <f>#REF!/#REF!</f>
        <v>#REF!</v>
      </c>
      <c r="AI28" s="114" t="e">
        <f>#REF!/#REF!</f>
        <v>#REF!</v>
      </c>
      <c r="AJ28" s="114" t="e">
        <f>AA14/$AA$13</f>
        <v>#DIV/0!</v>
      </c>
      <c r="AK28" s="114" t="e">
        <f>AB14/$AB$13</f>
        <v>#DIV/0!</v>
      </c>
    </row>
    <row r="29" spans="1:37" s="259" customFormat="1">
      <c r="A29" s="248" t="s">
        <v>368</v>
      </c>
      <c r="B29" s="11">
        <f>((B23/B20)^(1/3)-1)*100</f>
        <v>-2.8336910624815692</v>
      </c>
      <c r="C29" s="11">
        <f t="shared" ref="C29:E29" si="8">((C23/C20)^(1/3)-1)*100</f>
        <v>-4.3920354894814491</v>
      </c>
      <c r="D29" s="11">
        <f t="shared" si="8"/>
        <v>-0.97567197364475389</v>
      </c>
      <c r="E29" s="11">
        <f t="shared" si="8"/>
        <v>-2.9630348078442115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37" s="259" customFormat="1">
      <c r="A30" s="325" t="s">
        <v>525</v>
      </c>
      <c r="B30" s="11" t="s">
        <v>10</v>
      </c>
      <c r="C30" s="11" t="s">
        <v>10</v>
      </c>
      <c r="D30" s="11">
        <f t="shared" ref="D30:E30" si="9">((D23/D13)^(1/10)-1)*100</f>
        <v>5.7196002597169393</v>
      </c>
      <c r="E30" s="11">
        <f t="shared" si="9"/>
        <v>0.42121845870273233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37">
      <c r="A31" s="70"/>
      <c r="B31" s="70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37" s="237" customFormat="1">
      <c r="A32" s="231" t="s">
        <v>144</v>
      </c>
      <c r="B32" s="130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37">
      <c r="A33" s="60" t="s">
        <v>131</v>
      </c>
      <c r="B33" s="70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37">
      <c r="A34" s="237" t="s">
        <v>325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37">
      <c r="AD35" s="114">
        <v>2011</v>
      </c>
      <c r="AE35" s="114" t="e">
        <f>#REF!/$C$13</f>
        <v>#REF!</v>
      </c>
      <c r="AF35" s="114" t="e">
        <f>#REF!/#REF!</f>
        <v>#REF!</v>
      </c>
      <c r="AG35" s="114" t="e">
        <f>#REF!/#REF!</f>
        <v>#REF!</v>
      </c>
      <c r="AH35" s="114" t="e">
        <f>#REF!/#REF!</f>
        <v>#REF!</v>
      </c>
      <c r="AI35" s="114" t="e">
        <f>#REF!/#REF!</f>
        <v>#REF!</v>
      </c>
      <c r="AJ35" s="114" t="e">
        <f>#REF!/$AA$13</f>
        <v>#REF!</v>
      </c>
      <c r="AK35" s="114" t="e">
        <f>#REF!/$AB$13</f>
        <v>#REF!</v>
      </c>
    </row>
    <row r="36" spans="1:37">
      <c r="AD36" s="114">
        <v>2012</v>
      </c>
      <c r="AE36" s="114" t="e">
        <f>#REF!/$C$13</f>
        <v>#REF!</v>
      </c>
      <c r="AF36" s="114" t="e">
        <f>#REF!/#REF!</f>
        <v>#REF!</v>
      </c>
      <c r="AG36" s="114" t="e">
        <f>#REF!/#REF!</f>
        <v>#REF!</v>
      </c>
      <c r="AH36" s="114" t="e">
        <f>#REF!/#REF!</f>
        <v>#REF!</v>
      </c>
      <c r="AI36" s="114" t="e">
        <f>#REF!/#REF!</f>
        <v>#REF!</v>
      </c>
      <c r="AJ36" s="114" t="e">
        <f>#REF!/$AA$13</f>
        <v>#REF!</v>
      </c>
      <c r="AK36" s="114" t="e">
        <f>#REF!/$AB$13</f>
        <v>#REF!</v>
      </c>
    </row>
    <row r="37" spans="1:37">
      <c r="AD37" s="114">
        <v>2013</v>
      </c>
      <c r="AE37" s="114" t="e">
        <f>#REF!/$C$13</f>
        <v>#REF!</v>
      </c>
      <c r="AF37" s="114" t="e">
        <f>#REF!/#REF!</f>
        <v>#REF!</v>
      </c>
      <c r="AG37" s="114" t="e">
        <f>#REF!/#REF!</f>
        <v>#REF!</v>
      </c>
      <c r="AH37" s="114" t="e">
        <f>#REF!/#REF!</f>
        <v>#REF!</v>
      </c>
      <c r="AI37" s="114" t="e">
        <f>#REF!/#REF!</f>
        <v>#REF!</v>
      </c>
      <c r="AJ37" s="114" t="e">
        <f>#REF!/$AA$13</f>
        <v>#REF!</v>
      </c>
      <c r="AK37" s="114" t="e">
        <f>#REF!/$AB$13</f>
        <v>#REF!</v>
      </c>
    </row>
  </sheetData>
  <mergeCells count="2">
    <mergeCell ref="A1:E1"/>
    <mergeCell ref="A25:E25"/>
  </mergeCells>
  <printOptions gridLines="1"/>
  <pageMargins left="0.70866141732283472" right="0.70866141732283472" top="0.74803149606299213" bottom="0.74803149606299213" header="0.31496062992125984" footer="0.31496062992125984"/>
  <pageSetup scale="81" orientation="portrait" horizontalDpi="0" verticalDpi="0" r:id="rId1"/>
  <colBreaks count="2" manualBreakCount="2">
    <brk id="3" max="71" man="1"/>
    <brk id="4" max="71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36"/>
  <sheetViews>
    <sheetView view="pageBreakPreview" zoomScaleNormal="100" zoomScaleSheetLayoutView="100" workbookViewId="0">
      <selection activeCell="AB19" sqref="AB19"/>
    </sheetView>
  </sheetViews>
  <sheetFormatPr defaultRowHeight="15"/>
  <cols>
    <col min="5" max="5" width="11" customWidth="1"/>
    <col min="7" max="7" width="13.7109375" customWidth="1"/>
    <col min="10" max="10" width="13" customWidth="1"/>
    <col min="11" max="11" width="12.7109375" customWidth="1"/>
    <col min="12" max="12" width="16" customWidth="1"/>
    <col min="13" max="13" width="11.5703125" customWidth="1"/>
    <col min="14" max="14" width="11.42578125" customWidth="1"/>
    <col min="17" max="17" width="14.7109375" customWidth="1"/>
    <col min="18" max="18" width="9.28515625" customWidth="1"/>
    <col min="20" max="20" width="17" customWidth="1"/>
    <col min="22" max="22" width="13.5703125" customWidth="1"/>
    <col min="23" max="23" width="15.85546875" customWidth="1"/>
    <col min="24" max="24" width="15" customWidth="1"/>
  </cols>
  <sheetData>
    <row r="1" spans="1:24">
      <c r="A1" s="466" t="s">
        <v>326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</row>
    <row r="2" spans="1:24" ht="15" customHeight="1">
      <c r="A2" s="108"/>
      <c r="B2" s="466" t="s">
        <v>87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</row>
    <row r="3" spans="1:24" ht="18" customHeight="1">
      <c r="A3" s="109"/>
      <c r="B3" s="466" t="s">
        <v>89</v>
      </c>
      <c r="C3" s="466" t="s">
        <v>36</v>
      </c>
      <c r="D3" s="466"/>
      <c r="E3" s="466"/>
      <c r="F3" s="466"/>
      <c r="G3" s="466"/>
      <c r="H3" s="466" t="s">
        <v>37</v>
      </c>
      <c r="I3" s="466"/>
      <c r="J3" s="466"/>
      <c r="K3" s="466"/>
      <c r="L3" s="466"/>
      <c r="M3" s="466"/>
      <c r="N3" s="466"/>
      <c r="O3" s="466" t="s">
        <v>38</v>
      </c>
      <c r="P3" s="466"/>
      <c r="Q3" s="466"/>
      <c r="R3" s="466"/>
      <c r="S3" s="466"/>
      <c r="T3" s="466"/>
      <c r="U3" s="466"/>
      <c r="V3" s="466"/>
      <c r="W3" s="466"/>
      <c r="X3" s="466"/>
    </row>
    <row r="4" spans="1:24" ht="76.5" customHeight="1">
      <c r="A4" s="109"/>
      <c r="B4" s="466"/>
      <c r="C4" s="466" t="s">
        <v>89</v>
      </c>
      <c r="D4" s="466" t="s">
        <v>92</v>
      </c>
      <c r="E4" s="466"/>
      <c r="F4" s="466"/>
      <c r="G4" s="466"/>
      <c r="H4" s="466" t="s">
        <v>89</v>
      </c>
      <c r="I4" s="466" t="s">
        <v>93</v>
      </c>
      <c r="J4" s="466"/>
      <c r="K4" s="466"/>
      <c r="L4" s="466"/>
      <c r="M4" s="466"/>
      <c r="N4" s="466"/>
      <c r="O4" s="466" t="s">
        <v>89</v>
      </c>
      <c r="P4" s="466" t="s">
        <v>94</v>
      </c>
      <c r="Q4" s="466"/>
      <c r="R4" s="466"/>
      <c r="S4" s="466" t="s">
        <v>95</v>
      </c>
      <c r="T4" s="466"/>
      <c r="U4" s="466" t="s">
        <v>96</v>
      </c>
      <c r="V4" s="466"/>
      <c r="W4" s="466"/>
      <c r="X4" s="466"/>
    </row>
    <row r="5" spans="1:24" ht="90">
      <c r="A5" s="109"/>
      <c r="B5" s="466"/>
      <c r="C5" s="466"/>
      <c r="D5" s="110" t="s">
        <v>89</v>
      </c>
      <c r="E5" s="109" t="s">
        <v>104</v>
      </c>
      <c r="F5" s="109" t="s">
        <v>105</v>
      </c>
      <c r="G5" s="109" t="s">
        <v>106</v>
      </c>
      <c r="H5" s="466"/>
      <c r="I5" s="110" t="s">
        <v>89</v>
      </c>
      <c r="J5" s="109" t="s">
        <v>107</v>
      </c>
      <c r="K5" s="109" t="s">
        <v>108</v>
      </c>
      <c r="L5" s="109" t="s">
        <v>109</v>
      </c>
      <c r="M5" s="109" t="s">
        <v>110</v>
      </c>
      <c r="N5" s="109" t="s">
        <v>111</v>
      </c>
      <c r="O5" s="466"/>
      <c r="P5" s="110" t="s">
        <v>89</v>
      </c>
      <c r="Q5" s="109" t="s">
        <v>112</v>
      </c>
      <c r="R5" s="109" t="s">
        <v>113</v>
      </c>
      <c r="S5" s="110" t="s">
        <v>89</v>
      </c>
      <c r="T5" s="109" t="s">
        <v>114</v>
      </c>
      <c r="U5" s="110" t="s">
        <v>89</v>
      </c>
      <c r="V5" s="109" t="s">
        <v>115</v>
      </c>
      <c r="W5" s="109" t="s">
        <v>116</v>
      </c>
      <c r="X5" s="109" t="s">
        <v>117</v>
      </c>
    </row>
    <row r="6" spans="1:24" s="12" customFormat="1">
      <c r="A6" s="12">
        <v>1990</v>
      </c>
      <c r="B6" s="12" t="s">
        <v>9</v>
      </c>
      <c r="C6" s="12" t="s">
        <v>9</v>
      </c>
      <c r="D6" s="12" t="s">
        <v>9</v>
      </c>
      <c r="E6" s="12" t="s">
        <v>9</v>
      </c>
      <c r="F6" s="12" t="s">
        <v>9</v>
      </c>
      <c r="G6" s="12" t="s">
        <v>9</v>
      </c>
      <c r="H6" s="12" t="s">
        <v>9</v>
      </c>
      <c r="I6" s="12" t="s">
        <v>9</v>
      </c>
      <c r="J6" s="12" t="s">
        <v>9</v>
      </c>
      <c r="K6" s="12" t="s">
        <v>9</v>
      </c>
      <c r="L6" s="12" t="s">
        <v>9</v>
      </c>
      <c r="M6" s="12" t="s">
        <v>9</v>
      </c>
      <c r="N6" s="12" t="s">
        <v>9</v>
      </c>
      <c r="O6" s="12" t="s">
        <v>9</v>
      </c>
      <c r="P6" s="12" t="s">
        <v>9</v>
      </c>
      <c r="Q6" s="12" t="s">
        <v>9</v>
      </c>
      <c r="R6" s="12" t="s">
        <v>9</v>
      </c>
      <c r="S6" s="12" t="s">
        <v>9</v>
      </c>
      <c r="T6" s="12" t="s">
        <v>9</v>
      </c>
      <c r="U6" s="12" t="s">
        <v>9</v>
      </c>
      <c r="V6" s="12" t="s">
        <v>9</v>
      </c>
      <c r="W6" s="12" t="s">
        <v>9</v>
      </c>
      <c r="X6" s="12" t="s">
        <v>9</v>
      </c>
    </row>
    <row r="7" spans="1:24" s="12" customFormat="1">
      <c r="A7" s="12">
        <v>1991</v>
      </c>
      <c r="B7" s="12" t="s">
        <v>9</v>
      </c>
      <c r="C7" s="12" t="s">
        <v>9</v>
      </c>
      <c r="D7" s="12" t="s">
        <v>9</v>
      </c>
      <c r="E7" s="12" t="s">
        <v>9</v>
      </c>
      <c r="F7" s="12" t="s">
        <v>9</v>
      </c>
      <c r="G7" s="12" t="s">
        <v>9</v>
      </c>
      <c r="H7" s="12" t="s">
        <v>9</v>
      </c>
      <c r="I7" s="12" t="s">
        <v>9</v>
      </c>
      <c r="J7" s="12" t="s">
        <v>9</v>
      </c>
      <c r="K7" s="12" t="s">
        <v>9</v>
      </c>
      <c r="L7" s="12" t="s">
        <v>9</v>
      </c>
      <c r="M7" s="12" t="s">
        <v>9</v>
      </c>
      <c r="N7" s="12" t="s">
        <v>9</v>
      </c>
      <c r="O7" s="12" t="s">
        <v>9</v>
      </c>
      <c r="P7" s="12" t="s">
        <v>9</v>
      </c>
      <c r="Q7" s="12" t="s">
        <v>9</v>
      </c>
      <c r="R7" s="12" t="s">
        <v>9</v>
      </c>
      <c r="S7" s="12" t="s">
        <v>9</v>
      </c>
      <c r="T7" s="12" t="s">
        <v>9</v>
      </c>
      <c r="U7" s="12" t="s">
        <v>9</v>
      </c>
      <c r="V7" s="12" t="s">
        <v>9</v>
      </c>
      <c r="W7" s="12" t="s">
        <v>9</v>
      </c>
      <c r="X7" s="12" t="s">
        <v>9</v>
      </c>
    </row>
    <row r="8" spans="1:24" s="12" customFormat="1">
      <c r="A8" s="12">
        <v>1992</v>
      </c>
      <c r="B8" s="12" t="s">
        <v>9</v>
      </c>
      <c r="C8" s="12" t="s">
        <v>9</v>
      </c>
      <c r="D8" s="12" t="s">
        <v>9</v>
      </c>
      <c r="E8" s="12" t="s">
        <v>9</v>
      </c>
      <c r="F8" s="12" t="s">
        <v>9</v>
      </c>
      <c r="G8" s="12" t="s">
        <v>9</v>
      </c>
      <c r="H8" s="12" t="s">
        <v>9</v>
      </c>
      <c r="I8" s="12" t="s">
        <v>9</v>
      </c>
      <c r="J8" s="12" t="s">
        <v>9</v>
      </c>
      <c r="K8" s="12" t="s">
        <v>9</v>
      </c>
      <c r="L8" s="12" t="s">
        <v>9</v>
      </c>
      <c r="M8" s="12" t="s">
        <v>9</v>
      </c>
      <c r="N8" s="12" t="s">
        <v>9</v>
      </c>
      <c r="O8" s="12" t="s">
        <v>9</v>
      </c>
      <c r="P8" s="12" t="s">
        <v>9</v>
      </c>
      <c r="Q8" s="12" t="s">
        <v>9</v>
      </c>
      <c r="R8" s="12" t="s">
        <v>9</v>
      </c>
      <c r="S8" s="12" t="s">
        <v>9</v>
      </c>
      <c r="T8" s="12" t="s">
        <v>9</v>
      </c>
      <c r="U8" s="12" t="s">
        <v>9</v>
      </c>
      <c r="V8" s="12" t="s">
        <v>9</v>
      </c>
      <c r="W8" s="12" t="s">
        <v>9</v>
      </c>
      <c r="X8" s="12" t="s">
        <v>9</v>
      </c>
    </row>
    <row r="9" spans="1:24" s="12" customFormat="1">
      <c r="A9" s="12">
        <v>1993</v>
      </c>
      <c r="B9" s="12" t="s">
        <v>9</v>
      </c>
      <c r="C9" s="12" t="s">
        <v>9</v>
      </c>
      <c r="D9" s="12" t="s">
        <v>9</v>
      </c>
      <c r="E9" s="12" t="s">
        <v>9</v>
      </c>
      <c r="F9" s="12" t="s">
        <v>9</v>
      </c>
      <c r="G9" s="12" t="s">
        <v>9</v>
      </c>
      <c r="H9" s="12" t="s">
        <v>9</v>
      </c>
      <c r="I9" s="12" t="s">
        <v>9</v>
      </c>
      <c r="J9" s="12" t="s">
        <v>9</v>
      </c>
      <c r="K9" s="12" t="s">
        <v>9</v>
      </c>
      <c r="L9" s="12" t="s">
        <v>9</v>
      </c>
      <c r="M9" s="12" t="s">
        <v>9</v>
      </c>
      <c r="N9" s="12" t="s">
        <v>9</v>
      </c>
      <c r="O9" s="12" t="s">
        <v>9</v>
      </c>
      <c r="P9" s="12" t="s">
        <v>9</v>
      </c>
      <c r="Q9" s="12" t="s">
        <v>9</v>
      </c>
      <c r="R9" s="12" t="s">
        <v>9</v>
      </c>
      <c r="S9" s="12" t="s">
        <v>9</v>
      </c>
      <c r="T9" s="12" t="s">
        <v>9</v>
      </c>
      <c r="U9" s="12" t="s">
        <v>9</v>
      </c>
      <c r="V9" s="12" t="s">
        <v>9</v>
      </c>
      <c r="W9" s="12" t="s">
        <v>9</v>
      </c>
      <c r="X9" s="12" t="s">
        <v>9</v>
      </c>
    </row>
    <row r="10" spans="1:24" s="12" customFormat="1">
      <c r="A10" s="12">
        <v>1994</v>
      </c>
      <c r="B10" s="12" t="s">
        <v>9</v>
      </c>
      <c r="C10" s="12" t="s">
        <v>9</v>
      </c>
      <c r="D10" s="12" t="s">
        <v>9</v>
      </c>
      <c r="E10" s="12" t="s">
        <v>9</v>
      </c>
      <c r="F10" s="12" t="s">
        <v>9</v>
      </c>
      <c r="G10" s="12" t="s">
        <v>9</v>
      </c>
      <c r="H10" s="12" t="s">
        <v>9</v>
      </c>
      <c r="I10" s="12" t="s">
        <v>9</v>
      </c>
      <c r="J10" s="12" t="s">
        <v>9</v>
      </c>
      <c r="K10" s="12" t="s">
        <v>9</v>
      </c>
      <c r="L10" s="12" t="s">
        <v>9</v>
      </c>
      <c r="M10" s="12" t="s">
        <v>9</v>
      </c>
      <c r="N10" s="12" t="s">
        <v>9</v>
      </c>
      <c r="O10" s="12" t="s">
        <v>9</v>
      </c>
      <c r="P10" s="12" t="s">
        <v>9</v>
      </c>
      <c r="Q10" s="12" t="s">
        <v>9</v>
      </c>
      <c r="R10" s="12" t="s">
        <v>9</v>
      </c>
      <c r="S10" s="12" t="s">
        <v>9</v>
      </c>
      <c r="T10" s="12" t="s">
        <v>9</v>
      </c>
      <c r="U10" s="12" t="s">
        <v>9</v>
      </c>
      <c r="V10" s="12" t="s">
        <v>9</v>
      </c>
      <c r="W10" s="12" t="s">
        <v>9</v>
      </c>
      <c r="X10" s="12" t="s">
        <v>9</v>
      </c>
    </row>
    <row r="11" spans="1:24" s="12" customFormat="1">
      <c r="A11" s="12">
        <v>1995</v>
      </c>
      <c r="B11" s="12" t="s">
        <v>9</v>
      </c>
      <c r="C11" s="12" t="s">
        <v>9</v>
      </c>
      <c r="D11" s="12" t="s">
        <v>9</v>
      </c>
      <c r="E11" s="12" t="s">
        <v>9</v>
      </c>
      <c r="F11" s="12" t="s">
        <v>9</v>
      </c>
      <c r="G11" s="12" t="s">
        <v>9</v>
      </c>
      <c r="H11" s="12" t="s">
        <v>9</v>
      </c>
      <c r="I11" s="12" t="s">
        <v>9</v>
      </c>
      <c r="J11" s="12" t="s">
        <v>9</v>
      </c>
      <c r="K11" s="12" t="s">
        <v>9</v>
      </c>
      <c r="L11" s="12" t="s">
        <v>9</v>
      </c>
      <c r="M11" s="12" t="s">
        <v>9</v>
      </c>
      <c r="N11" s="12" t="s">
        <v>9</v>
      </c>
      <c r="O11" s="12" t="s">
        <v>9</v>
      </c>
      <c r="P11" s="12" t="s">
        <v>9</v>
      </c>
      <c r="Q11" s="12" t="s">
        <v>9</v>
      </c>
      <c r="R11" s="12" t="s">
        <v>9</v>
      </c>
      <c r="S11" s="12" t="s">
        <v>9</v>
      </c>
      <c r="T11" s="12" t="s">
        <v>9</v>
      </c>
      <c r="U11" s="12" t="s">
        <v>9</v>
      </c>
      <c r="V11" s="12" t="s">
        <v>9</v>
      </c>
      <c r="W11" s="12" t="s">
        <v>9</v>
      </c>
      <c r="X11" s="12" t="s">
        <v>9</v>
      </c>
    </row>
    <row r="12" spans="1:24" s="12" customFormat="1">
      <c r="A12" s="12">
        <v>1996</v>
      </c>
      <c r="B12" s="12" t="s">
        <v>9</v>
      </c>
      <c r="C12" s="12" t="s">
        <v>9</v>
      </c>
      <c r="D12" s="12" t="s">
        <v>9</v>
      </c>
      <c r="E12" s="12" t="s">
        <v>9</v>
      </c>
      <c r="F12" s="12" t="s">
        <v>9</v>
      </c>
      <c r="G12" s="12" t="s">
        <v>9</v>
      </c>
      <c r="H12" s="12" t="s">
        <v>9</v>
      </c>
      <c r="I12" s="12" t="s">
        <v>9</v>
      </c>
      <c r="J12" s="12" t="s">
        <v>9</v>
      </c>
      <c r="K12" s="12" t="s">
        <v>9</v>
      </c>
      <c r="L12" s="12" t="s">
        <v>9</v>
      </c>
      <c r="M12" s="12" t="s">
        <v>9</v>
      </c>
      <c r="N12" s="12" t="s">
        <v>9</v>
      </c>
      <c r="O12" s="12" t="s">
        <v>9</v>
      </c>
      <c r="P12" s="12" t="s">
        <v>9</v>
      </c>
      <c r="Q12" s="12" t="s">
        <v>9</v>
      </c>
      <c r="R12" s="12" t="s">
        <v>9</v>
      </c>
      <c r="S12" s="12" t="s">
        <v>9</v>
      </c>
      <c r="T12" s="12" t="s">
        <v>9</v>
      </c>
      <c r="U12" s="12" t="s">
        <v>9</v>
      </c>
      <c r="V12" s="12" t="s">
        <v>9</v>
      </c>
      <c r="W12" s="12" t="s">
        <v>9</v>
      </c>
      <c r="X12" s="12" t="s">
        <v>9</v>
      </c>
    </row>
    <row r="13" spans="1:24" s="12" customFormat="1">
      <c r="A13" s="12">
        <v>1997</v>
      </c>
      <c r="B13" s="12" t="s">
        <v>9</v>
      </c>
      <c r="C13" s="12" t="s">
        <v>9</v>
      </c>
      <c r="D13" s="12" t="s">
        <v>9</v>
      </c>
      <c r="E13" s="12" t="s">
        <v>9</v>
      </c>
      <c r="F13" s="12" t="s">
        <v>9</v>
      </c>
      <c r="G13" s="12" t="s">
        <v>9</v>
      </c>
      <c r="H13" s="12" t="s">
        <v>9</v>
      </c>
      <c r="I13" s="12" t="s">
        <v>9</v>
      </c>
      <c r="J13" s="12" t="s">
        <v>9</v>
      </c>
      <c r="K13" s="12" t="s">
        <v>9</v>
      </c>
      <c r="L13" s="12" t="s">
        <v>9</v>
      </c>
      <c r="M13" s="12" t="s">
        <v>9</v>
      </c>
      <c r="N13" s="12" t="s">
        <v>9</v>
      </c>
      <c r="O13" s="12" t="s">
        <v>9</v>
      </c>
      <c r="P13" s="12" t="s">
        <v>9</v>
      </c>
      <c r="Q13" s="12" t="s">
        <v>9</v>
      </c>
      <c r="R13" s="12" t="s">
        <v>9</v>
      </c>
      <c r="S13" s="12" t="s">
        <v>9</v>
      </c>
      <c r="T13" s="12" t="s">
        <v>9</v>
      </c>
      <c r="U13" s="12" t="s">
        <v>9</v>
      </c>
      <c r="V13" s="12" t="s">
        <v>9</v>
      </c>
      <c r="W13" s="12" t="s">
        <v>9</v>
      </c>
      <c r="X13" s="12" t="s">
        <v>9</v>
      </c>
    </row>
    <row r="14" spans="1:24" s="12" customFormat="1">
      <c r="A14" s="12">
        <v>1998</v>
      </c>
      <c r="B14" s="12">
        <v>722</v>
      </c>
      <c r="C14" s="12">
        <v>276</v>
      </c>
      <c r="D14" s="12">
        <v>276</v>
      </c>
      <c r="E14" s="12">
        <v>256</v>
      </c>
      <c r="F14" s="12">
        <v>9</v>
      </c>
      <c r="G14" s="12">
        <v>11</v>
      </c>
      <c r="H14" s="12">
        <v>82</v>
      </c>
      <c r="I14" s="12">
        <v>82</v>
      </c>
      <c r="J14" s="12">
        <v>27</v>
      </c>
      <c r="K14" s="12">
        <v>3</v>
      </c>
      <c r="L14" s="12">
        <v>37</v>
      </c>
      <c r="M14" s="12">
        <v>10</v>
      </c>
      <c r="N14" s="12">
        <v>5</v>
      </c>
      <c r="O14" s="12">
        <v>364</v>
      </c>
      <c r="P14" s="12">
        <v>213</v>
      </c>
      <c r="Q14" s="12">
        <v>119</v>
      </c>
      <c r="R14" s="12">
        <v>94</v>
      </c>
      <c r="S14" s="12">
        <v>58</v>
      </c>
      <c r="T14" s="12">
        <v>58</v>
      </c>
      <c r="U14" s="12">
        <v>93</v>
      </c>
      <c r="V14" s="12">
        <v>4</v>
      </c>
      <c r="W14" s="12">
        <v>32</v>
      </c>
      <c r="X14" s="12">
        <v>57</v>
      </c>
    </row>
    <row r="15" spans="1:24" s="12" customFormat="1">
      <c r="A15" s="12">
        <v>1999</v>
      </c>
      <c r="B15" s="12">
        <v>702</v>
      </c>
      <c r="C15" s="12">
        <v>272</v>
      </c>
      <c r="D15" s="12">
        <v>272</v>
      </c>
      <c r="E15" s="12">
        <v>254</v>
      </c>
      <c r="F15" s="12">
        <v>7</v>
      </c>
      <c r="G15" s="12">
        <v>11</v>
      </c>
      <c r="H15" s="12">
        <v>88</v>
      </c>
      <c r="I15" s="12">
        <v>88</v>
      </c>
      <c r="J15" s="12">
        <v>29</v>
      </c>
      <c r="K15" s="12">
        <v>2</v>
      </c>
      <c r="L15" s="12">
        <v>37</v>
      </c>
      <c r="M15" s="12">
        <v>15</v>
      </c>
      <c r="N15" s="12">
        <v>5</v>
      </c>
      <c r="O15" s="12">
        <v>342</v>
      </c>
      <c r="P15" s="12">
        <v>204</v>
      </c>
      <c r="Q15" s="12">
        <v>104</v>
      </c>
      <c r="R15" s="12">
        <v>100</v>
      </c>
      <c r="S15" s="12">
        <v>49</v>
      </c>
      <c r="T15" s="12">
        <v>49</v>
      </c>
      <c r="U15" s="12">
        <v>89</v>
      </c>
      <c r="V15" s="12">
        <v>3</v>
      </c>
      <c r="W15" s="12">
        <v>30</v>
      </c>
      <c r="X15" s="12">
        <v>56</v>
      </c>
    </row>
    <row r="16" spans="1:24" s="12" customFormat="1">
      <c r="A16" s="12">
        <v>2000</v>
      </c>
      <c r="B16" s="12">
        <v>1123</v>
      </c>
      <c r="C16" s="12">
        <v>400</v>
      </c>
      <c r="D16" s="12">
        <v>400</v>
      </c>
      <c r="E16" s="12">
        <v>367</v>
      </c>
      <c r="F16" s="12">
        <v>17</v>
      </c>
      <c r="G16" s="12">
        <v>16</v>
      </c>
      <c r="H16" s="12">
        <v>122</v>
      </c>
      <c r="I16" s="12">
        <v>122</v>
      </c>
      <c r="J16" s="12">
        <v>42</v>
      </c>
      <c r="K16" s="12">
        <v>9</v>
      </c>
      <c r="L16" s="12">
        <v>47</v>
      </c>
      <c r="M16" s="12">
        <v>19</v>
      </c>
      <c r="N16" s="12">
        <v>5</v>
      </c>
      <c r="O16" s="12">
        <v>601</v>
      </c>
      <c r="P16" s="12">
        <v>349</v>
      </c>
      <c r="Q16" s="12">
        <v>167</v>
      </c>
      <c r="R16" s="12">
        <v>182</v>
      </c>
      <c r="S16" s="12">
        <v>97</v>
      </c>
      <c r="T16" s="12">
        <v>97</v>
      </c>
      <c r="U16" s="12">
        <v>155</v>
      </c>
      <c r="V16" s="12">
        <v>3</v>
      </c>
      <c r="W16" s="12">
        <v>50</v>
      </c>
      <c r="X16" s="12">
        <v>102</v>
      </c>
    </row>
    <row r="17" spans="1:24" s="12" customFormat="1">
      <c r="A17" s="12">
        <v>2001</v>
      </c>
      <c r="B17" s="12">
        <v>1129</v>
      </c>
      <c r="C17" s="12">
        <v>385</v>
      </c>
      <c r="D17" s="12">
        <v>385</v>
      </c>
      <c r="E17" s="12">
        <v>351</v>
      </c>
      <c r="F17" s="12">
        <v>16</v>
      </c>
      <c r="G17" s="12">
        <v>18</v>
      </c>
      <c r="H17" s="12">
        <v>124</v>
      </c>
      <c r="I17" s="12">
        <v>124</v>
      </c>
      <c r="J17" s="12">
        <v>41</v>
      </c>
      <c r="K17" s="12">
        <v>9</v>
      </c>
      <c r="L17" s="12">
        <v>49</v>
      </c>
      <c r="M17" s="12">
        <v>20</v>
      </c>
      <c r="N17" s="12">
        <v>5</v>
      </c>
      <c r="O17" s="12">
        <v>620</v>
      </c>
      <c r="P17" s="12">
        <v>359</v>
      </c>
      <c r="Q17" s="12">
        <v>162</v>
      </c>
      <c r="R17" s="12">
        <v>197</v>
      </c>
      <c r="S17" s="12">
        <v>100</v>
      </c>
      <c r="T17" s="12">
        <v>100</v>
      </c>
      <c r="U17" s="12">
        <v>161</v>
      </c>
      <c r="V17" s="12">
        <v>4</v>
      </c>
      <c r="W17" s="12">
        <v>53</v>
      </c>
      <c r="X17" s="12">
        <v>104</v>
      </c>
    </row>
    <row r="18" spans="1:24" s="12" customFormat="1">
      <c r="A18" s="12">
        <v>2002</v>
      </c>
      <c r="B18" s="12">
        <v>1151</v>
      </c>
      <c r="C18" s="12">
        <v>397</v>
      </c>
      <c r="D18" s="12">
        <v>397</v>
      </c>
      <c r="E18" s="12">
        <v>361</v>
      </c>
      <c r="F18" s="12">
        <v>17</v>
      </c>
      <c r="G18" s="12">
        <v>19</v>
      </c>
      <c r="H18" s="12">
        <v>128</v>
      </c>
      <c r="I18" s="12">
        <v>128</v>
      </c>
      <c r="J18" s="12">
        <v>43</v>
      </c>
      <c r="K18" s="12">
        <v>11</v>
      </c>
      <c r="L18" s="12">
        <v>51</v>
      </c>
      <c r="M18" s="12">
        <v>18</v>
      </c>
      <c r="N18" s="12">
        <v>5</v>
      </c>
      <c r="O18" s="12">
        <v>626</v>
      </c>
      <c r="P18" s="12">
        <v>364</v>
      </c>
      <c r="Q18" s="12">
        <v>160</v>
      </c>
      <c r="R18" s="12">
        <v>204</v>
      </c>
      <c r="S18" s="12">
        <v>109</v>
      </c>
      <c r="T18" s="12">
        <v>109</v>
      </c>
      <c r="U18" s="12">
        <v>153</v>
      </c>
      <c r="V18" s="12">
        <v>4</v>
      </c>
      <c r="W18" s="12">
        <v>50</v>
      </c>
      <c r="X18" s="12">
        <v>99</v>
      </c>
    </row>
    <row r="19" spans="1:24" s="12" customFormat="1" ht="15.75" thickBot="1">
      <c r="A19" s="88">
        <v>2003</v>
      </c>
      <c r="B19" s="88">
        <v>1131</v>
      </c>
      <c r="C19" s="88">
        <v>383</v>
      </c>
      <c r="D19" s="88">
        <v>383</v>
      </c>
      <c r="E19" s="88">
        <v>348</v>
      </c>
      <c r="F19" s="88">
        <v>16</v>
      </c>
      <c r="G19" s="88">
        <v>19</v>
      </c>
      <c r="H19" s="88">
        <v>130</v>
      </c>
      <c r="I19" s="88">
        <v>130</v>
      </c>
      <c r="J19" s="88">
        <v>43</v>
      </c>
      <c r="K19" s="88">
        <v>7</v>
      </c>
      <c r="L19" s="88">
        <v>57</v>
      </c>
      <c r="M19" s="88">
        <v>18</v>
      </c>
      <c r="N19" s="88">
        <v>5</v>
      </c>
      <c r="O19" s="88">
        <v>618</v>
      </c>
      <c r="P19" s="88">
        <v>360</v>
      </c>
      <c r="Q19" s="88">
        <v>156</v>
      </c>
      <c r="R19" s="88">
        <v>204</v>
      </c>
      <c r="S19" s="88">
        <v>102</v>
      </c>
      <c r="T19" s="88">
        <v>102</v>
      </c>
      <c r="U19" s="88">
        <v>156</v>
      </c>
      <c r="V19" s="88">
        <v>3</v>
      </c>
      <c r="W19" s="88">
        <v>47</v>
      </c>
      <c r="X19" s="88">
        <v>106</v>
      </c>
    </row>
    <row r="20" spans="1:24" s="12" customFormat="1">
      <c r="A20" s="12">
        <v>2004</v>
      </c>
      <c r="B20" s="12">
        <v>1770</v>
      </c>
      <c r="C20" s="12">
        <v>599</v>
      </c>
      <c r="D20" s="12">
        <v>599</v>
      </c>
      <c r="E20" s="12">
        <v>557</v>
      </c>
      <c r="F20" s="12">
        <v>20</v>
      </c>
      <c r="G20" s="12">
        <v>22</v>
      </c>
      <c r="H20" s="12">
        <v>147</v>
      </c>
      <c r="I20" s="12">
        <v>147</v>
      </c>
      <c r="J20" s="12">
        <v>44</v>
      </c>
      <c r="K20" s="12">
        <v>10</v>
      </c>
      <c r="L20" s="12">
        <v>63</v>
      </c>
      <c r="M20" s="12">
        <v>22</v>
      </c>
      <c r="N20" s="12">
        <v>8</v>
      </c>
      <c r="O20" s="12">
        <v>1024</v>
      </c>
      <c r="P20" s="12">
        <v>531</v>
      </c>
      <c r="Q20" s="12">
        <v>185</v>
      </c>
      <c r="R20" s="12">
        <v>346</v>
      </c>
      <c r="S20" s="12">
        <v>264</v>
      </c>
      <c r="T20" s="12">
        <v>264</v>
      </c>
      <c r="U20" s="12">
        <v>229</v>
      </c>
      <c r="V20" s="12">
        <v>4</v>
      </c>
      <c r="W20" s="12">
        <v>67</v>
      </c>
      <c r="X20" s="12">
        <v>158</v>
      </c>
    </row>
    <row r="21" spans="1:24" s="12" customFormat="1">
      <c r="A21" s="12">
        <v>2005</v>
      </c>
      <c r="B21" s="12">
        <v>1522</v>
      </c>
      <c r="C21" s="12">
        <v>532</v>
      </c>
      <c r="D21" s="12">
        <v>532</v>
      </c>
      <c r="E21" s="12">
        <v>491</v>
      </c>
      <c r="F21" s="12">
        <v>20</v>
      </c>
      <c r="G21" s="12">
        <v>21</v>
      </c>
      <c r="H21" s="12">
        <v>151</v>
      </c>
      <c r="I21" s="12">
        <v>151</v>
      </c>
      <c r="J21" s="12">
        <v>45</v>
      </c>
      <c r="K21" s="12">
        <v>9</v>
      </c>
      <c r="L21" s="12">
        <v>69</v>
      </c>
      <c r="M21" s="12" t="s">
        <v>9</v>
      </c>
      <c r="N21" s="12" t="s">
        <v>9</v>
      </c>
      <c r="O21" s="12">
        <v>839</v>
      </c>
      <c r="P21" s="12">
        <v>455</v>
      </c>
      <c r="Q21" s="12">
        <v>173</v>
      </c>
      <c r="R21" s="12">
        <v>282</v>
      </c>
      <c r="S21" s="12">
        <v>143</v>
      </c>
      <c r="T21" s="12">
        <v>143</v>
      </c>
      <c r="U21" s="12">
        <v>241</v>
      </c>
      <c r="V21" s="12">
        <v>5</v>
      </c>
      <c r="W21" s="12">
        <v>64</v>
      </c>
      <c r="X21" s="12">
        <v>172</v>
      </c>
    </row>
    <row r="22" spans="1:24" s="12" customFormat="1">
      <c r="A22" s="12">
        <v>2006</v>
      </c>
      <c r="B22" s="12">
        <v>1590</v>
      </c>
      <c r="C22" s="12">
        <v>522</v>
      </c>
      <c r="D22" s="12">
        <v>522</v>
      </c>
      <c r="E22" s="12">
        <v>485</v>
      </c>
      <c r="F22" s="12">
        <v>17</v>
      </c>
      <c r="G22" s="12">
        <v>20</v>
      </c>
      <c r="H22" s="12">
        <v>160</v>
      </c>
      <c r="I22" s="12">
        <v>160</v>
      </c>
      <c r="J22" s="12">
        <v>42</v>
      </c>
      <c r="K22" s="12">
        <v>9</v>
      </c>
      <c r="L22" s="12">
        <v>80</v>
      </c>
      <c r="M22" s="12">
        <v>21</v>
      </c>
      <c r="N22" s="12">
        <v>8</v>
      </c>
      <c r="O22" s="12">
        <v>908</v>
      </c>
      <c r="P22" s="12">
        <v>469</v>
      </c>
      <c r="Q22" s="12">
        <v>174</v>
      </c>
      <c r="R22" s="12">
        <v>295</v>
      </c>
      <c r="S22" s="12">
        <v>146</v>
      </c>
      <c r="T22" s="12">
        <v>146</v>
      </c>
      <c r="U22" s="12">
        <v>293</v>
      </c>
      <c r="V22" s="12">
        <v>5</v>
      </c>
      <c r="W22" s="12">
        <v>62</v>
      </c>
      <c r="X22" s="12">
        <v>226</v>
      </c>
    </row>
    <row r="23" spans="1:24" s="12" customFormat="1">
      <c r="A23" s="12">
        <v>2007</v>
      </c>
      <c r="B23" s="12">
        <v>1575</v>
      </c>
      <c r="C23" s="12">
        <v>497</v>
      </c>
      <c r="D23" s="12">
        <v>497</v>
      </c>
      <c r="E23" s="12">
        <v>462</v>
      </c>
      <c r="F23" s="12">
        <v>16</v>
      </c>
      <c r="G23" s="12">
        <v>19</v>
      </c>
      <c r="H23" s="12">
        <v>154</v>
      </c>
      <c r="I23" s="12">
        <v>154</v>
      </c>
      <c r="J23" s="12">
        <v>39</v>
      </c>
      <c r="K23" s="12">
        <v>8</v>
      </c>
      <c r="L23" s="12">
        <v>75</v>
      </c>
      <c r="M23" s="12">
        <v>25</v>
      </c>
      <c r="N23" s="12">
        <v>7</v>
      </c>
      <c r="O23" s="12">
        <v>924</v>
      </c>
      <c r="P23" s="12">
        <v>466</v>
      </c>
      <c r="Q23" s="12">
        <v>165</v>
      </c>
      <c r="R23" s="12">
        <v>301</v>
      </c>
      <c r="S23" s="12">
        <v>158</v>
      </c>
      <c r="T23" s="12">
        <v>158</v>
      </c>
      <c r="U23" s="12">
        <v>300</v>
      </c>
      <c r="V23" s="12">
        <v>9</v>
      </c>
      <c r="W23" s="12">
        <v>73</v>
      </c>
      <c r="X23" s="12">
        <v>218</v>
      </c>
    </row>
    <row r="24" spans="1:24" s="12" customFormat="1">
      <c r="A24" s="12">
        <v>2008</v>
      </c>
      <c r="B24" s="12">
        <v>1519</v>
      </c>
      <c r="C24" s="12">
        <v>472</v>
      </c>
      <c r="D24" s="12">
        <v>472</v>
      </c>
      <c r="E24" s="12">
        <v>433</v>
      </c>
      <c r="F24" s="12">
        <v>17</v>
      </c>
      <c r="G24" s="12">
        <v>22</v>
      </c>
      <c r="H24" s="12">
        <v>137</v>
      </c>
      <c r="I24" s="12">
        <v>137</v>
      </c>
      <c r="J24" s="12">
        <v>32</v>
      </c>
      <c r="K24" s="12">
        <v>9</v>
      </c>
      <c r="L24" s="12">
        <v>69</v>
      </c>
      <c r="M24" s="12">
        <v>20</v>
      </c>
      <c r="N24" s="12">
        <v>7</v>
      </c>
      <c r="O24" s="12">
        <v>910</v>
      </c>
      <c r="P24" s="12">
        <v>454</v>
      </c>
      <c r="Q24" s="12">
        <v>162</v>
      </c>
      <c r="R24" s="12">
        <v>292</v>
      </c>
      <c r="S24" s="12">
        <v>151</v>
      </c>
      <c r="T24" s="12">
        <v>151</v>
      </c>
      <c r="U24" s="12">
        <v>305</v>
      </c>
      <c r="V24" s="12">
        <v>9</v>
      </c>
      <c r="W24" s="12">
        <v>71</v>
      </c>
      <c r="X24" s="12">
        <v>225</v>
      </c>
    </row>
    <row r="25" spans="1:24" s="12" customFormat="1">
      <c r="A25" s="12">
        <v>2009</v>
      </c>
      <c r="B25" s="12">
        <v>1492</v>
      </c>
      <c r="C25" s="12">
        <v>461</v>
      </c>
      <c r="D25" s="12">
        <v>461</v>
      </c>
      <c r="E25" s="12">
        <v>424</v>
      </c>
      <c r="F25" s="12">
        <v>16</v>
      </c>
      <c r="G25" s="12">
        <v>21</v>
      </c>
      <c r="H25" s="12">
        <v>139</v>
      </c>
      <c r="I25" s="12">
        <v>139</v>
      </c>
      <c r="J25" s="12">
        <v>31</v>
      </c>
      <c r="K25" s="12">
        <v>8</v>
      </c>
      <c r="L25" s="12">
        <v>72</v>
      </c>
      <c r="M25" s="12">
        <v>20</v>
      </c>
      <c r="N25" s="12">
        <v>8</v>
      </c>
      <c r="O25" s="12">
        <v>892</v>
      </c>
      <c r="P25" s="12">
        <v>444</v>
      </c>
      <c r="Q25" s="12">
        <v>157</v>
      </c>
      <c r="R25" s="12">
        <v>287</v>
      </c>
      <c r="S25" s="12">
        <v>146</v>
      </c>
      <c r="T25" s="12">
        <v>146</v>
      </c>
      <c r="U25" s="12">
        <v>302</v>
      </c>
      <c r="V25" s="12">
        <v>8</v>
      </c>
      <c r="W25" s="12">
        <v>72</v>
      </c>
      <c r="X25" s="12">
        <v>222</v>
      </c>
    </row>
    <row r="26" spans="1:24" s="12" customFormat="1">
      <c r="A26" s="12">
        <v>2010</v>
      </c>
      <c r="B26" s="12">
        <v>1490</v>
      </c>
      <c r="C26" s="12">
        <v>447</v>
      </c>
      <c r="D26" s="12">
        <v>447</v>
      </c>
      <c r="E26" s="12">
        <v>408</v>
      </c>
      <c r="F26" s="12">
        <v>17</v>
      </c>
      <c r="G26" s="12">
        <v>22</v>
      </c>
      <c r="H26" s="12">
        <v>140</v>
      </c>
      <c r="I26" s="12">
        <v>140</v>
      </c>
      <c r="J26" s="12">
        <v>32</v>
      </c>
      <c r="K26" s="12">
        <v>9</v>
      </c>
      <c r="L26" s="12">
        <v>71</v>
      </c>
      <c r="M26" s="12">
        <v>21</v>
      </c>
      <c r="N26" s="12">
        <v>7</v>
      </c>
      <c r="O26" s="12">
        <v>903</v>
      </c>
      <c r="P26" s="12">
        <v>453</v>
      </c>
      <c r="Q26" s="12">
        <v>152</v>
      </c>
      <c r="R26" s="12">
        <v>301</v>
      </c>
      <c r="S26" s="12">
        <v>148</v>
      </c>
      <c r="T26" s="12">
        <v>148</v>
      </c>
      <c r="U26" s="12">
        <v>302</v>
      </c>
      <c r="V26" s="12">
        <v>7</v>
      </c>
      <c r="W26" s="12">
        <v>69</v>
      </c>
      <c r="X26" s="12">
        <v>226</v>
      </c>
    </row>
    <row r="28" spans="1:24">
      <c r="A28" s="237" t="s">
        <v>39</v>
      </c>
      <c r="B28" s="237"/>
    </row>
    <row r="29" spans="1:24">
      <c r="A29" s="237" t="s">
        <v>76</v>
      </c>
      <c r="B29" s="237" t="s">
        <v>77</v>
      </c>
    </row>
    <row r="30" spans="1:24">
      <c r="A30" s="237" t="s">
        <v>9</v>
      </c>
      <c r="B30" s="237" t="s">
        <v>42</v>
      </c>
    </row>
    <row r="31" spans="1:24">
      <c r="A31" s="237" t="s">
        <v>10</v>
      </c>
      <c r="B31" s="237" t="s">
        <v>43</v>
      </c>
    </row>
    <row r="32" spans="1:24">
      <c r="A32" s="237" t="s">
        <v>40</v>
      </c>
      <c r="B32" s="237"/>
    </row>
    <row r="33" spans="1:2">
      <c r="A33" s="231" t="s">
        <v>322</v>
      </c>
      <c r="B33" s="233"/>
    </row>
    <row r="34" spans="1:2">
      <c r="A34" s="231" t="s">
        <v>144</v>
      </c>
      <c r="B34" s="238"/>
    </row>
    <row r="35" spans="1:2">
      <c r="A35" s="259" t="s">
        <v>371</v>
      </c>
      <c r="B35" s="108"/>
    </row>
    <row r="36" spans="1:2">
      <c r="A36" s="108"/>
      <c r="B36" s="108"/>
    </row>
  </sheetData>
  <mergeCells count="14">
    <mergeCell ref="A1:X1"/>
    <mergeCell ref="I4:N4"/>
    <mergeCell ref="O4:O5"/>
    <mergeCell ref="P4:R4"/>
    <mergeCell ref="S4:T4"/>
    <mergeCell ref="U4:X4"/>
    <mergeCell ref="B2:X2"/>
    <mergeCell ref="B3:B5"/>
    <mergeCell ref="C3:G3"/>
    <mergeCell ref="H3:N3"/>
    <mergeCell ref="O3:X3"/>
    <mergeCell ref="C4:C5"/>
    <mergeCell ref="D4:G4"/>
    <mergeCell ref="H4:H5"/>
  </mergeCells>
  <printOptions gridLines="1"/>
  <pageMargins left="0.70866141732283472" right="0.70866141732283472" top="0.74803149606299213" bottom="0.74803149606299213" header="0.31496062992125984" footer="0.31496062992125984"/>
  <pageSetup scale="44" fitToHeight="0" orientation="landscape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35"/>
  <sheetViews>
    <sheetView view="pageBreakPreview" topLeftCell="A7" zoomScaleNormal="100" zoomScaleSheetLayoutView="100" workbookViewId="0">
      <selection activeCell="C24" sqref="C24"/>
    </sheetView>
  </sheetViews>
  <sheetFormatPr defaultRowHeight="15"/>
  <cols>
    <col min="1" max="16384" width="9.140625" style="108"/>
  </cols>
  <sheetData>
    <row r="1" spans="1:24" ht="15" customHeight="1">
      <c r="A1" s="466" t="s">
        <v>327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</row>
    <row r="2" spans="1:24" ht="15" customHeight="1">
      <c r="A2" s="111"/>
      <c r="B2" s="466" t="s">
        <v>87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</row>
    <row r="3" spans="1:24" ht="15" customHeight="1">
      <c r="A3" s="112"/>
      <c r="B3" s="113"/>
      <c r="C3" s="466" t="s">
        <v>36</v>
      </c>
      <c r="D3" s="466"/>
      <c r="E3" s="466"/>
      <c r="F3" s="466"/>
      <c r="G3" s="466"/>
      <c r="H3" s="466" t="s">
        <v>37</v>
      </c>
      <c r="I3" s="466"/>
      <c r="J3" s="466"/>
      <c r="K3" s="466"/>
      <c r="L3" s="466"/>
      <c r="M3" s="466"/>
      <c r="N3" s="466"/>
      <c r="O3" s="466" t="s">
        <v>38</v>
      </c>
      <c r="P3" s="466"/>
      <c r="Q3" s="466"/>
      <c r="R3" s="466"/>
      <c r="S3" s="466"/>
      <c r="T3" s="466"/>
      <c r="U3" s="466"/>
      <c r="V3" s="466"/>
      <c r="W3" s="466"/>
      <c r="X3" s="466"/>
    </row>
    <row r="4" spans="1:24" ht="68.25" customHeight="1">
      <c r="A4" s="112"/>
      <c r="B4" s="113"/>
      <c r="C4" s="113"/>
      <c r="D4" s="466" t="s">
        <v>92</v>
      </c>
      <c r="E4" s="466"/>
      <c r="F4" s="466"/>
      <c r="G4" s="466"/>
      <c r="H4" s="113"/>
      <c r="I4" s="466" t="s">
        <v>93</v>
      </c>
      <c r="J4" s="466"/>
      <c r="K4" s="466"/>
      <c r="L4" s="466"/>
      <c r="M4" s="466"/>
      <c r="N4" s="466"/>
      <c r="O4" s="113"/>
      <c r="P4" s="466" t="s">
        <v>94</v>
      </c>
      <c r="Q4" s="466"/>
      <c r="R4" s="466"/>
      <c r="S4" s="466" t="s">
        <v>95</v>
      </c>
      <c r="T4" s="466"/>
      <c r="U4" s="466" t="s">
        <v>96</v>
      </c>
      <c r="V4" s="466"/>
      <c r="W4" s="466"/>
      <c r="X4" s="466"/>
    </row>
    <row r="5" spans="1:24" ht="120">
      <c r="A5" s="112"/>
      <c r="B5" s="112" t="s">
        <v>89</v>
      </c>
      <c r="C5" s="112" t="s">
        <v>89</v>
      </c>
      <c r="D5" s="112" t="s">
        <v>89</v>
      </c>
      <c r="E5" s="112" t="s">
        <v>104</v>
      </c>
      <c r="F5" s="112" t="s">
        <v>105</v>
      </c>
      <c r="G5" s="112" t="s">
        <v>106</v>
      </c>
      <c r="H5" s="112" t="s">
        <v>89</v>
      </c>
      <c r="I5" s="112" t="s">
        <v>89</v>
      </c>
      <c r="J5" s="112" t="s">
        <v>107</v>
      </c>
      <c r="K5" s="112" t="s">
        <v>108</v>
      </c>
      <c r="L5" s="112" t="s">
        <v>109</v>
      </c>
      <c r="M5" s="112" t="s">
        <v>110</v>
      </c>
      <c r="N5" s="112" t="s">
        <v>111</v>
      </c>
      <c r="O5" s="112" t="s">
        <v>89</v>
      </c>
      <c r="P5" s="112" t="s">
        <v>89</v>
      </c>
      <c r="Q5" s="112" t="s">
        <v>112</v>
      </c>
      <c r="R5" s="112" t="s">
        <v>113</v>
      </c>
      <c r="S5" s="112" t="s">
        <v>89</v>
      </c>
      <c r="T5" s="112" t="s">
        <v>114</v>
      </c>
      <c r="U5" s="112" t="s">
        <v>89</v>
      </c>
      <c r="V5" s="112" t="s">
        <v>115</v>
      </c>
      <c r="W5" s="112" t="s">
        <v>116</v>
      </c>
      <c r="X5" s="112" t="s">
        <v>117</v>
      </c>
    </row>
    <row r="6" spans="1:24" s="12" customFormat="1">
      <c r="A6" s="12">
        <v>1990</v>
      </c>
      <c r="B6" s="12" t="s">
        <v>9</v>
      </c>
      <c r="C6" s="12" t="s">
        <v>9</v>
      </c>
      <c r="D6" s="12" t="s">
        <v>9</v>
      </c>
      <c r="E6" s="12" t="s">
        <v>9</v>
      </c>
      <c r="F6" s="12" t="s">
        <v>9</v>
      </c>
      <c r="G6" s="12" t="s">
        <v>9</v>
      </c>
      <c r="H6" s="12" t="s">
        <v>9</v>
      </c>
      <c r="I6" s="12" t="s">
        <v>9</v>
      </c>
      <c r="J6" s="12" t="s">
        <v>9</v>
      </c>
      <c r="K6" s="12" t="s">
        <v>9</v>
      </c>
      <c r="L6" s="12" t="s">
        <v>9</v>
      </c>
      <c r="M6" s="12" t="s">
        <v>9</v>
      </c>
      <c r="N6" s="12" t="s">
        <v>9</v>
      </c>
      <c r="O6" s="12" t="s">
        <v>9</v>
      </c>
      <c r="P6" s="12" t="s">
        <v>9</v>
      </c>
      <c r="Q6" s="12" t="s">
        <v>9</v>
      </c>
      <c r="R6" s="12" t="s">
        <v>9</v>
      </c>
      <c r="S6" s="12" t="s">
        <v>9</v>
      </c>
      <c r="T6" s="12" t="s">
        <v>9</v>
      </c>
      <c r="U6" s="12" t="s">
        <v>9</v>
      </c>
      <c r="V6" s="12" t="s">
        <v>9</v>
      </c>
      <c r="W6" s="12" t="s">
        <v>9</v>
      </c>
      <c r="X6" s="12" t="s">
        <v>9</v>
      </c>
    </row>
    <row r="7" spans="1:24" s="12" customFormat="1">
      <c r="A7" s="12">
        <v>1991</v>
      </c>
      <c r="B7" s="12" t="s">
        <v>9</v>
      </c>
      <c r="C7" s="12" t="s">
        <v>9</v>
      </c>
      <c r="D7" s="12" t="s">
        <v>9</v>
      </c>
      <c r="E7" s="12" t="s">
        <v>9</v>
      </c>
      <c r="F7" s="12" t="s">
        <v>9</v>
      </c>
      <c r="G7" s="12" t="s">
        <v>9</v>
      </c>
      <c r="H7" s="12" t="s">
        <v>9</v>
      </c>
      <c r="I7" s="12" t="s">
        <v>9</v>
      </c>
      <c r="J7" s="12" t="s">
        <v>9</v>
      </c>
      <c r="K7" s="12" t="s">
        <v>9</v>
      </c>
      <c r="L7" s="12" t="s">
        <v>9</v>
      </c>
      <c r="M7" s="12" t="s">
        <v>9</v>
      </c>
      <c r="N7" s="12" t="s">
        <v>9</v>
      </c>
      <c r="O7" s="12" t="s">
        <v>9</v>
      </c>
      <c r="P7" s="12" t="s">
        <v>9</v>
      </c>
      <c r="Q7" s="12" t="s">
        <v>9</v>
      </c>
      <c r="R7" s="12" t="s">
        <v>9</v>
      </c>
      <c r="S7" s="12" t="s">
        <v>9</v>
      </c>
      <c r="T7" s="12" t="s">
        <v>9</v>
      </c>
      <c r="U7" s="12" t="s">
        <v>9</v>
      </c>
      <c r="V7" s="12" t="s">
        <v>9</v>
      </c>
      <c r="W7" s="12" t="s">
        <v>9</v>
      </c>
      <c r="X7" s="12" t="s">
        <v>9</v>
      </c>
    </row>
    <row r="8" spans="1:24" s="12" customFormat="1">
      <c r="A8" s="12">
        <v>1992</v>
      </c>
      <c r="B8" s="12" t="s">
        <v>9</v>
      </c>
      <c r="C8" s="12" t="s">
        <v>9</v>
      </c>
      <c r="D8" s="12" t="s">
        <v>9</v>
      </c>
      <c r="E8" s="12" t="s">
        <v>9</v>
      </c>
      <c r="F8" s="12" t="s">
        <v>10</v>
      </c>
      <c r="G8" s="12" t="s">
        <v>9</v>
      </c>
      <c r="H8" s="12" t="s">
        <v>9</v>
      </c>
      <c r="I8" s="12" t="s">
        <v>9</v>
      </c>
      <c r="J8" s="12" t="s">
        <v>9</v>
      </c>
      <c r="K8" s="12" t="s">
        <v>10</v>
      </c>
      <c r="L8" s="12" t="s">
        <v>9</v>
      </c>
      <c r="M8" s="12" t="s">
        <v>9</v>
      </c>
      <c r="N8" s="12" t="s">
        <v>9</v>
      </c>
      <c r="O8" s="12" t="s">
        <v>9</v>
      </c>
      <c r="P8" s="12" t="s">
        <v>9</v>
      </c>
      <c r="Q8" s="12" t="s">
        <v>9</v>
      </c>
      <c r="R8" s="12" t="s">
        <v>9</v>
      </c>
      <c r="S8" s="12" t="s">
        <v>9</v>
      </c>
      <c r="T8" s="12" t="s">
        <v>9</v>
      </c>
      <c r="U8" s="12" t="s">
        <v>9</v>
      </c>
      <c r="V8" s="12" t="s">
        <v>9</v>
      </c>
      <c r="W8" s="12" t="s">
        <v>9</v>
      </c>
      <c r="X8" s="12" t="s">
        <v>9</v>
      </c>
    </row>
    <row r="9" spans="1:24" s="12" customFormat="1">
      <c r="A9" s="12">
        <v>1993</v>
      </c>
      <c r="B9" s="12" t="s">
        <v>9</v>
      </c>
      <c r="C9" s="12" t="s">
        <v>9</v>
      </c>
      <c r="D9" s="12" t="s">
        <v>9</v>
      </c>
      <c r="E9" s="12" t="s">
        <v>9</v>
      </c>
      <c r="F9" s="12" t="s">
        <v>10</v>
      </c>
      <c r="G9" s="12" t="s">
        <v>9</v>
      </c>
      <c r="H9" s="12" t="s">
        <v>9</v>
      </c>
      <c r="I9" s="12" t="s">
        <v>9</v>
      </c>
      <c r="J9" s="12" t="s">
        <v>9</v>
      </c>
      <c r="K9" s="12" t="s">
        <v>10</v>
      </c>
      <c r="L9" s="12" t="s">
        <v>9</v>
      </c>
      <c r="M9" s="12" t="s">
        <v>9</v>
      </c>
      <c r="N9" s="12" t="s">
        <v>9</v>
      </c>
      <c r="O9" s="12" t="s">
        <v>9</v>
      </c>
      <c r="P9" s="12" t="s">
        <v>9</v>
      </c>
      <c r="Q9" s="12" t="s">
        <v>9</v>
      </c>
      <c r="R9" s="12" t="s">
        <v>9</v>
      </c>
      <c r="S9" s="12" t="s">
        <v>9</v>
      </c>
      <c r="T9" s="12" t="s">
        <v>9</v>
      </c>
      <c r="U9" s="12" t="s">
        <v>9</v>
      </c>
      <c r="V9" s="12" t="s">
        <v>9</v>
      </c>
      <c r="W9" s="12" t="s">
        <v>9</v>
      </c>
      <c r="X9" s="12" t="s">
        <v>9</v>
      </c>
    </row>
    <row r="10" spans="1:24" s="12" customFormat="1">
      <c r="A10" s="12">
        <v>1994</v>
      </c>
      <c r="B10" s="12" t="s">
        <v>9</v>
      </c>
      <c r="C10" s="12" t="s">
        <v>9</v>
      </c>
      <c r="D10" s="12" t="s">
        <v>9</v>
      </c>
      <c r="E10" s="12" t="s">
        <v>9</v>
      </c>
      <c r="F10" s="12" t="s">
        <v>10</v>
      </c>
      <c r="G10" s="12" t="s">
        <v>9</v>
      </c>
      <c r="H10" s="12" t="s">
        <v>9</v>
      </c>
      <c r="I10" s="12" t="s">
        <v>9</v>
      </c>
      <c r="J10" s="12" t="s">
        <v>9</v>
      </c>
      <c r="K10" s="12" t="s">
        <v>9</v>
      </c>
      <c r="L10" s="12" t="s">
        <v>9</v>
      </c>
      <c r="M10" s="12" t="s">
        <v>9</v>
      </c>
      <c r="N10" s="12" t="s">
        <v>9</v>
      </c>
      <c r="O10" s="12" t="s">
        <v>9</v>
      </c>
      <c r="P10" s="12" t="s">
        <v>9</v>
      </c>
      <c r="Q10" s="12" t="s">
        <v>9</v>
      </c>
      <c r="R10" s="12" t="s">
        <v>9</v>
      </c>
      <c r="S10" s="12" t="s">
        <v>9</v>
      </c>
      <c r="T10" s="12" t="s">
        <v>9</v>
      </c>
      <c r="U10" s="12" t="s">
        <v>9</v>
      </c>
      <c r="V10" s="12" t="s">
        <v>9</v>
      </c>
      <c r="W10" s="12" t="s">
        <v>9</v>
      </c>
      <c r="X10" s="12" t="s">
        <v>9</v>
      </c>
    </row>
    <row r="11" spans="1:24" s="12" customFormat="1">
      <c r="A11" s="12">
        <v>1995</v>
      </c>
      <c r="B11" s="12" t="s">
        <v>9</v>
      </c>
      <c r="C11" s="12" t="s">
        <v>9</v>
      </c>
      <c r="D11" s="12" t="s">
        <v>9</v>
      </c>
      <c r="E11" s="12" t="s">
        <v>9</v>
      </c>
      <c r="F11" s="12" t="s">
        <v>10</v>
      </c>
      <c r="G11" s="12" t="s">
        <v>9</v>
      </c>
      <c r="H11" s="12" t="s">
        <v>9</v>
      </c>
      <c r="I11" s="12" t="s">
        <v>9</v>
      </c>
      <c r="J11" s="12" t="s">
        <v>9</v>
      </c>
      <c r="K11" s="12" t="s">
        <v>9</v>
      </c>
      <c r="L11" s="12" t="s">
        <v>9</v>
      </c>
      <c r="M11" s="12" t="s">
        <v>9</v>
      </c>
      <c r="N11" s="12" t="s">
        <v>9</v>
      </c>
      <c r="O11" s="12" t="s">
        <v>9</v>
      </c>
      <c r="P11" s="12" t="s">
        <v>9</v>
      </c>
      <c r="Q11" s="12" t="s">
        <v>9</v>
      </c>
      <c r="R11" s="12" t="s">
        <v>9</v>
      </c>
      <c r="S11" s="12" t="s">
        <v>9</v>
      </c>
      <c r="T11" s="12" t="s">
        <v>9</v>
      </c>
      <c r="U11" s="12" t="s">
        <v>9</v>
      </c>
      <c r="V11" s="12" t="s">
        <v>9</v>
      </c>
      <c r="W11" s="12" t="s">
        <v>9</v>
      </c>
      <c r="X11" s="12" t="s">
        <v>9</v>
      </c>
    </row>
    <row r="12" spans="1:24" s="12" customFormat="1">
      <c r="A12" s="12">
        <v>1996</v>
      </c>
      <c r="B12" s="12" t="s">
        <v>9</v>
      </c>
      <c r="C12" s="12" t="s">
        <v>9</v>
      </c>
      <c r="D12" s="12" t="s">
        <v>9</v>
      </c>
      <c r="E12" s="12" t="s">
        <v>9</v>
      </c>
      <c r="F12" s="12" t="s">
        <v>10</v>
      </c>
      <c r="G12" s="12" t="s">
        <v>9</v>
      </c>
      <c r="H12" s="12" t="s">
        <v>9</v>
      </c>
      <c r="I12" s="12" t="s">
        <v>9</v>
      </c>
      <c r="J12" s="12" t="s">
        <v>9</v>
      </c>
      <c r="K12" s="12" t="s">
        <v>9</v>
      </c>
      <c r="L12" s="12" t="s">
        <v>9</v>
      </c>
      <c r="M12" s="12" t="s">
        <v>9</v>
      </c>
      <c r="N12" s="12" t="s">
        <v>9</v>
      </c>
      <c r="O12" s="12" t="s">
        <v>9</v>
      </c>
      <c r="P12" s="12" t="s">
        <v>9</v>
      </c>
      <c r="Q12" s="12" t="s">
        <v>9</v>
      </c>
      <c r="R12" s="12" t="s">
        <v>9</v>
      </c>
      <c r="S12" s="12" t="s">
        <v>9</v>
      </c>
      <c r="T12" s="12" t="s">
        <v>9</v>
      </c>
      <c r="U12" s="12" t="s">
        <v>9</v>
      </c>
      <c r="V12" s="12" t="s">
        <v>9</v>
      </c>
      <c r="W12" s="12" t="s">
        <v>9</v>
      </c>
      <c r="X12" s="12" t="s">
        <v>9</v>
      </c>
    </row>
    <row r="13" spans="1:24" s="12" customFormat="1">
      <c r="A13" s="12">
        <v>1997</v>
      </c>
      <c r="B13" s="12" t="s">
        <v>9</v>
      </c>
      <c r="C13" s="12" t="s">
        <v>9</v>
      </c>
      <c r="D13" s="12" t="s">
        <v>9</v>
      </c>
      <c r="E13" s="12" t="s">
        <v>9</v>
      </c>
      <c r="F13" s="12" t="s">
        <v>10</v>
      </c>
      <c r="G13" s="12" t="s">
        <v>9</v>
      </c>
      <c r="H13" s="12" t="s">
        <v>9</v>
      </c>
      <c r="I13" s="12" t="s">
        <v>9</v>
      </c>
      <c r="J13" s="12" t="s">
        <v>9</v>
      </c>
      <c r="K13" s="12" t="s">
        <v>9</v>
      </c>
      <c r="L13" s="12" t="s">
        <v>9</v>
      </c>
      <c r="M13" s="12" t="s">
        <v>9</v>
      </c>
      <c r="N13" s="12" t="s">
        <v>9</v>
      </c>
      <c r="O13" s="12" t="s">
        <v>9</v>
      </c>
      <c r="P13" s="12" t="s">
        <v>9</v>
      </c>
      <c r="Q13" s="12" t="s">
        <v>9</v>
      </c>
      <c r="R13" s="12" t="s">
        <v>9</v>
      </c>
      <c r="S13" s="12" t="s">
        <v>9</v>
      </c>
      <c r="T13" s="12" t="s">
        <v>9</v>
      </c>
      <c r="U13" s="12" t="s">
        <v>9</v>
      </c>
      <c r="V13" s="12" t="s">
        <v>9</v>
      </c>
      <c r="W13" s="12" t="s">
        <v>9</v>
      </c>
      <c r="X13" s="12" t="s">
        <v>9</v>
      </c>
    </row>
    <row r="14" spans="1:24" s="12" customFormat="1">
      <c r="A14" s="12">
        <v>1998</v>
      </c>
      <c r="B14" s="12">
        <v>525</v>
      </c>
      <c r="C14" s="12">
        <v>137</v>
      </c>
      <c r="D14" s="12">
        <v>137</v>
      </c>
      <c r="E14" s="12">
        <v>120</v>
      </c>
      <c r="F14" s="12" t="s">
        <v>10</v>
      </c>
      <c r="G14" s="12">
        <v>17</v>
      </c>
      <c r="H14" s="12">
        <v>58</v>
      </c>
      <c r="I14" s="12">
        <v>58</v>
      </c>
      <c r="J14" s="12">
        <v>17</v>
      </c>
      <c r="K14" s="12">
        <v>3</v>
      </c>
      <c r="L14" s="12">
        <v>20</v>
      </c>
      <c r="M14" s="12">
        <v>13</v>
      </c>
      <c r="N14" s="12">
        <v>5</v>
      </c>
      <c r="O14" s="12">
        <v>330</v>
      </c>
      <c r="P14" s="12">
        <v>178</v>
      </c>
      <c r="Q14" s="12">
        <v>67</v>
      </c>
      <c r="R14" s="12">
        <v>111</v>
      </c>
      <c r="S14" s="12">
        <v>79</v>
      </c>
      <c r="T14" s="12">
        <v>79</v>
      </c>
      <c r="U14" s="12">
        <v>73</v>
      </c>
      <c r="V14" s="12">
        <v>2</v>
      </c>
      <c r="W14" s="12">
        <v>19</v>
      </c>
      <c r="X14" s="12">
        <v>52</v>
      </c>
    </row>
    <row r="15" spans="1:24" s="12" customFormat="1">
      <c r="A15" s="12">
        <v>1999</v>
      </c>
      <c r="B15" s="12">
        <v>475</v>
      </c>
      <c r="C15" s="12">
        <v>120</v>
      </c>
      <c r="D15" s="12">
        <v>120</v>
      </c>
      <c r="E15" s="12">
        <v>106</v>
      </c>
      <c r="F15" s="12" t="s">
        <v>10</v>
      </c>
      <c r="G15" s="12">
        <v>14</v>
      </c>
      <c r="H15" s="12">
        <v>54</v>
      </c>
      <c r="I15" s="12">
        <v>54</v>
      </c>
      <c r="J15" s="12">
        <v>17</v>
      </c>
      <c r="K15" s="12">
        <v>3</v>
      </c>
      <c r="L15" s="12">
        <v>17</v>
      </c>
      <c r="M15" s="12">
        <v>12</v>
      </c>
      <c r="N15" s="12">
        <v>5</v>
      </c>
      <c r="O15" s="12">
        <v>301</v>
      </c>
      <c r="P15" s="12">
        <v>171</v>
      </c>
      <c r="Q15" s="12">
        <v>63</v>
      </c>
      <c r="R15" s="12">
        <v>108</v>
      </c>
      <c r="S15" s="12">
        <v>74</v>
      </c>
      <c r="T15" s="12">
        <v>74</v>
      </c>
      <c r="U15" s="12">
        <v>56</v>
      </c>
      <c r="V15" s="12">
        <v>2</v>
      </c>
      <c r="W15" s="12">
        <v>16</v>
      </c>
      <c r="X15" s="12">
        <v>38</v>
      </c>
    </row>
    <row r="16" spans="1:24" s="12" customFormat="1">
      <c r="A16" s="12">
        <v>2000</v>
      </c>
      <c r="B16" s="12">
        <v>922</v>
      </c>
      <c r="C16" s="12">
        <v>182</v>
      </c>
      <c r="D16" s="12">
        <v>182</v>
      </c>
      <c r="E16" s="12">
        <v>143</v>
      </c>
      <c r="F16" s="12">
        <v>3</v>
      </c>
      <c r="G16" s="12">
        <v>36</v>
      </c>
      <c r="H16" s="12">
        <v>98</v>
      </c>
      <c r="I16" s="12">
        <v>98</v>
      </c>
      <c r="J16" s="12">
        <v>28</v>
      </c>
      <c r="K16" s="12">
        <v>5</v>
      </c>
      <c r="L16" s="12">
        <v>43</v>
      </c>
      <c r="M16" s="12">
        <v>18</v>
      </c>
      <c r="N16" s="12">
        <v>4</v>
      </c>
      <c r="O16" s="12">
        <v>642</v>
      </c>
      <c r="P16" s="12">
        <v>324</v>
      </c>
      <c r="Q16" s="12">
        <v>119</v>
      </c>
      <c r="R16" s="12">
        <v>205</v>
      </c>
      <c r="S16" s="12">
        <v>129</v>
      </c>
      <c r="T16" s="12">
        <v>129</v>
      </c>
      <c r="U16" s="12">
        <v>189</v>
      </c>
      <c r="V16" s="12">
        <v>12</v>
      </c>
      <c r="W16" s="12">
        <v>33</v>
      </c>
      <c r="X16" s="12">
        <v>144</v>
      </c>
    </row>
    <row r="17" spans="1:24" s="12" customFormat="1">
      <c r="A17" s="12">
        <v>2001</v>
      </c>
      <c r="B17" s="12">
        <v>912</v>
      </c>
      <c r="C17" s="12">
        <v>188</v>
      </c>
      <c r="D17" s="12">
        <v>188</v>
      </c>
      <c r="E17" s="12">
        <v>153</v>
      </c>
      <c r="F17" s="12">
        <v>2</v>
      </c>
      <c r="G17" s="12">
        <v>33</v>
      </c>
      <c r="H17" s="12">
        <v>92</v>
      </c>
      <c r="I17" s="12">
        <v>92</v>
      </c>
      <c r="J17" s="12">
        <v>22</v>
      </c>
      <c r="K17" s="12">
        <v>4</v>
      </c>
      <c r="L17" s="12">
        <v>44</v>
      </c>
      <c r="M17" s="12">
        <v>17</v>
      </c>
      <c r="N17" s="12">
        <v>5</v>
      </c>
      <c r="O17" s="12">
        <v>632</v>
      </c>
      <c r="P17" s="12">
        <v>340</v>
      </c>
      <c r="Q17" s="12">
        <v>119</v>
      </c>
      <c r="R17" s="12">
        <v>221</v>
      </c>
      <c r="S17" s="12">
        <v>125</v>
      </c>
      <c r="T17" s="12">
        <v>125</v>
      </c>
      <c r="U17" s="12">
        <v>167</v>
      </c>
      <c r="V17" s="12">
        <v>11</v>
      </c>
      <c r="W17" s="12">
        <v>29</v>
      </c>
      <c r="X17" s="12">
        <v>127</v>
      </c>
    </row>
    <row r="18" spans="1:24" s="12" customFormat="1">
      <c r="A18" s="12">
        <v>2002</v>
      </c>
      <c r="B18" s="12">
        <v>930</v>
      </c>
      <c r="C18" s="12">
        <v>182</v>
      </c>
      <c r="D18" s="12">
        <v>182</v>
      </c>
      <c r="E18" s="12">
        <v>151</v>
      </c>
      <c r="F18" s="12">
        <v>2</v>
      </c>
      <c r="G18" s="12">
        <v>29</v>
      </c>
      <c r="H18" s="12">
        <v>94</v>
      </c>
      <c r="I18" s="12">
        <v>94</v>
      </c>
      <c r="J18" s="12">
        <v>23</v>
      </c>
      <c r="K18" s="12">
        <v>4</v>
      </c>
      <c r="L18" s="12">
        <v>45</v>
      </c>
      <c r="M18" s="12">
        <v>16</v>
      </c>
      <c r="N18" s="12">
        <v>6</v>
      </c>
      <c r="O18" s="12">
        <v>654</v>
      </c>
      <c r="P18" s="12">
        <v>363</v>
      </c>
      <c r="Q18" s="12">
        <v>134</v>
      </c>
      <c r="R18" s="12">
        <v>229</v>
      </c>
      <c r="S18" s="12">
        <v>124</v>
      </c>
      <c r="T18" s="12">
        <v>124</v>
      </c>
      <c r="U18" s="12">
        <v>167</v>
      </c>
      <c r="V18" s="12">
        <v>5</v>
      </c>
      <c r="W18" s="12">
        <v>34</v>
      </c>
      <c r="X18" s="12">
        <v>128</v>
      </c>
    </row>
    <row r="19" spans="1:24" s="12" customFormat="1" ht="15.75" thickBot="1">
      <c r="A19" s="88">
        <v>2003</v>
      </c>
      <c r="B19" s="88">
        <v>940</v>
      </c>
      <c r="C19" s="88">
        <v>176</v>
      </c>
      <c r="D19" s="88">
        <v>176</v>
      </c>
      <c r="E19" s="88">
        <v>144</v>
      </c>
      <c r="F19" s="88">
        <v>2</v>
      </c>
      <c r="G19" s="88">
        <v>30</v>
      </c>
      <c r="H19" s="88">
        <v>91</v>
      </c>
      <c r="I19" s="88">
        <v>91</v>
      </c>
      <c r="J19" s="88">
        <v>21</v>
      </c>
      <c r="K19" s="88">
        <v>4</v>
      </c>
      <c r="L19" s="88">
        <v>48</v>
      </c>
      <c r="M19" s="88">
        <v>12</v>
      </c>
      <c r="N19" s="88">
        <v>6</v>
      </c>
      <c r="O19" s="88">
        <v>673</v>
      </c>
      <c r="P19" s="88">
        <v>376</v>
      </c>
      <c r="Q19" s="88">
        <v>135</v>
      </c>
      <c r="R19" s="88">
        <v>241</v>
      </c>
      <c r="S19" s="88">
        <v>128</v>
      </c>
      <c r="T19" s="88">
        <v>128</v>
      </c>
      <c r="U19" s="88">
        <v>169</v>
      </c>
      <c r="V19" s="88">
        <v>8</v>
      </c>
      <c r="W19" s="88">
        <v>30</v>
      </c>
      <c r="X19" s="88">
        <v>131</v>
      </c>
    </row>
    <row r="20" spans="1:24" s="12" customFormat="1">
      <c r="A20" s="12">
        <v>2004</v>
      </c>
      <c r="B20" s="12">
        <v>1713</v>
      </c>
      <c r="C20" s="12">
        <v>371</v>
      </c>
      <c r="D20" s="12">
        <v>371</v>
      </c>
      <c r="E20" s="12">
        <v>277</v>
      </c>
      <c r="F20" s="12">
        <v>5</v>
      </c>
      <c r="G20" s="12">
        <v>89</v>
      </c>
      <c r="H20" s="12">
        <v>119</v>
      </c>
      <c r="I20" s="12">
        <v>119</v>
      </c>
      <c r="J20" s="12">
        <v>23</v>
      </c>
      <c r="K20" s="12" t="s">
        <v>9</v>
      </c>
      <c r="L20" s="12">
        <v>67</v>
      </c>
      <c r="M20" s="12">
        <v>16</v>
      </c>
      <c r="N20" s="12" t="s">
        <v>9</v>
      </c>
      <c r="O20" s="12">
        <v>1223</v>
      </c>
      <c r="P20" s="12">
        <v>418</v>
      </c>
      <c r="Q20" s="12">
        <v>136</v>
      </c>
      <c r="R20" s="12">
        <v>282</v>
      </c>
      <c r="S20" s="12">
        <v>228</v>
      </c>
      <c r="T20" s="12">
        <v>228</v>
      </c>
      <c r="U20" s="12">
        <v>577</v>
      </c>
      <c r="V20" s="12">
        <v>11</v>
      </c>
      <c r="W20" s="12">
        <v>37</v>
      </c>
      <c r="X20" s="12">
        <v>529</v>
      </c>
    </row>
    <row r="21" spans="1:24" s="12" customFormat="1">
      <c r="A21" s="12">
        <v>2005</v>
      </c>
      <c r="B21" s="12">
        <v>1671</v>
      </c>
      <c r="C21" s="12">
        <v>349</v>
      </c>
      <c r="D21" s="12">
        <v>349</v>
      </c>
      <c r="E21" s="12">
        <v>287</v>
      </c>
      <c r="F21" s="12">
        <v>5</v>
      </c>
      <c r="G21" s="12">
        <v>57</v>
      </c>
      <c r="H21" s="12">
        <v>131</v>
      </c>
      <c r="I21" s="12">
        <v>131</v>
      </c>
      <c r="J21" s="12">
        <v>28</v>
      </c>
      <c r="K21" s="12">
        <v>3</v>
      </c>
      <c r="L21" s="12">
        <v>79</v>
      </c>
      <c r="M21" s="12" t="s">
        <v>9</v>
      </c>
      <c r="N21" s="12" t="s">
        <v>9</v>
      </c>
      <c r="O21" s="12">
        <v>1191</v>
      </c>
      <c r="P21" s="12">
        <v>529</v>
      </c>
      <c r="Q21" s="12">
        <v>151</v>
      </c>
      <c r="R21" s="12">
        <v>378</v>
      </c>
      <c r="S21" s="12">
        <v>215</v>
      </c>
      <c r="T21" s="12">
        <v>215</v>
      </c>
      <c r="U21" s="12">
        <v>447</v>
      </c>
      <c r="V21" s="12">
        <v>15</v>
      </c>
      <c r="W21" s="12">
        <v>40</v>
      </c>
      <c r="X21" s="12">
        <v>392</v>
      </c>
    </row>
    <row r="22" spans="1:24" s="12" customFormat="1">
      <c r="A22" s="12">
        <v>2006</v>
      </c>
      <c r="B22" s="12">
        <v>1595</v>
      </c>
      <c r="C22" s="12">
        <v>325</v>
      </c>
      <c r="D22" s="12">
        <v>325</v>
      </c>
      <c r="E22" s="12">
        <v>271</v>
      </c>
      <c r="F22" s="12">
        <v>6</v>
      </c>
      <c r="G22" s="12">
        <v>48</v>
      </c>
      <c r="H22" s="12">
        <v>135</v>
      </c>
      <c r="I22" s="12">
        <v>135</v>
      </c>
      <c r="J22" s="12">
        <v>30</v>
      </c>
      <c r="K22" s="12">
        <v>3</v>
      </c>
      <c r="L22" s="12">
        <v>86</v>
      </c>
      <c r="M22" s="12">
        <v>11</v>
      </c>
      <c r="N22" s="12">
        <v>5</v>
      </c>
      <c r="O22" s="12">
        <v>1135</v>
      </c>
      <c r="P22" s="12">
        <v>525</v>
      </c>
      <c r="Q22" s="12">
        <v>151</v>
      </c>
      <c r="R22" s="12">
        <v>374</v>
      </c>
      <c r="S22" s="12">
        <v>210</v>
      </c>
      <c r="T22" s="12">
        <v>210</v>
      </c>
      <c r="U22" s="12">
        <v>400</v>
      </c>
      <c r="V22" s="12">
        <v>14</v>
      </c>
      <c r="W22" s="12">
        <v>33</v>
      </c>
      <c r="X22" s="12">
        <v>353</v>
      </c>
    </row>
    <row r="23" spans="1:24" s="12" customFormat="1">
      <c r="A23" s="12">
        <v>2007</v>
      </c>
      <c r="B23" s="12">
        <v>1656</v>
      </c>
      <c r="C23" s="12">
        <v>328</v>
      </c>
      <c r="D23" s="12">
        <v>328</v>
      </c>
      <c r="E23" s="12">
        <v>283</v>
      </c>
      <c r="F23" s="12">
        <v>3</v>
      </c>
      <c r="G23" s="12">
        <v>42</v>
      </c>
      <c r="H23" s="12">
        <v>138</v>
      </c>
      <c r="I23" s="12">
        <v>138</v>
      </c>
      <c r="J23" s="12">
        <v>30</v>
      </c>
      <c r="K23" s="12">
        <v>1</v>
      </c>
      <c r="L23" s="12">
        <v>89</v>
      </c>
      <c r="M23" s="12">
        <v>12</v>
      </c>
      <c r="N23" s="12">
        <v>6</v>
      </c>
      <c r="O23" s="12">
        <v>1190</v>
      </c>
      <c r="P23" s="12">
        <v>533</v>
      </c>
      <c r="Q23" s="12">
        <v>153</v>
      </c>
      <c r="R23" s="12">
        <v>380</v>
      </c>
      <c r="S23" s="12">
        <v>209</v>
      </c>
      <c r="T23" s="12">
        <v>209</v>
      </c>
      <c r="U23" s="12">
        <v>448</v>
      </c>
      <c r="V23" s="12">
        <v>10</v>
      </c>
      <c r="W23" s="12">
        <v>42</v>
      </c>
      <c r="X23" s="12">
        <v>396</v>
      </c>
    </row>
    <row r="24" spans="1:24" s="12" customFormat="1">
      <c r="A24" s="12">
        <v>2008</v>
      </c>
      <c r="B24" s="12">
        <v>1672</v>
      </c>
      <c r="C24" s="12">
        <v>326</v>
      </c>
      <c r="D24" s="12">
        <v>326</v>
      </c>
      <c r="E24" s="12">
        <v>280</v>
      </c>
      <c r="F24" s="12">
        <v>3</v>
      </c>
      <c r="G24" s="12">
        <v>43</v>
      </c>
      <c r="H24" s="12">
        <v>147</v>
      </c>
      <c r="I24" s="12">
        <v>147</v>
      </c>
      <c r="J24" s="12">
        <v>30</v>
      </c>
      <c r="K24" s="12">
        <v>1</v>
      </c>
      <c r="L24" s="12">
        <v>102</v>
      </c>
      <c r="M24" s="12">
        <v>8</v>
      </c>
      <c r="N24" s="12">
        <v>6</v>
      </c>
      <c r="O24" s="12">
        <v>1199</v>
      </c>
      <c r="P24" s="12">
        <v>535</v>
      </c>
      <c r="Q24" s="12">
        <v>150</v>
      </c>
      <c r="R24" s="12">
        <v>385</v>
      </c>
      <c r="S24" s="12">
        <v>201</v>
      </c>
      <c r="T24" s="12">
        <v>201</v>
      </c>
      <c r="U24" s="12">
        <v>463</v>
      </c>
      <c r="V24" s="12">
        <v>13</v>
      </c>
      <c r="W24" s="12">
        <v>41</v>
      </c>
      <c r="X24" s="12">
        <v>409</v>
      </c>
    </row>
    <row r="25" spans="1:24" s="12" customFormat="1">
      <c r="A25" s="12">
        <v>2009</v>
      </c>
      <c r="B25" s="12">
        <v>1619</v>
      </c>
      <c r="C25" s="12">
        <v>317</v>
      </c>
      <c r="D25" s="12">
        <v>317</v>
      </c>
      <c r="E25" s="12">
        <v>273</v>
      </c>
      <c r="F25" s="12">
        <v>3</v>
      </c>
      <c r="G25" s="12">
        <v>41</v>
      </c>
      <c r="H25" s="12">
        <v>134</v>
      </c>
      <c r="I25" s="12">
        <v>134</v>
      </c>
      <c r="J25" s="12">
        <v>30</v>
      </c>
      <c r="K25" s="12">
        <v>1</v>
      </c>
      <c r="L25" s="12">
        <v>92</v>
      </c>
      <c r="M25" s="12">
        <v>6</v>
      </c>
      <c r="N25" s="12">
        <v>5</v>
      </c>
      <c r="O25" s="12">
        <v>1168</v>
      </c>
      <c r="P25" s="12">
        <v>523</v>
      </c>
      <c r="Q25" s="12">
        <v>139</v>
      </c>
      <c r="R25" s="12">
        <v>384</v>
      </c>
      <c r="S25" s="12">
        <v>201</v>
      </c>
      <c r="T25" s="12">
        <v>201</v>
      </c>
      <c r="U25" s="12">
        <v>444</v>
      </c>
      <c r="V25" s="12">
        <v>13</v>
      </c>
      <c r="W25" s="12">
        <v>38</v>
      </c>
      <c r="X25" s="12">
        <v>393</v>
      </c>
    </row>
    <row r="26" spans="1:24" s="12" customFormat="1">
      <c r="A26" s="12">
        <v>2010</v>
      </c>
      <c r="B26" s="12">
        <v>1608</v>
      </c>
      <c r="C26" s="12">
        <v>311</v>
      </c>
      <c r="D26" s="12">
        <v>311</v>
      </c>
      <c r="E26" s="12">
        <v>265</v>
      </c>
      <c r="F26" s="12">
        <v>4</v>
      </c>
      <c r="G26" s="12">
        <v>42</v>
      </c>
      <c r="H26" s="12">
        <v>129</v>
      </c>
      <c r="I26" s="12">
        <v>129</v>
      </c>
      <c r="J26" s="12">
        <v>26</v>
      </c>
      <c r="K26" s="12">
        <v>1</v>
      </c>
      <c r="L26" s="12">
        <v>93</v>
      </c>
      <c r="M26" s="12">
        <v>5</v>
      </c>
      <c r="N26" s="12">
        <v>4</v>
      </c>
      <c r="O26" s="12">
        <v>1168</v>
      </c>
      <c r="P26" s="12">
        <v>537</v>
      </c>
      <c r="Q26" s="12">
        <v>135</v>
      </c>
      <c r="R26" s="12">
        <v>402</v>
      </c>
      <c r="S26" s="12">
        <v>192</v>
      </c>
      <c r="T26" s="12">
        <v>192</v>
      </c>
      <c r="U26" s="12">
        <v>439</v>
      </c>
      <c r="V26" s="12">
        <v>12</v>
      </c>
      <c r="W26" s="12">
        <v>35</v>
      </c>
      <c r="X26" s="12">
        <v>392</v>
      </c>
    </row>
    <row r="27" spans="1:24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</row>
    <row r="28" spans="1:24">
      <c r="A28" s="237" t="s">
        <v>39</v>
      </c>
      <c r="B28" s="237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</row>
    <row r="29" spans="1:24">
      <c r="A29" s="237" t="s">
        <v>76</v>
      </c>
      <c r="B29" s="237" t="s">
        <v>77</v>
      </c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</row>
    <row r="30" spans="1:24">
      <c r="A30" s="237" t="s">
        <v>9</v>
      </c>
      <c r="B30" s="237" t="s">
        <v>42</v>
      </c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</row>
    <row r="31" spans="1:24">
      <c r="A31" s="237" t="s">
        <v>10</v>
      </c>
      <c r="B31" s="237" t="s">
        <v>43</v>
      </c>
    </row>
    <row r="32" spans="1:24">
      <c r="A32" s="237" t="s">
        <v>40</v>
      </c>
      <c r="B32" s="237"/>
    </row>
    <row r="33" spans="1:2">
      <c r="A33" s="231" t="s">
        <v>322</v>
      </c>
      <c r="B33" s="233"/>
    </row>
    <row r="34" spans="1:2">
      <c r="A34" s="231" t="s">
        <v>144</v>
      </c>
      <c r="B34" s="238"/>
    </row>
    <row r="35" spans="1:2">
      <c r="A35" s="259" t="s">
        <v>371</v>
      </c>
      <c r="B35" s="237"/>
    </row>
  </sheetData>
  <mergeCells count="10">
    <mergeCell ref="A1:X1"/>
    <mergeCell ref="B2:X2"/>
    <mergeCell ref="C3:G3"/>
    <mergeCell ref="H3:N3"/>
    <mergeCell ref="O3:X3"/>
    <mergeCell ref="S4:T4"/>
    <mergeCell ref="U4:X4"/>
    <mergeCell ref="P4:R4"/>
    <mergeCell ref="D4:G4"/>
    <mergeCell ref="I4:N4"/>
  </mergeCells>
  <printOptions gridLines="1"/>
  <pageMargins left="0.70866141732283472" right="0.70866141732283472" top="0.74803149606299213" bottom="0.74803149606299213" header="0.31496062992125984" footer="0.31496062992125984"/>
  <pageSetup scale="55" fitToHeight="0" orientation="landscape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view="pageBreakPreview" topLeftCell="A19" zoomScaleNormal="100" zoomScaleSheetLayoutView="100" workbookViewId="0">
      <selection activeCell="C24" sqref="C24"/>
    </sheetView>
  </sheetViews>
  <sheetFormatPr defaultRowHeight="15"/>
  <cols>
    <col min="1" max="16384" width="9.140625" style="125"/>
  </cols>
  <sheetData>
    <row r="1" spans="1:23">
      <c r="A1" s="466" t="s">
        <v>328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</row>
    <row r="2" spans="1:23" ht="15" customHeight="1">
      <c r="B2" s="466" t="s">
        <v>88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</row>
    <row r="3" spans="1:23" ht="15" customHeight="1">
      <c r="A3" s="126"/>
      <c r="B3" s="466" t="s">
        <v>89</v>
      </c>
      <c r="C3" s="466" t="s">
        <v>90</v>
      </c>
      <c r="D3" s="466"/>
      <c r="E3" s="466"/>
      <c r="F3" s="466"/>
      <c r="G3" s="466"/>
      <c r="H3" s="466"/>
      <c r="I3" s="466"/>
      <c r="J3" s="466"/>
      <c r="K3" s="466"/>
      <c r="L3" s="466" t="s">
        <v>91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</row>
    <row r="4" spans="1:23" ht="75" customHeight="1">
      <c r="A4" s="126"/>
      <c r="B4" s="466"/>
      <c r="C4" s="466" t="s">
        <v>89</v>
      </c>
      <c r="D4" s="466" t="s">
        <v>97</v>
      </c>
      <c r="E4" s="466"/>
      <c r="F4" s="466"/>
      <c r="G4" s="466" t="s">
        <v>98</v>
      </c>
      <c r="H4" s="466"/>
      <c r="I4" s="466"/>
      <c r="J4" s="466" t="s">
        <v>99</v>
      </c>
      <c r="K4" s="466"/>
      <c r="L4" s="466" t="s">
        <v>89</v>
      </c>
      <c r="M4" s="466" t="s">
        <v>100</v>
      </c>
      <c r="N4" s="466"/>
      <c r="O4" s="466"/>
      <c r="P4" s="466"/>
      <c r="Q4" s="466" t="s">
        <v>101</v>
      </c>
      <c r="R4" s="466"/>
      <c r="S4" s="466" t="s">
        <v>102</v>
      </c>
      <c r="T4" s="466"/>
      <c r="U4" s="466" t="s">
        <v>103</v>
      </c>
      <c r="V4" s="466"/>
      <c r="W4" s="466"/>
    </row>
    <row r="5" spans="1:23" ht="135">
      <c r="A5" s="126"/>
      <c r="B5" s="466"/>
      <c r="C5" s="466"/>
      <c r="D5" s="127" t="s">
        <v>89</v>
      </c>
      <c r="E5" s="126" t="s">
        <v>118</v>
      </c>
      <c r="F5" s="126" t="s">
        <v>119</v>
      </c>
      <c r="G5" s="126" t="s">
        <v>89</v>
      </c>
      <c r="H5" s="126" t="s">
        <v>120</v>
      </c>
      <c r="I5" s="126" t="s">
        <v>121</v>
      </c>
      <c r="J5" s="126" t="s">
        <v>89</v>
      </c>
      <c r="K5" s="126" t="s">
        <v>122</v>
      </c>
      <c r="L5" s="466"/>
      <c r="M5" s="126" t="s">
        <v>89</v>
      </c>
      <c r="N5" s="126" t="s">
        <v>123</v>
      </c>
      <c r="O5" s="126" t="s">
        <v>124</v>
      </c>
      <c r="P5" s="126" t="s">
        <v>125</v>
      </c>
      <c r="Q5" s="126" t="s">
        <v>89</v>
      </c>
      <c r="R5" s="126" t="s">
        <v>126</v>
      </c>
      <c r="S5" s="126" t="s">
        <v>89</v>
      </c>
      <c r="T5" s="126" t="s">
        <v>127</v>
      </c>
      <c r="U5" s="126" t="s">
        <v>89</v>
      </c>
      <c r="V5" s="126" t="s">
        <v>128</v>
      </c>
      <c r="W5" s="126" t="s">
        <v>129</v>
      </c>
    </row>
    <row r="6" spans="1:23" s="128" customFormat="1">
      <c r="A6" s="128">
        <v>1990</v>
      </c>
      <c r="B6" s="128" t="s">
        <v>9</v>
      </c>
      <c r="C6" s="128" t="s">
        <v>9</v>
      </c>
      <c r="D6" s="128" t="s">
        <v>9</v>
      </c>
      <c r="E6" s="128" t="s">
        <v>9</v>
      </c>
      <c r="F6" s="128" t="s">
        <v>9</v>
      </c>
      <c r="G6" s="128" t="s">
        <v>9</v>
      </c>
      <c r="H6" s="128" t="s">
        <v>9</v>
      </c>
      <c r="I6" s="128" t="s">
        <v>9</v>
      </c>
      <c r="J6" s="128" t="s">
        <v>9</v>
      </c>
      <c r="K6" s="128" t="s">
        <v>9</v>
      </c>
      <c r="L6" s="128" t="s">
        <v>9</v>
      </c>
      <c r="M6" s="128" t="s">
        <v>9</v>
      </c>
      <c r="N6" s="128" t="s">
        <v>9</v>
      </c>
      <c r="O6" s="128" t="s">
        <v>9</v>
      </c>
      <c r="P6" s="128" t="s">
        <v>9</v>
      </c>
      <c r="Q6" s="128" t="s">
        <v>9</v>
      </c>
      <c r="R6" s="128" t="s">
        <v>9</v>
      </c>
      <c r="S6" s="128" t="s">
        <v>9</v>
      </c>
      <c r="T6" s="128" t="s">
        <v>9</v>
      </c>
      <c r="U6" s="128" t="s">
        <v>9</v>
      </c>
      <c r="V6" s="128" t="s">
        <v>9</v>
      </c>
      <c r="W6" s="128" t="s">
        <v>9</v>
      </c>
    </row>
    <row r="7" spans="1:23" s="128" customFormat="1">
      <c r="A7" s="128">
        <v>1991</v>
      </c>
      <c r="B7" s="128" t="s">
        <v>9</v>
      </c>
      <c r="C7" s="128" t="s">
        <v>9</v>
      </c>
      <c r="D7" s="128" t="s">
        <v>9</v>
      </c>
      <c r="E7" s="128" t="s">
        <v>9</v>
      </c>
      <c r="F7" s="128" t="s">
        <v>9</v>
      </c>
      <c r="G7" s="128" t="s">
        <v>9</v>
      </c>
      <c r="H7" s="128" t="s">
        <v>9</v>
      </c>
      <c r="I7" s="128" t="s">
        <v>9</v>
      </c>
      <c r="J7" s="128" t="s">
        <v>9</v>
      </c>
      <c r="K7" s="128" t="s">
        <v>9</v>
      </c>
      <c r="L7" s="128" t="s">
        <v>9</v>
      </c>
      <c r="M7" s="128" t="s">
        <v>9</v>
      </c>
      <c r="N7" s="128" t="s">
        <v>9</v>
      </c>
      <c r="O7" s="128" t="s">
        <v>9</v>
      </c>
      <c r="P7" s="128" t="s">
        <v>9</v>
      </c>
      <c r="Q7" s="128" t="s">
        <v>9</v>
      </c>
      <c r="R7" s="128" t="s">
        <v>9</v>
      </c>
      <c r="S7" s="128" t="s">
        <v>9</v>
      </c>
      <c r="T7" s="128" t="s">
        <v>9</v>
      </c>
      <c r="U7" s="128" t="s">
        <v>9</v>
      </c>
      <c r="V7" s="128" t="s">
        <v>9</v>
      </c>
      <c r="W7" s="128" t="s">
        <v>9</v>
      </c>
    </row>
    <row r="8" spans="1:23" s="128" customFormat="1">
      <c r="A8" s="128">
        <v>1992</v>
      </c>
      <c r="B8" s="128" t="s">
        <v>9</v>
      </c>
      <c r="C8" s="128" t="s">
        <v>9</v>
      </c>
      <c r="D8" s="128" t="s">
        <v>9</v>
      </c>
      <c r="E8" s="128" t="s">
        <v>9</v>
      </c>
      <c r="F8" s="128" t="s">
        <v>9</v>
      </c>
      <c r="G8" s="128" t="s">
        <v>9</v>
      </c>
      <c r="H8" s="128" t="s">
        <v>9</v>
      </c>
      <c r="I8" s="128" t="s">
        <v>9</v>
      </c>
      <c r="J8" s="128" t="s">
        <v>9</v>
      </c>
      <c r="K8" s="128" t="s">
        <v>9</v>
      </c>
      <c r="L8" s="128" t="s">
        <v>9</v>
      </c>
      <c r="M8" s="128" t="s">
        <v>9</v>
      </c>
      <c r="N8" s="128" t="s">
        <v>9</v>
      </c>
      <c r="O8" s="128" t="s">
        <v>9</v>
      </c>
      <c r="P8" s="128" t="s">
        <v>9</v>
      </c>
      <c r="Q8" s="128" t="s">
        <v>9</v>
      </c>
      <c r="R8" s="128" t="s">
        <v>9</v>
      </c>
      <c r="S8" s="128" t="s">
        <v>9</v>
      </c>
      <c r="T8" s="128" t="s">
        <v>9</v>
      </c>
      <c r="U8" s="128" t="s">
        <v>9</v>
      </c>
      <c r="V8" s="128" t="s">
        <v>9</v>
      </c>
      <c r="W8" s="128" t="s">
        <v>9</v>
      </c>
    </row>
    <row r="9" spans="1:23" s="128" customFormat="1">
      <c r="A9" s="128">
        <v>1993</v>
      </c>
      <c r="B9" s="128" t="s">
        <v>9</v>
      </c>
      <c r="C9" s="128" t="s">
        <v>9</v>
      </c>
      <c r="D9" s="128" t="s">
        <v>9</v>
      </c>
      <c r="E9" s="128" t="s">
        <v>9</v>
      </c>
      <c r="F9" s="128" t="s">
        <v>9</v>
      </c>
      <c r="G9" s="128" t="s">
        <v>9</v>
      </c>
      <c r="H9" s="128" t="s">
        <v>9</v>
      </c>
      <c r="I9" s="128" t="s">
        <v>9</v>
      </c>
      <c r="J9" s="128" t="s">
        <v>9</v>
      </c>
      <c r="K9" s="128" t="s">
        <v>9</v>
      </c>
      <c r="L9" s="128" t="s">
        <v>9</v>
      </c>
      <c r="M9" s="128" t="s">
        <v>9</v>
      </c>
      <c r="N9" s="128" t="s">
        <v>9</v>
      </c>
      <c r="O9" s="128" t="s">
        <v>9</v>
      </c>
      <c r="P9" s="128" t="s">
        <v>9</v>
      </c>
      <c r="Q9" s="128" t="s">
        <v>9</v>
      </c>
      <c r="R9" s="128" t="s">
        <v>9</v>
      </c>
      <c r="S9" s="128" t="s">
        <v>9</v>
      </c>
      <c r="T9" s="128" t="s">
        <v>9</v>
      </c>
      <c r="U9" s="128" t="s">
        <v>9</v>
      </c>
      <c r="V9" s="128" t="s">
        <v>9</v>
      </c>
      <c r="W9" s="128" t="s">
        <v>9</v>
      </c>
    </row>
    <row r="10" spans="1:23" s="128" customFormat="1">
      <c r="A10" s="128">
        <v>1994</v>
      </c>
      <c r="B10" s="128" t="s">
        <v>9</v>
      </c>
      <c r="C10" s="128" t="s">
        <v>9</v>
      </c>
      <c r="D10" s="128" t="s">
        <v>9</v>
      </c>
      <c r="E10" s="128" t="s">
        <v>9</v>
      </c>
      <c r="F10" s="128" t="s">
        <v>9</v>
      </c>
      <c r="G10" s="128" t="s">
        <v>9</v>
      </c>
      <c r="H10" s="128" t="s">
        <v>9</v>
      </c>
      <c r="I10" s="128" t="s">
        <v>9</v>
      </c>
      <c r="J10" s="128" t="s">
        <v>9</v>
      </c>
      <c r="K10" s="128" t="s">
        <v>9</v>
      </c>
      <c r="L10" s="128" t="s">
        <v>9</v>
      </c>
      <c r="M10" s="128" t="s">
        <v>9</v>
      </c>
      <c r="N10" s="128" t="s">
        <v>9</v>
      </c>
      <c r="O10" s="128" t="s">
        <v>9</v>
      </c>
      <c r="P10" s="128" t="s">
        <v>9</v>
      </c>
      <c r="Q10" s="128" t="s">
        <v>9</v>
      </c>
      <c r="R10" s="128" t="s">
        <v>9</v>
      </c>
      <c r="S10" s="128" t="s">
        <v>9</v>
      </c>
      <c r="T10" s="128" t="s">
        <v>9</v>
      </c>
      <c r="U10" s="128" t="s">
        <v>9</v>
      </c>
      <c r="V10" s="128" t="s">
        <v>9</v>
      </c>
      <c r="W10" s="128" t="s">
        <v>9</v>
      </c>
    </row>
    <row r="11" spans="1:23" s="128" customFormat="1">
      <c r="A11" s="128">
        <v>1995</v>
      </c>
      <c r="B11" s="128" t="s">
        <v>9</v>
      </c>
      <c r="C11" s="128" t="s">
        <v>9</v>
      </c>
      <c r="D11" s="128" t="s">
        <v>9</v>
      </c>
      <c r="E11" s="128" t="s">
        <v>9</v>
      </c>
      <c r="F11" s="128" t="s">
        <v>9</v>
      </c>
      <c r="G11" s="128" t="s">
        <v>9</v>
      </c>
      <c r="H11" s="128" t="s">
        <v>9</v>
      </c>
      <c r="I11" s="128" t="s">
        <v>9</v>
      </c>
      <c r="J11" s="128" t="s">
        <v>9</v>
      </c>
      <c r="K11" s="128" t="s">
        <v>9</v>
      </c>
      <c r="L11" s="128" t="s">
        <v>9</v>
      </c>
      <c r="M11" s="128" t="s">
        <v>9</v>
      </c>
      <c r="N11" s="128" t="s">
        <v>9</v>
      </c>
      <c r="O11" s="128" t="s">
        <v>9</v>
      </c>
      <c r="P11" s="128" t="s">
        <v>9</v>
      </c>
      <c r="Q11" s="128" t="s">
        <v>9</v>
      </c>
      <c r="R11" s="128" t="s">
        <v>9</v>
      </c>
      <c r="S11" s="128" t="s">
        <v>9</v>
      </c>
      <c r="T11" s="128" t="s">
        <v>9</v>
      </c>
      <c r="U11" s="128" t="s">
        <v>9</v>
      </c>
      <c r="V11" s="128" t="s">
        <v>9</v>
      </c>
      <c r="W11" s="128" t="s">
        <v>9</v>
      </c>
    </row>
    <row r="12" spans="1:23" s="128" customFormat="1">
      <c r="A12" s="128">
        <v>1996</v>
      </c>
      <c r="B12" s="128" t="s">
        <v>9</v>
      </c>
      <c r="C12" s="128" t="s">
        <v>9</v>
      </c>
      <c r="D12" s="128" t="s">
        <v>9</v>
      </c>
      <c r="E12" s="128" t="s">
        <v>9</v>
      </c>
      <c r="F12" s="128" t="s">
        <v>9</v>
      </c>
      <c r="G12" s="128" t="s">
        <v>9</v>
      </c>
      <c r="H12" s="128" t="s">
        <v>9</v>
      </c>
      <c r="I12" s="128" t="s">
        <v>9</v>
      </c>
      <c r="J12" s="128" t="s">
        <v>9</v>
      </c>
      <c r="K12" s="128" t="s">
        <v>9</v>
      </c>
      <c r="L12" s="128" t="s">
        <v>9</v>
      </c>
      <c r="M12" s="128" t="s">
        <v>9</v>
      </c>
      <c r="N12" s="128" t="s">
        <v>9</v>
      </c>
      <c r="O12" s="128" t="s">
        <v>9</v>
      </c>
      <c r="P12" s="128" t="s">
        <v>9</v>
      </c>
      <c r="Q12" s="128" t="s">
        <v>9</v>
      </c>
      <c r="R12" s="128" t="s">
        <v>9</v>
      </c>
      <c r="S12" s="128" t="s">
        <v>9</v>
      </c>
      <c r="T12" s="128" t="s">
        <v>9</v>
      </c>
      <c r="U12" s="128" t="s">
        <v>9</v>
      </c>
      <c r="V12" s="128" t="s">
        <v>9</v>
      </c>
      <c r="W12" s="128" t="s">
        <v>9</v>
      </c>
    </row>
    <row r="13" spans="1:23" s="128" customFormat="1">
      <c r="A13" s="128">
        <v>1997</v>
      </c>
      <c r="B13" s="128" t="s">
        <v>9</v>
      </c>
      <c r="C13" s="128" t="s">
        <v>9</v>
      </c>
      <c r="D13" s="128" t="s">
        <v>9</v>
      </c>
      <c r="E13" s="128" t="s">
        <v>9</v>
      </c>
      <c r="F13" s="128" t="s">
        <v>9</v>
      </c>
      <c r="G13" s="128" t="s">
        <v>9</v>
      </c>
      <c r="H13" s="128" t="s">
        <v>9</v>
      </c>
      <c r="I13" s="128" t="s">
        <v>9</v>
      </c>
      <c r="J13" s="128" t="s">
        <v>9</v>
      </c>
      <c r="K13" s="128" t="s">
        <v>9</v>
      </c>
      <c r="L13" s="128" t="s">
        <v>9</v>
      </c>
      <c r="M13" s="128" t="s">
        <v>9</v>
      </c>
      <c r="N13" s="128" t="s">
        <v>9</v>
      </c>
      <c r="O13" s="128" t="s">
        <v>9</v>
      </c>
      <c r="P13" s="128" t="s">
        <v>9</v>
      </c>
      <c r="Q13" s="128" t="s">
        <v>9</v>
      </c>
      <c r="R13" s="128" t="s">
        <v>9</v>
      </c>
      <c r="S13" s="128" t="s">
        <v>9</v>
      </c>
      <c r="T13" s="128" t="s">
        <v>9</v>
      </c>
      <c r="U13" s="128" t="s">
        <v>9</v>
      </c>
      <c r="V13" s="128" t="s">
        <v>9</v>
      </c>
      <c r="W13" s="128" t="s">
        <v>9</v>
      </c>
    </row>
    <row r="14" spans="1:23" s="128" customFormat="1">
      <c r="A14" s="128">
        <v>1998</v>
      </c>
      <c r="B14" s="128">
        <v>198</v>
      </c>
      <c r="C14" s="128">
        <v>65</v>
      </c>
      <c r="D14" s="128">
        <v>11</v>
      </c>
      <c r="E14" s="128">
        <v>5</v>
      </c>
      <c r="F14" s="128">
        <v>6</v>
      </c>
      <c r="G14" s="128">
        <v>40</v>
      </c>
      <c r="H14" s="128">
        <v>18</v>
      </c>
      <c r="I14" s="128">
        <v>22</v>
      </c>
      <c r="J14" s="128">
        <v>14</v>
      </c>
      <c r="K14" s="128">
        <v>14</v>
      </c>
      <c r="L14" s="128">
        <v>133</v>
      </c>
      <c r="M14" s="128">
        <v>66</v>
      </c>
      <c r="N14" s="128">
        <v>30</v>
      </c>
      <c r="O14" s="128">
        <v>19</v>
      </c>
      <c r="P14" s="128">
        <v>17</v>
      </c>
      <c r="Q14" s="128">
        <v>30</v>
      </c>
      <c r="R14" s="128">
        <v>30</v>
      </c>
      <c r="S14" s="128">
        <v>12</v>
      </c>
      <c r="T14" s="128">
        <v>12</v>
      </c>
      <c r="U14" s="128">
        <v>25</v>
      </c>
      <c r="V14" s="128">
        <v>13</v>
      </c>
      <c r="W14" s="128">
        <v>12</v>
      </c>
    </row>
    <row r="15" spans="1:23" s="128" customFormat="1">
      <c r="A15" s="128">
        <v>1999</v>
      </c>
      <c r="B15" s="128">
        <v>211</v>
      </c>
      <c r="C15" s="128">
        <v>72</v>
      </c>
      <c r="D15" s="128">
        <v>13</v>
      </c>
      <c r="E15" s="128">
        <v>5</v>
      </c>
      <c r="F15" s="128">
        <v>8</v>
      </c>
      <c r="G15" s="128">
        <v>43</v>
      </c>
      <c r="H15" s="128">
        <v>21</v>
      </c>
      <c r="I15" s="128">
        <v>22</v>
      </c>
      <c r="J15" s="128">
        <v>16</v>
      </c>
      <c r="K15" s="128">
        <v>16</v>
      </c>
      <c r="L15" s="128">
        <v>139</v>
      </c>
      <c r="M15" s="128">
        <v>66</v>
      </c>
      <c r="N15" s="128">
        <v>28</v>
      </c>
      <c r="O15" s="128">
        <v>21</v>
      </c>
      <c r="P15" s="128">
        <v>17</v>
      </c>
      <c r="Q15" s="128">
        <v>32</v>
      </c>
      <c r="R15" s="128">
        <v>32</v>
      </c>
      <c r="S15" s="128">
        <v>13</v>
      </c>
      <c r="T15" s="128">
        <v>13</v>
      </c>
      <c r="U15" s="128">
        <v>28</v>
      </c>
      <c r="V15" s="128">
        <v>16</v>
      </c>
      <c r="W15" s="128">
        <v>12</v>
      </c>
    </row>
    <row r="16" spans="1:23" s="128" customFormat="1">
      <c r="A16" s="128">
        <v>2000</v>
      </c>
      <c r="B16" s="128">
        <v>260</v>
      </c>
      <c r="C16" s="128">
        <v>82</v>
      </c>
      <c r="D16" s="128">
        <v>16</v>
      </c>
      <c r="E16" s="128">
        <v>5</v>
      </c>
      <c r="F16" s="128">
        <v>11</v>
      </c>
      <c r="G16" s="128">
        <v>47</v>
      </c>
      <c r="H16" s="128">
        <v>25</v>
      </c>
      <c r="I16" s="128">
        <v>22</v>
      </c>
      <c r="J16" s="128">
        <v>19</v>
      </c>
      <c r="K16" s="128">
        <v>19</v>
      </c>
      <c r="L16" s="128">
        <v>178</v>
      </c>
      <c r="M16" s="128">
        <v>87</v>
      </c>
      <c r="N16" s="128">
        <v>40</v>
      </c>
      <c r="O16" s="128">
        <v>25</v>
      </c>
      <c r="P16" s="128">
        <v>22</v>
      </c>
      <c r="Q16" s="128">
        <v>39</v>
      </c>
      <c r="R16" s="128">
        <v>39</v>
      </c>
      <c r="S16" s="128">
        <v>22</v>
      </c>
      <c r="T16" s="128">
        <v>22</v>
      </c>
      <c r="U16" s="128">
        <v>30</v>
      </c>
      <c r="V16" s="128">
        <v>16</v>
      </c>
      <c r="W16" s="128">
        <v>14</v>
      </c>
    </row>
    <row r="17" spans="1:23" s="128" customFormat="1">
      <c r="A17" s="128">
        <v>2001</v>
      </c>
      <c r="B17" s="128">
        <v>251</v>
      </c>
      <c r="C17" s="128">
        <v>78</v>
      </c>
      <c r="D17" s="128">
        <v>13</v>
      </c>
      <c r="E17" s="128">
        <v>5</v>
      </c>
      <c r="F17" s="128">
        <v>8</v>
      </c>
      <c r="G17" s="128">
        <v>46</v>
      </c>
      <c r="H17" s="128">
        <v>25</v>
      </c>
      <c r="I17" s="128">
        <v>21</v>
      </c>
      <c r="J17" s="128">
        <v>19</v>
      </c>
      <c r="K17" s="128">
        <v>19</v>
      </c>
      <c r="L17" s="128">
        <v>173</v>
      </c>
      <c r="M17" s="128">
        <v>81</v>
      </c>
      <c r="N17" s="128">
        <v>35</v>
      </c>
      <c r="O17" s="128">
        <v>25</v>
      </c>
      <c r="P17" s="128">
        <v>21</v>
      </c>
      <c r="Q17" s="128">
        <v>42</v>
      </c>
      <c r="R17" s="128">
        <v>42</v>
      </c>
      <c r="S17" s="128">
        <v>19</v>
      </c>
      <c r="T17" s="128">
        <v>19</v>
      </c>
      <c r="U17" s="128">
        <v>31</v>
      </c>
      <c r="V17" s="128">
        <v>17</v>
      </c>
      <c r="W17" s="128">
        <v>14</v>
      </c>
    </row>
    <row r="18" spans="1:23" s="128" customFormat="1">
      <c r="A18" s="128">
        <v>2002</v>
      </c>
      <c r="B18" s="128">
        <v>249</v>
      </c>
      <c r="C18" s="128">
        <v>78</v>
      </c>
      <c r="D18" s="128">
        <v>12</v>
      </c>
      <c r="E18" s="128">
        <v>5</v>
      </c>
      <c r="F18" s="128">
        <v>7</v>
      </c>
      <c r="G18" s="128">
        <v>45</v>
      </c>
      <c r="H18" s="128">
        <v>25</v>
      </c>
      <c r="I18" s="128">
        <v>20</v>
      </c>
      <c r="J18" s="128">
        <v>21</v>
      </c>
      <c r="K18" s="128">
        <v>21</v>
      </c>
      <c r="L18" s="128">
        <v>171</v>
      </c>
      <c r="M18" s="128">
        <v>82</v>
      </c>
      <c r="N18" s="128">
        <v>35</v>
      </c>
      <c r="O18" s="128">
        <v>28</v>
      </c>
      <c r="P18" s="128">
        <v>19</v>
      </c>
      <c r="Q18" s="128">
        <v>39</v>
      </c>
      <c r="R18" s="128">
        <v>39</v>
      </c>
      <c r="S18" s="128">
        <v>21</v>
      </c>
      <c r="T18" s="128">
        <v>21</v>
      </c>
      <c r="U18" s="128">
        <v>29</v>
      </c>
      <c r="V18" s="128">
        <v>15</v>
      </c>
      <c r="W18" s="128">
        <v>14</v>
      </c>
    </row>
    <row r="19" spans="1:23" s="128" customFormat="1" ht="15.75" thickBot="1">
      <c r="A19" s="88">
        <v>2003</v>
      </c>
      <c r="B19" s="88">
        <v>252</v>
      </c>
      <c r="C19" s="88">
        <v>79</v>
      </c>
      <c r="D19" s="88">
        <v>11</v>
      </c>
      <c r="E19" s="88">
        <v>4</v>
      </c>
      <c r="F19" s="88">
        <v>7</v>
      </c>
      <c r="G19" s="88">
        <v>45</v>
      </c>
      <c r="H19" s="88">
        <v>28</v>
      </c>
      <c r="I19" s="88">
        <v>17</v>
      </c>
      <c r="J19" s="88">
        <v>23</v>
      </c>
      <c r="K19" s="88">
        <v>23</v>
      </c>
      <c r="L19" s="88">
        <v>173</v>
      </c>
      <c r="M19" s="88">
        <v>79</v>
      </c>
      <c r="N19" s="88">
        <v>32</v>
      </c>
      <c r="O19" s="88">
        <v>28</v>
      </c>
      <c r="P19" s="88">
        <v>19</v>
      </c>
      <c r="Q19" s="88">
        <v>43</v>
      </c>
      <c r="R19" s="88">
        <v>43</v>
      </c>
      <c r="S19" s="88">
        <v>22</v>
      </c>
      <c r="T19" s="88">
        <v>22</v>
      </c>
      <c r="U19" s="88">
        <v>29</v>
      </c>
      <c r="V19" s="88">
        <v>16</v>
      </c>
      <c r="W19" s="88">
        <v>13</v>
      </c>
    </row>
    <row r="20" spans="1:23" s="128" customFormat="1">
      <c r="A20" s="128">
        <v>2004</v>
      </c>
      <c r="B20" s="128">
        <v>340</v>
      </c>
      <c r="C20" s="128">
        <v>97</v>
      </c>
      <c r="D20" s="128" t="s">
        <v>9</v>
      </c>
      <c r="E20" s="128" t="s">
        <v>9</v>
      </c>
      <c r="F20" s="128">
        <v>15</v>
      </c>
      <c r="G20" s="128">
        <v>52</v>
      </c>
      <c r="H20" s="128" t="s">
        <v>9</v>
      </c>
      <c r="I20" s="128" t="s">
        <v>9</v>
      </c>
      <c r="J20" s="128">
        <v>25</v>
      </c>
      <c r="K20" s="128">
        <v>25</v>
      </c>
      <c r="L20" s="128">
        <v>243</v>
      </c>
      <c r="M20" s="128">
        <v>89</v>
      </c>
      <c r="N20" s="128">
        <v>40</v>
      </c>
      <c r="O20" s="128">
        <v>29</v>
      </c>
      <c r="P20" s="128">
        <v>20</v>
      </c>
      <c r="Q20" s="128">
        <v>73</v>
      </c>
      <c r="R20" s="128">
        <v>73</v>
      </c>
      <c r="S20" s="128">
        <v>30</v>
      </c>
      <c r="T20" s="128">
        <v>30</v>
      </c>
      <c r="U20" s="128">
        <v>51</v>
      </c>
      <c r="V20" s="128" t="s">
        <v>9</v>
      </c>
      <c r="W20" s="128" t="s">
        <v>9</v>
      </c>
    </row>
    <row r="21" spans="1:23" s="128" customFormat="1">
      <c r="A21" s="128">
        <v>2005</v>
      </c>
      <c r="B21" s="128">
        <v>327</v>
      </c>
      <c r="C21" s="128">
        <v>109</v>
      </c>
      <c r="D21" s="128">
        <v>18</v>
      </c>
      <c r="E21" s="128">
        <v>4</v>
      </c>
      <c r="F21" s="128">
        <v>14</v>
      </c>
      <c r="G21" s="128">
        <v>66</v>
      </c>
      <c r="H21" s="128" t="s">
        <v>9</v>
      </c>
      <c r="I21" s="128" t="s">
        <v>9</v>
      </c>
      <c r="J21" s="128">
        <v>25</v>
      </c>
      <c r="K21" s="128">
        <v>25</v>
      </c>
      <c r="L21" s="128">
        <v>218</v>
      </c>
      <c r="M21" s="128">
        <v>92</v>
      </c>
      <c r="N21" s="128">
        <v>40</v>
      </c>
      <c r="O21" s="128">
        <v>28</v>
      </c>
      <c r="P21" s="128">
        <v>24</v>
      </c>
      <c r="Q21" s="128">
        <v>56</v>
      </c>
      <c r="R21" s="128">
        <v>56</v>
      </c>
      <c r="S21" s="128">
        <v>31</v>
      </c>
      <c r="T21" s="128">
        <v>31</v>
      </c>
      <c r="U21" s="128">
        <v>39</v>
      </c>
      <c r="V21" s="128">
        <v>17</v>
      </c>
      <c r="W21" s="128">
        <v>22</v>
      </c>
    </row>
    <row r="22" spans="1:23" s="128" customFormat="1">
      <c r="A22" s="128">
        <v>2006</v>
      </c>
      <c r="B22" s="128">
        <v>314</v>
      </c>
      <c r="C22" s="128">
        <v>99</v>
      </c>
      <c r="D22" s="128">
        <v>15</v>
      </c>
      <c r="E22" s="128">
        <v>5</v>
      </c>
      <c r="F22" s="128">
        <v>10</v>
      </c>
      <c r="G22" s="128">
        <v>57</v>
      </c>
      <c r="H22" s="128">
        <v>40</v>
      </c>
      <c r="I22" s="128">
        <v>17</v>
      </c>
      <c r="J22" s="128">
        <v>27</v>
      </c>
      <c r="K22" s="128">
        <v>27</v>
      </c>
      <c r="L22" s="128">
        <v>215</v>
      </c>
      <c r="M22" s="128">
        <v>85</v>
      </c>
      <c r="N22" s="128">
        <v>36</v>
      </c>
      <c r="O22" s="128">
        <v>25</v>
      </c>
      <c r="P22" s="128">
        <v>24</v>
      </c>
      <c r="Q22" s="128">
        <v>56</v>
      </c>
      <c r="R22" s="128">
        <v>56</v>
      </c>
      <c r="S22" s="128">
        <v>33</v>
      </c>
      <c r="T22" s="128">
        <v>33</v>
      </c>
      <c r="U22" s="128">
        <v>41</v>
      </c>
      <c r="V22" s="128">
        <v>18</v>
      </c>
      <c r="W22" s="128">
        <v>23</v>
      </c>
    </row>
    <row r="23" spans="1:23" s="128" customFormat="1">
      <c r="A23" s="128">
        <v>2007</v>
      </c>
      <c r="B23" s="128">
        <v>309</v>
      </c>
      <c r="C23" s="128">
        <v>94</v>
      </c>
      <c r="D23" s="128">
        <v>16</v>
      </c>
      <c r="E23" s="128">
        <v>5</v>
      </c>
      <c r="F23" s="128">
        <v>11</v>
      </c>
      <c r="G23" s="128">
        <v>52</v>
      </c>
      <c r="H23" s="128">
        <v>35</v>
      </c>
      <c r="I23" s="128">
        <v>17</v>
      </c>
      <c r="J23" s="128">
        <v>26</v>
      </c>
      <c r="K23" s="128">
        <v>26</v>
      </c>
      <c r="L23" s="128">
        <v>215</v>
      </c>
      <c r="M23" s="128">
        <v>90</v>
      </c>
      <c r="N23" s="128">
        <v>39</v>
      </c>
      <c r="O23" s="128">
        <v>27</v>
      </c>
      <c r="P23" s="128">
        <v>24</v>
      </c>
      <c r="Q23" s="128">
        <v>51</v>
      </c>
      <c r="R23" s="128">
        <v>51</v>
      </c>
      <c r="S23" s="128">
        <v>31</v>
      </c>
      <c r="T23" s="128">
        <v>31</v>
      </c>
      <c r="U23" s="128">
        <v>43</v>
      </c>
      <c r="V23" s="128">
        <v>15</v>
      </c>
      <c r="W23" s="128">
        <v>28</v>
      </c>
    </row>
    <row r="24" spans="1:23" s="128" customFormat="1">
      <c r="A24" s="128">
        <v>2008</v>
      </c>
      <c r="B24" s="128">
        <v>297</v>
      </c>
      <c r="C24" s="128">
        <v>97</v>
      </c>
      <c r="D24" s="128">
        <v>17</v>
      </c>
      <c r="E24" s="128">
        <v>6</v>
      </c>
      <c r="F24" s="128">
        <v>11</v>
      </c>
      <c r="G24" s="128">
        <v>52</v>
      </c>
      <c r="H24" s="128">
        <v>35</v>
      </c>
      <c r="I24" s="128">
        <v>17</v>
      </c>
      <c r="J24" s="128">
        <v>28</v>
      </c>
      <c r="K24" s="128">
        <v>28</v>
      </c>
      <c r="L24" s="128">
        <v>200</v>
      </c>
      <c r="M24" s="128">
        <v>81</v>
      </c>
      <c r="N24" s="128">
        <v>35</v>
      </c>
      <c r="O24" s="128">
        <v>24</v>
      </c>
      <c r="P24" s="128">
        <v>22</v>
      </c>
      <c r="Q24" s="128">
        <v>48</v>
      </c>
      <c r="R24" s="128">
        <v>48</v>
      </c>
      <c r="S24" s="128">
        <v>26</v>
      </c>
      <c r="T24" s="128">
        <v>26</v>
      </c>
      <c r="U24" s="128">
        <v>45</v>
      </c>
      <c r="V24" s="128">
        <v>16</v>
      </c>
      <c r="W24" s="128">
        <v>29</v>
      </c>
    </row>
    <row r="25" spans="1:23" s="128" customFormat="1">
      <c r="A25" s="128">
        <v>2009</v>
      </c>
      <c r="B25" s="128">
        <v>291</v>
      </c>
      <c r="C25" s="128">
        <v>100</v>
      </c>
      <c r="D25" s="128">
        <v>22</v>
      </c>
      <c r="E25" s="128">
        <v>6</v>
      </c>
      <c r="F25" s="128">
        <v>16</v>
      </c>
      <c r="G25" s="128">
        <v>52</v>
      </c>
      <c r="H25" s="128">
        <v>36</v>
      </c>
      <c r="I25" s="128">
        <v>16</v>
      </c>
      <c r="J25" s="128">
        <v>26</v>
      </c>
      <c r="K25" s="128">
        <v>26</v>
      </c>
      <c r="L25" s="128">
        <v>191</v>
      </c>
      <c r="M25" s="128">
        <v>81</v>
      </c>
      <c r="N25" s="128">
        <v>35</v>
      </c>
      <c r="O25" s="128">
        <v>24</v>
      </c>
      <c r="P25" s="128">
        <v>22</v>
      </c>
      <c r="Q25" s="128">
        <v>46</v>
      </c>
      <c r="R25" s="128">
        <v>46</v>
      </c>
      <c r="S25" s="128">
        <v>23</v>
      </c>
      <c r="T25" s="128">
        <v>23</v>
      </c>
      <c r="U25" s="128">
        <v>41</v>
      </c>
      <c r="V25" s="128">
        <v>15</v>
      </c>
      <c r="W25" s="128">
        <v>26</v>
      </c>
    </row>
    <row r="26" spans="1:23" s="128" customFormat="1">
      <c r="A26" s="128">
        <v>2010</v>
      </c>
      <c r="B26" s="128">
        <v>274</v>
      </c>
      <c r="C26" s="128">
        <v>95</v>
      </c>
      <c r="D26" s="128">
        <v>18</v>
      </c>
      <c r="E26" s="128">
        <v>5</v>
      </c>
      <c r="F26" s="128">
        <v>13</v>
      </c>
      <c r="G26" s="128">
        <v>48</v>
      </c>
      <c r="H26" s="128">
        <v>33</v>
      </c>
      <c r="I26" s="128">
        <v>15</v>
      </c>
      <c r="J26" s="128">
        <v>29</v>
      </c>
      <c r="K26" s="128">
        <v>29</v>
      </c>
      <c r="L26" s="128">
        <v>179</v>
      </c>
      <c r="M26" s="128">
        <v>74</v>
      </c>
      <c r="N26" s="128">
        <v>34</v>
      </c>
      <c r="O26" s="128">
        <v>21</v>
      </c>
      <c r="P26" s="128">
        <v>19</v>
      </c>
      <c r="Q26" s="128">
        <v>43</v>
      </c>
      <c r="R26" s="128">
        <v>43</v>
      </c>
      <c r="S26" s="128">
        <v>21</v>
      </c>
      <c r="T26" s="128">
        <v>21</v>
      </c>
      <c r="U26" s="128">
        <v>41</v>
      </c>
      <c r="V26" s="128">
        <v>13</v>
      </c>
      <c r="W26" s="128">
        <v>28</v>
      </c>
    </row>
    <row r="28" spans="1:23">
      <c r="A28" s="237" t="s">
        <v>39</v>
      </c>
      <c r="B28" s="237"/>
    </row>
    <row r="29" spans="1:23">
      <c r="A29" s="237" t="s">
        <v>76</v>
      </c>
      <c r="B29" s="237" t="s">
        <v>77</v>
      </c>
    </row>
    <row r="30" spans="1:23">
      <c r="A30" s="237" t="s">
        <v>9</v>
      </c>
      <c r="B30" s="237" t="s">
        <v>42</v>
      </c>
    </row>
    <row r="31" spans="1:23">
      <c r="A31" s="237" t="s">
        <v>10</v>
      </c>
      <c r="B31" s="237" t="s">
        <v>43</v>
      </c>
    </row>
    <row r="32" spans="1:23">
      <c r="A32" s="237" t="s">
        <v>40</v>
      </c>
      <c r="B32" s="237"/>
    </row>
    <row r="33" spans="1:2">
      <c r="A33" s="231" t="s">
        <v>322</v>
      </c>
      <c r="B33" s="233"/>
    </row>
    <row r="34" spans="1:2">
      <c r="A34" s="231" t="s">
        <v>144</v>
      </c>
      <c r="B34" s="238"/>
    </row>
    <row r="35" spans="1:2">
      <c r="A35" s="259" t="s">
        <v>371</v>
      </c>
      <c r="B35" s="237"/>
    </row>
  </sheetData>
  <mergeCells count="14">
    <mergeCell ref="C4:C5"/>
    <mergeCell ref="D4:F4"/>
    <mergeCell ref="G4:I4"/>
    <mergeCell ref="J4:K4"/>
    <mergeCell ref="A1:W1"/>
    <mergeCell ref="B2:W2"/>
    <mergeCell ref="B3:B5"/>
    <mergeCell ref="C3:K3"/>
    <mergeCell ref="L3:W3"/>
    <mergeCell ref="L4:L5"/>
    <mergeCell ref="M4:P4"/>
    <mergeCell ref="Q4:R4"/>
    <mergeCell ref="S4:T4"/>
    <mergeCell ref="U4:W4"/>
  </mergeCells>
  <printOptions gridLines="1"/>
  <pageMargins left="0.70866141732283472" right="0.70866141732283472" top="0.74803149606299213" bottom="0.74803149606299213" header="0.31496062992125984" footer="0.31496062992125984"/>
  <pageSetup scale="58" fitToHeight="0" orientation="landscape" horizontalDpi="0" verticalDpi="0" r:id="rId1"/>
  <colBreaks count="1" manualBreakCount="1">
    <brk id="1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view="pageBreakPreview" topLeftCell="A7" zoomScaleNormal="100" zoomScaleSheetLayoutView="100" workbookViewId="0">
      <selection activeCell="C24" sqref="C24"/>
    </sheetView>
  </sheetViews>
  <sheetFormatPr defaultRowHeight="15"/>
  <cols>
    <col min="1" max="16384" width="9.140625" style="125"/>
  </cols>
  <sheetData>
    <row r="1" spans="1:23" ht="15" customHeight="1">
      <c r="A1" s="466" t="s">
        <v>329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</row>
    <row r="2" spans="1:23" ht="15" customHeight="1">
      <c r="B2" s="466" t="s">
        <v>88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</row>
    <row r="3" spans="1:23" ht="15" customHeight="1">
      <c r="A3" s="126"/>
      <c r="B3" s="127"/>
      <c r="C3" s="466" t="s">
        <v>90</v>
      </c>
      <c r="D3" s="466"/>
      <c r="E3" s="466"/>
      <c r="F3" s="466"/>
      <c r="G3" s="466"/>
      <c r="H3" s="466"/>
      <c r="I3" s="466"/>
      <c r="J3" s="466"/>
      <c r="K3" s="466"/>
      <c r="L3" s="466" t="s">
        <v>91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</row>
    <row r="4" spans="1:23" ht="75.75" customHeight="1">
      <c r="A4" s="126"/>
      <c r="B4" s="127"/>
      <c r="C4" s="466" t="s">
        <v>89</v>
      </c>
      <c r="D4" s="466" t="s">
        <v>97</v>
      </c>
      <c r="E4" s="466"/>
      <c r="F4" s="466"/>
      <c r="G4" s="466" t="s">
        <v>98</v>
      </c>
      <c r="H4" s="466"/>
      <c r="I4" s="466"/>
      <c r="J4" s="466" t="s">
        <v>99</v>
      </c>
      <c r="K4" s="466"/>
      <c r="L4" s="466" t="s">
        <v>89</v>
      </c>
      <c r="M4" s="466" t="s">
        <v>100</v>
      </c>
      <c r="N4" s="466"/>
      <c r="O4" s="466"/>
      <c r="P4" s="466"/>
      <c r="Q4" s="466" t="s">
        <v>101</v>
      </c>
      <c r="R4" s="466"/>
      <c r="S4" s="466" t="s">
        <v>102</v>
      </c>
      <c r="T4" s="466"/>
      <c r="U4" s="466" t="s">
        <v>103</v>
      </c>
      <c r="V4" s="466"/>
      <c r="W4" s="466"/>
    </row>
    <row r="5" spans="1:23" ht="135">
      <c r="A5" s="126"/>
      <c r="B5" s="126" t="s">
        <v>89</v>
      </c>
      <c r="C5" s="466"/>
      <c r="D5" s="126" t="s">
        <v>89</v>
      </c>
      <c r="E5" s="126" t="s">
        <v>118</v>
      </c>
      <c r="F5" s="126" t="s">
        <v>119</v>
      </c>
      <c r="G5" s="126" t="s">
        <v>89</v>
      </c>
      <c r="H5" s="126" t="s">
        <v>120</v>
      </c>
      <c r="I5" s="126" t="s">
        <v>121</v>
      </c>
      <c r="J5" s="126" t="s">
        <v>89</v>
      </c>
      <c r="K5" s="126" t="s">
        <v>122</v>
      </c>
      <c r="L5" s="466"/>
      <c r="M5" s="126" t="s">
        <v>89</v>
      </c>
      <c r="N5" s="126" t="s">
        <v>123</v>
      </c>
      <c r="O5" s="126" t="s">
        <v>124</v>
      </c>
      <c r="P5" s="126" t="s">
        <v>125</v>
      </c>
      <c r="Q5" s="126" t="s">
        <v>89</v>
      </c>
      <c r="R5" s="126" t="s">
        <v>126</v>
      </c>
      <c r="S5" s="126" t="s">
        <v>89</v>
      </c>
      <c r="T5" s="126" t="s">
        <v>127</v>
      </c>
      <c r="U5" s="126" t="s">
        <v>89</v>
      </c>
      <c r="V5" s="126" t="s">
        <v>128</v>
      </c>
      <c r="W5" s="126" t="s">
        <v>129</v>
      </c>
    </row>
    <row r="6" spans="1:23" s="128" customFormat="1">
      <c r="A6" s="128">
        <v>1990</v>
      </c>
      <c r="B6" s="128" t="s">
        <v>9</v>
      </c>
      <c r="C6" s="128" t="s">
        <v>9</v>
      </c>
      <c r="D6" s="128" t="s">
        <v>9</v>
      </c>
      <c r="F6" s="128" t="s">
        <v>9</v>
      </c>
      <c r="G6" s="128" t="s">
        <v>9</v>
      </c>
      <c r="H6" s="128" t="s">
        <v>9</v>
      </c>
      <c r="I6" s="128" t="s">
        <v>9</v>
      </c>
      <c r="J6" s="128" t="s">
        <v>9</v>
      </c>
      <c r="K6" s="128" t="s">
        <v>9</v>
      </c>
      <c r="L6" s="128" t="s">
        <v>9</v>
      </c>
      <c r="M6" s="128" t="s">
        <v>9</v>
      </c>
      <c r="N6" s="128" t="s">
        <v>9</v>
      </c>
      <c r="O6" s="128" t="s">
        <v>9</v>
      </c>
      <c r="P6" s="128" t="s">
        <v>9</v>
      </c>
      <c r="Q6" s="128" t="s">
        <v>9</v>
      </c>
      <c r="R6" s="128" t="s">
        <v>9</v>
      </c>
      <c r="S6" s="128" t="s">
        <v>9</v>
      </c>
      <c r="T6" s="128" t="s">
        <v>9</v>
      </c>
      <c r="U6" s="128" t="s">
        <v>9</v>
      </c>
      <c r="V6" s="128" t="s">
        <v>9</v>
      </c>
      <c r="W6" s="128" t="s">
        <v>9</v>
      </c>
    </row>
    <row r="7" spans="1:23" s="128" customFormat="1">
      <c r="A7" s="128">
        <v>1991</v>
      </c>
      <c r="B7" s="128" t="s">
        <v>9</v>
      </c>
      <c r="C7" s="128" t="s">
        <v>9</v>
      </c>
      <c r="D7" s="128" t="s">
        <v>9</v>
      </c>
      <c r="F7" s="128" t="s">
        <v>9</v>
      </c>
      <c r="G7" s="128" t="s">
        <v>9</v>
      </c>
      <c r="H7" s="128" t="s">
        <v>9</v>
      </c>
      <c r="I7" s="128" t="s">
        <v>9</v>
      </c>
      <c r="J7" s="128" t="s">
        <v>9</v>
      </c>
      <c r="K7" s="128" t="s">
        <v>9</v>
      </c>
      <c r="L7" s="128" t="s">
        <v>9</v>
      </c>
      <c r="M7" s="128" t="s">
        <v>9</v>
      </c>
      <c r="N7" s="128" t="s">
        <v>9</v>
      </c>
      <c r="O7" s="128" t="s">
        <v>9</v>
      </c>
      <c r="P7" s="128" t="s">
        <v>9</v>
      </c>
      <c r="Q7" s="128" t="s">
        <v>9</v>
      </c>
      <c r="R7" s="128" t="s">
        <v>9</v>
      </c>
      <c r="S7" s="128" t="s">
        <v>9</v>
      </c>
      <c r="T7" s="128" t="s">
        <v>9</v>
      </c>
      <c r="U7" s="128" t="s">
        <v>9</v>
      </c>
      <c r="V7" s="128" t="s">
        <v>9</v>
      </c>
      <c r="W7" s="128" t="s">
        <v>9</v>
      </c>
    </row>
    <row r="8" spans="1:23" s="128" customFormat="1">
      <c r="A8" s="128">
        <v>1992</v>
      </c>
      <c r="B8" s="128" t="s">
        <v>9</v>
      </c>
      <c r="C8" s="128" t="s">
        <v>9</v>
      </c>
      <c r="D8" s="128" t="s">
        <v>9</v>
      </c>
      <c r="F8" s="128" t="s">
        <v>9</v>
      </c>
      <c r="G8" s="128" t="s">
        <v>9</v>
      </c>
      <c r="H8" s="128" t="s">
        <v>9</v>
      </c>
      <c r="I8" s="128" t="s">
        <v>9</v>
      </c>
      <c r="J8" s="128" t="s">
        <v>9</v>
      </c>
      <c r="K8" s="128" t="s">
        <v>9</v>
      </c>
      <c r="L8" s="128" t="s">
        <v>9</v>
      </c>
      <c r="M8" s="128" t="s">
        <v>9</v>
      </c>
      <c r="N8" s="128" t="s">
        <v>9</v>
      </c>
      <c r="O8" s="128" t="s">
        <v>9</v>
      </c>
      <c r="P8" s="128" t="s">
        <v>9</v>
      </c>
      <c r="Q8" s="128" t="s">
        <v>9</v>
      </c>
      <c r="R8" s="128" t="s">
        <v>9</v>
      </c>
      <c r="S8" s="128" t="s">
        <v>9</v>
      </c>
      <c r="T8" s="128" t="s">
        <v>9</v>
      </c>
      <c r="U8" s="128" t="s">
        <v>9</v>
      </c>
      <c r="V8" s="128" t="s">
        <v>9</v>
      </c>
      <c r="W8" s="128" t="s">
        <v>9</v>
      </c>
    </row>
    <row r="9" spans="1:23" s="128" customFormat="1">
      <c r="A9" s="128">
        <v>1993</v>
      </c>
      <c r="B9" s="128" t="s">
        <v>9</v>
      </c>
      <c r="C9" s="128" t="s">
        <v>9</v>
      </c>
      <c r="D9" s="128" t="s">
        <v>9</v>
      </c>
      <c r="F9" s="128" t="s">
        <v>9</v>
      </c>
      <c r="G9" s="128" t="s">
        <v>9</v>
      </c>
      <c r="H9" s="128" t="s">
        <v>9</v>
      </c>
      <c r="I9" s="128" t="s">
        <v>9</v>
      </c>
      <c r="J9" s="128" t="s">
        <v>9</v>
      </c>
      <c r="K9" s="128" t="s">
        <v>9</v>
      </c>
      <c r="L9" s="128" t="s">
        <v>9</v>
      </c>
      <c r="M9" s="128" t="s">
        <v>9</v>
      </c>
      <c r="N9" s="128" t="s">
        <v>9</v>
      </c>
      <c r="O9" s="128" t="s">
        <v>9</v>
      </c>
      <c r="P9" s="128" t="s">
        <v>9</v>
      </c>
      <c r="Q9" s="128" t="s">
        <v>9</v>
      </c>
      <c r="R9" s="128" t="s">
        <v>9</v>
      </c>
      <c r="S9" s="128" t="s">
        <v>9</v>
      </c>
      <c r="T9" s="128" t="s">
        <v>9</v>
      </c>
      <c r="U9" s="128" t="s">
        <v>9</v>
      </c>
      <c r="V9" s="128" t="s">
        <v>9</v>
      </c>
      <c r="W9" s="128" t="s">
        <v>9</v>
      </c>
    </row>
    <row r="10" spans="1:23" s="128" customFormat="1">
      <c r="A10" s="128">
        <v>1994</v>
      </c>
      <c r="B10" s="128" t="s">
        <v>9</v>
      </c>
      <c r="C10" s="128" t="s">
        <v>9</v>
      </c>
      <c r="D10" s="128" t="s">
        <v>9</v>
      </c>
      <c r="F10" s="128" t="s">
        <v>9</v>
      </c>
      <c r="G10" s="128" t="s">
        <v>9</v>
      </c>
      <c r="H10" s="128" t="s">
        <v>9</v>
      </c>
      <c r="I10" s="128" t="s">
        <v>9</v>
      </c>
      <c r="J10" s="128" t="s">
        <v>9</v>
      </c>
      <c r="K10" s="128" t="s">
        <v>9</v>
      </c>
      <c r="L10" s="128" t="s">
        <v>9</v>
      </c>
      <c r="M10" s="128" t="s">
        <v>9</v>
      </c>
      <c r="N10" s="128" t="s">
        <v>9</v>
      </c>
      <c r="O10" s="128" t="s">
        <v>9</v>
      </c>
      <c r="P10" s="128" t="s">
        <v>9</v>
      </c>
      <c r="Q10" s="128" t="s">
        <v>9</v>
      </c>
      <c r="R10" s="128" t="s">
        <v>9</v>
      </c>
      <c r="S10" s="128" t="s">
        <v>9</v>
      </c>
      <c r="T10" s="128" t="s">
        <v>9</v>
      </c>
      <c r="U10" s="128" t="s">
        <v>9</v>
      </c>
      <c r="V10" s="128" t="s">
        <v>9</v>
      </c>
      <c r="W10" s="128" t="s">
        <v>9</v>
      </c>
    </row>
    <row r="11" spans="1:23" s="128" customFormat="1">
      <c r="A11" s="128">
        <v>1995</v>
      </c>
      <c r="B11" s="128" t="s">
        <v>9</v>
      </c>
      <c r="C11" s="128" t="s">
        <v>9</v>
      </c>
      <c r="D11" s="128" t="s">
        <v>9</v>
      </c>
      <c r="F11" s="128" t="s">
        <v>9</v>
      </c>
      <c r="G11" s="128" t="s">
        <v>9</v>
      </c>
      <c r="H11" s="128" t="s">
        <v>9</v>
      </c>
      <c r="I11" s="128" t="s">
        <v>9</v>
      </c>
      <c r="J11" s="128" t="s">
        <v>9</v>
      </c>
      <c r="K11" s="128" t="s">
        <v>9</v>
      </c>
      <c r="L11" s="128" t="s">
        <v>9</v>
      </c>
      <c r="M11" s="128" t="s">
        <v>9</v>
      </c>
      <c r="N11" s="128" t="s">
        <v>9</v>
      </c>
      <c r="O11" s="128" t="s">
        <v>9</v>
      </c>
      <c r="P11" s="128" t="s">
        <v>9</v>
      </c>
      <c r="Q11" s="128" t="s">
        <v>9</v>
      </c>
      <c r="R11" s="128" t="s">
        <v>9</v>
      </c>
      <c r="S11" s="128" t="s">
        <v>9</v>
      </c>
      <c r="T11" s="128" t="s">
        <v>9</v>
      </c>
      <c r="U11" s="128" t="s">
        <v>9</v>
      </c>
      <c r="V11" s="128" t="s">
        <v>9</v>
      </c>
      <c r="W11" s="128" t="s">
        <v>9</v>
      </c>
    </row>
    <row r="12" spans="1:23" s="128" customFormat="1">
      <c r="A12" s="128">
        <v>1996</v>
      </c>
      <c r="B12" s="128" t="s">
        <v>9</v>
      </c>
      <c r="C12" s="128" t="s">
        <v>9</v>
      </c>
      <c r="D12" s="128" t="s">
        <v>9</v>
      </c>
      <c r="F12" s="128" t="s">
        <v>9</v>
      </c>
      <c r="G12" s="128" t="s">
        <v>9</v>
      </c>
      <c r="H12" s="128" t="s">
        <v>9</v>
      </c>
      <c r="I12" s="128" t="s">
        <v>9</v>
      </c>
      <c r="J12" s="128" t="s">
        <v>9</v>
      </c>
      <c r="K12" s="128" t="s">
        <v>9</v>
      </c>
      <c r="L12" s="128" t="s">
        <v>9</v>
      </c>
      <c r="M12" s="128" t="s">
        <v>9</v>
      </c>
      <c r="N12" s="128" t="s">
        <v>9</v>
      </c>
      <c r="O12" s="128" t="s">
        <v>9</v>
      </c>
      <c r="P12" s="128" t="s">
        <v>9</v>
      </c>
      <c r="Q12" s="128" t="s">
        <v>9</v>
      </c>
      <c r="R12" s="128" t="s">
        <v>9</v>
      </c>
      <c r="S12" s="128" t="s">
        <v>9</v>
      </c>
      <c r="T12" s="128" t="s">
        <v>9</v>
      </c>
      <c r="U12" s="128" t="s">
        <v>9</v>
      </c>
      <c r="V12" s="128" t="s">
        <v>9</v>
      </c>
      <c r="W12" s="128" t="s">
        <v>9</v>
      </c>
    </row>
    <row r="13" spans="1:23" s="128" customFormat="1">
      <c r="A13" s="128">
        <v>1997</v>
      </c>
      <c r="B13" s="128" t="s">
        <v>9</v>
      </c>
      <c r="C13" s="128" t="s">
        <v>9</v>
      </c>
      <c r="D13" s="128" t="s">
        <v>9</v>
      </c>
      <c r="F13" s="128" t="s">
        <v>9</v>
      </c>
      <c r="G13" s="128" t="s">
        <v>9</v>
      </c>
      <c r="H13" s="128" t="s">
        <v>9</v>
      </c>
      <c r="I13" s="128" t="s">
        <v>9</v>
      </c>
      <c r="J13" s="128" t="s">
        <v>9</v>
      </c>
      <c r="K13" s="128" t="s">
        <v>9</v>
      </c>
      <c r="L13" s="128" t="s">
        <v>9</v>
      </c>
      <c r="M13" s="128" t="s">
        <v>9</v>
      </c>
      <c r="N13" s="128" t="s">
        <v>9</v>
      </c>
      <c r="O13" s="128" t="s">
        <v>9</v>
      </c>
      <c r="P13" s="128" t="s">
        <v>9</v>
      </c>
      <c r="Q13" s="128" t="s">
        <v>9</v>
      </c>
      <c r="R13" s="128" t="s">
        <v>9</v>
      </c>
      <c r="S13" s="128" t="s">
        <v>9</v>
      </c>
      <c r="T13" s="128" t="s">
        <v>9</v>
      </c>
      <c r="U13" s="128" t="s">
        <v>9</v>
      </c>
      <c r="V13" s="128" t="s">
        <v>9</v>
      </c>
      <c r="W13" s="128" t="s">
        <v>9</v>
      </c>
    </row>
    <row r="14" spans="1:23" s="128" customFormat="1">
      <c r="A14" s="128">
        <v>1998</v>
      </c>
      <c r="B14" s="128">
        <v>308</v>
      </c>
      <c r="C14" s="128">
        <v>40</v>
      </c>
      <c r="D14" s="128">
        <v>4</v>
      </c>
      <c r="F14" s="128">
        <v>4</v>
      </c>
      <c r="G14" s="128">
        <v>27</v>
      </c>
      <c r="H14" s="128">
        <v>17</v>
      </c>
      <c r="I14" s="128">
        <v>10</v>
      </c>
      <c r="J14" s="128">
        <v>9</v>
      </c>
      <c r="K14" s="128">
        <v>9</v>
      </c>
      <c r="L14" s="128">
        <v>268</v>
      </c>
      <c r="M14" s="128">
        <v>140</v>
      </c>
      <c r="N14" s="128">
        <v>85</v>
      </c>
      <c r="O14" s="128">
        <v>33</v>
      </c>
      <c r="P14" s="128">
        <v>22</v>
      </c>
      <c r="Q14" s="128">
        <v>59</v>
      </c>
      <c r="R14" s="128">
        <v>59</v>
      </c>
      <c r="S14" s="128">
        <v>39</v>
      </c>
      <c r="T14" s="128">
        <v>39</v>
      </c>
      <c r="U14" s="128">
        <v>30</v>
      </c>
      <c r="V14" s="128">
        <v>7</v>
      </c>
      <c r="W14" s="128">
        <v>23</v>
      </c>
    </row>
    <row r="15" spans="1:23" s="128" customFormat="1">
      <c r="A15" s="128">
        <v>1999</v>
      </c>
      <c r="B15" s="128">
        <v>289</v>
      </c>
      <c r="C15" s="128">
        <v>44</v>
      </c>
      <c r="D15" s="128">
        <v>5</v>
      </c>
      <c r="F15" s="128">
        <v>5</v>
      </c>
      <c r="G15" s="128">
        <v>27</v>
      </c>
      <c r="H15" s="128">
        <v>16</v>
      </c>
      <c r="I15" s="128">
        <v>11</v>
      </c>
      <c r="J15" s="128">
        <v>12</v>
      </c>
      <c r="K15" s="128">
        <v>12</v>
      </c>
      <c r="L15" s="128">
        <v>245</v>
      </c>
      <c r="M15" s="128">
        <v>132</v>
      </c>
      <c r="N15" s="128">
        <v>80</v>
      </c>
      <c r="O15" s="128">
        <v>31</v>
      </c>
      <c r="P15" s="128">
        <v>21</v>
      </c>
      <c r="Q15" s="128">
        <v>58</v>
      </c>
      <c r="R15" s="128">
        <v>58</v>
      </c>
      <c r="S15" s="128">
        <v>31</v>
      </c>
      <c r="T15" s="128">
        <v>31</v>
      </c>
      <c r="U15" s="128">
        <v>24</v>
      </c>
      <c r="V15" s="128">
        <v>6</v>
      </c>
      <c r="W15" s="128">
        <v>18</v>
      </c>
    </row>
    <row r="16" spans="1:23" s="128" customFormat="1">
      <c r="A16" s="128">
        <v>2000</v>
      </c>
      <c r="B16" s="128">
        <v>396</v>
      </c>
      <c r="C16" s="128">
        <v>51</v>
      </c>
      <c r="D16" s="128">
        <v>8</v>
      </c>
      <c r="F16" s="128">
        <v>8</v>
      </c>
      <c r="G16" s="128">
        <v>32</v>
      </c>
      <c r="H16" s="128">
        <v>21</v>
      </c>
      <c r="I16" s="128">
        <v>11</v>
      </c>
      <c r="J16" s="128">
        <v>11</v>
      </c>
      <c r="K16" s="128">
        <v>11</v>
      </c>
      <c r="L16" s="128">
        <v>345</v>
      </c>
      <c r="M16" s="128">
        <v>161</v>
      </c>
      <c r="N16" s="128">
        <v>99</v>
      </c>
      <c r="O16" s="128">
        <v>36</v>
      </c>
      <c r="P16" s="128">
        <v>26</v>
      </c>
      <c r="Q16" s="128">
        <v>87</v>
      </c>
      <c r="R16" s="128">
        <v>87</v>
      </c>
      <c r="S16" s="128">
        <v>45</v>
      </c>
      <c r="T16" s="128">
        <v>45</v>
      </c>
      <c r="U16" s="128">
        <v>52</v>
      </c>
      <c r="V16" s="128">
        <v>13</v>
      </c>
      <c r="W16" s="128">
        <v>39</v>
      </c>
    </row>
    <row r="17" spans="1:23" s="128" customFormat="1">
      <c r="A17" s="128">
        <v>2001</v>
      </c>
      <c r="B17" s="128">
        <v>385</v>
      </c>
      <c r="C17" s="128">
        <v>52</v>
      </c>
      <c r="D17" s="128">
        <v>7</v>
      </c>
      <c r="F17" s="128">
        <v>7</v>
      </c>
      <c r="G17" s="128">
        <v>32</v>
      </c>
      <c r="H17" s="128">
        <v>21</v>
      </c>
      <c r="I17" s="128">
        <v>11</v>
      </c>
      <c r="J17" s="128">
        <v>13</v>
      </c>
      <c r="K17" s="128">
        <v>13</v>
      </c>
      <c r="L17" s="128">
        <v>333</v>
      </c>
      <c r="M17" s="128">
        <v>156</v>
      </c>
      <c r="N17" s="128">
        <v>95</v>
      </c>
      <c r="O17" s="128">
        <v>36</v>
      </c>
      <c r="P17" s="128">
        <v>25</v>
      </c>
      <c r="Q17" s="128">
        <v>87</v>
      </c>
      <c r="R17" s="128">
        <v>87</v>
      </c>
      <c r="S17" s="128">
        <v>39</v>
      </c>
      <c r="T17" s="128">
        <v>39</v>
      </c>
      <c r="U17" s="128">
        <v>51</v>
      </c>
      <c r="V17" s="128">
        <v>10</v>
      </c>
      <c r="W17" s="128">
        <v>41</v>
      </c>
    </row>
    <row r="18" spans="1:23" s="128" customFormat="1">
      <c r="A18" s="128">
        <v>2002</v>
      </c>
      <c r="B18" s="128">
        <v>394</v>
      </c>
      <c r="C18" s="128">
        <v>52</v>
      </c>
      <c r="D18" s="128">
        <v>5</v>
      </c>
      <c r="F18" s="128">
        <v>5</v>
      </c>
      <c r="G18" s="128">
        <v>33</v>
      </c>
      <c r="H18" s="128">
        <v>22</v>
      </c>
      <c r="I18" s="128">
        <v>11</v>
      </c>
      <c r="J18" s="128">
        <v>14</v>
      </c>
      <c r="K18" s="128">
        <v>14</v>
      </c>
      <c r="L18" s="128">
        <v>342</v>
      </c>
      <c r="M18" s="128">
        <v>154</v>
      </c>
      <c r="N18" s="128">
        <v>94</v>
      </c>
      <c r="O18" s="128">
        <v>35</v>
      </c>
      <c r="P18" s="128">
        <v>25</v>
      </c>
      <c r="Q18" s="128">
        <v>90</v>
      </c>
      <c r="R18" s="128">
        <v>90</v>
      </c>
      <c r="S18" s="128">
        <v>46</v>
      </c>
      <c r="T18" s="128">
        <v>46</v>
      </c>
      <c r="U18" s="128">
        <v>52</v>
      </c>
      <c r="V18" s="128">
        <v>11</v>
      </c>
      <c r="W18" s="128">
        <v>41</v>
      </c>
    </row>
    <row r="19" spans="1:23" s="128" customFormat="1" ht="15.75" thickBot="1">
      <c r="A19" s="88">
        <v>2003</v>
      </c>
      <c r="B19" s="88">
        <v>407</v>
      </c>
      <c r="C19" s="88">
        <v>56</v>
      </c>
      <c r="D19" s="88">
        <v>6</v>
      </c>
      <c r="E19" s="88">
        <v>1</v>
      </c>
      <c r="F19" s="88">
        <v>5</v>
      </c>
      <c r="G19" s="88">
        <v>35</v>
      </c>
      <c r="H19" s="88">
        <v>26</v>
      </c>
      <c r="I19" s="88">
        <v>9</v>
      </c>
      <c r="J19" s="88">
        <v>15</v>
      </c>
      <c r="K19" s="88">
        <v>15</v>
      </c>
      <c r="L19" s="88">
        <v>351</v>
      </c>
      <c r="M19" s="88">
        <v>157</v>
      </c>
      <c r="N19" s="88">
        <v>94</v>
      </c>
      <c r="O19" s="88">
        <v>35</v>
      </c>
      <c r="P19" s="88">
        <v>28</v>
      </c>
      <c r="Q19" s="88">
        <v>94</v>
      </c>
      <c r="R19" s="88">
        <v>94</v>
      </c>
      <c r="S19" s="88">
        <v>44</v>
      </c>
      <c r="T19" s="88">
        <v>44</v>
      </c>
      <c r="U19" s="88">
        <v>56</v>
      </c>
      <c r="V19" s="88">
        <v>10</v>
      </c>
      <c r="W19" s="88">
        <v>46</v>
      </c>
    </row>
    <row r="20" spans="1:23" s="128" customFormat="1">
      <c r="A20" s="128">
        <v>2004</v>
      </c>
      <c r="B20" s="128">
        <v>533</v>
      </c>
      <c r="C20" s="128">
        <v>75</v>
      </c>
      <c r="D20" s="128">
        <v>13</v>
      </c>
      <c r="F20" s="128">
        <v>13</v>
      </c>
      <c r="G20" s="128">
        <v>44</v>
      </c>
      <c r="H20" s="128">
        <v>35</v>
      </c>
      <c r="I20" s="128">
        <v>9</v>
      </c>
      <c r="J20" s="128">
        <v>18</v>
      </c>
      <c r="K20" s="128">
        <v>18</v>
      </c>
      <c r="L20" s="128">
        <v>458</v>
      </c>
      <c r="M20" s="128">
        <v>173</v>
      </c>
      <c r="N20" s="128">
        <v>108</v>
      </c>
      <c r="O20" s="128">
        <v>35</v>
      </c>
      <c r="P20" s="128">
        <v>30</v>
      </c>
      <c r="Q20" s="128">
        <v>119</v>
      </c>
      <c r="R20" s="128">
        <v>119</v>
      </c>
      <c r="S20" s="128">
        <v>68</v>
      </c>
      <c r="T20" s="128">
        <v>68</v>
      </c>
      <c r="U20" s="128">
        <v>98</v>
      </c>
      <c r="V20" s="128">
        <v>13</v>
      </c>
      <c r="W20" s="128">
        <v>85</v>
      </c>
    </row>
    <row r="21" spans="1:23" s="128" customFormat="1">
      <c r="A21" s="128">
        <v>2005</v>
      </c>
      <c r="B21" s="128">
        <v>494</v>
      </c>
      <c r="C21" s="128">
        <v>80</v>
      </c>
      <c r="D21" s="128">
        <v>17</v>
      </c>
      <c r="F21" s="128">
        <v>17</v>
      </c>
      <c r="G21" s="128">
        <v>45</v>
      </c>
      <c r="H21" s="128">
        <v>36</v>
      </c>
      <c r="I21" s="128">
        <v>9</v>
      </c>
      <c r="J21" s="128">
        <v>18</v>
      </c>
      <c r="K21" s="128">
        <v>18</v>
      </c>
      <c r="L21" s="128">
        <v>414</v>
      </c>
      <c r="M21" s="128">
        <v>178</v>
      </c>
      <c r="N21" s="128">
        <v>108</v>
      </c>
      <c r="O21" s="128">
        <v>37</v>
      </c>
      <c r="P21" s="128">
        <v>33</v>
      </c>
      <c r="Q21" s="128">
        <v>102</v>
      </c>
      <c r="R21" s="128">
        <v>102</v>
      </c>
      <c r="S21" s="128">
        <v>50</v>
      </c>
      <c r="T21" s="128">
        <v>50</v>
      </c>
      <c r="U21" s="128">
        <v>84</v>
      </c>
      <c r="V21" s="128">
        <v>11</v>
      </c>
      <c r="W21" s="128">
        <v>73</v>
      </c>
    </row>
    <row r="22" spans="1:23" s="128" customFormat="1">
      <c r="A22" s="128">
        <v>2006</v>
      </c>
      <c r="B22" s="128">
        <v>469</v>
      </c>
      <c r="C22" s="128">
        <v>65</v>
      </c>
      <c r="D22" s="128">
        <v>14</v>
      </c>
      <c r="F22" s="128">
        <v>14</v>
      </c>
      <c r="G22" s="128">
        <v>33</v>
      </c>
      <c r="H22" s="128">
        <v>26</v>
      </c>
      <c r="I22" s="128">
        <v>7</v>
      </c>
      <c r="J22" s="128">
        <v>18</v>
      </c>
      <c r="K22" s="128">
        <v>18</v>
      </c>
      <c r="L22" s="128">
        <v>404</v>
      </c>
      <c r="M22" s="128">
        <v>178</v>
      </c>
      <c r="N22" s="128">
        <v>104</v>
      </c>
      <c r="O22" s="128">
        <v>43</v>
      </c>
      <c r="P22" s="128">
        <v>31</v>
      </c>
      <c r="Q22" s="128">
        <v>101</v>
      </c>
      <c r="R22" s="128">
        <v>101</v>
      </c>
      <c r="S22" s="128">
        <v>46</v>
      </c>
      <c r="T22" s="128">
        <v>46</v>
      </c>
      <c r="U22" s="128">
        <v>79</v>
      </c>
      <c r="V22" s="128">
        <v>10</v>
      </c>
      <c r="W22" s="128">
        <v>69</v>
      </c>
    </row>
    <row r="23" spans="1:23" s="128" customFormat="1">
      <c r="A23" s="128">
        <v>2007</v>
      </c>
      <c r="B23" s="128">
        <v>452</v>
      </c>
      <c r="C23" s="128">
        <v>67</v>
      </c>
      <c r="D23" s="128">
        <v>14</v>
      </c>
      <c r="E23" s="128">
        <v>1</v>
      </c>
      <c r="F23" s="128">
        <v>13</v>
      </c>
      <c r="G23" s="128">
        <v>33</v>
      </c>
      <c r="H23" s="128">
        <v>26</v>
      </c>
      <c r="I23" s="128">
        <v>7</v>
      </c>
      <c r="J23" s="128">
        <v>20</v>
      </c>
      <c r="K23" s="128">
        <v>20</v>
      </c>
      <c r="L23" s="128">
        <v>385</v>
      </c>
      <c r="M23" s="128">
        <v>164</v>
      </c>
      <c r="N23" s="128">
        <v>100</v>
      </c>
      <c r="O23" s="128">
        <v>32</v>
      </c>
      <c r="P23" s="128">
        <v>32</v>
      </c>
      <c r="Q23" s="128">
        <v>98</v>
      </c>
      <c r="R23" s="128">
        <v>98</v>
      </c>
      <c r="S23" s="128">
        <v>46</v>
      </c>
      <c r="T23" s="128">
        <v>46</v>
      </c>
      <c r="U23" s="128">
        <v>77</v>
      </c>
      <c r="V23" s="128">
        <v>11</v>
      </c>
      <c r="W23" s="128">
        <v>66</v>
      </c>
    </row>
    <row r="24" spans="1:23" s="128" customFormat="1">
      <c r="A24" s="128">
        <v>2008</v>
      </c>
      <c r="B24" s="128">
        <v>434</v>
      </c>
      <c r="C24" s="128">
        <v>65</v>
      </c>
      <c r="D24" s="128">
        <v>12</v>
      </c>
      <c r="E24" s="128" t="s">
        <v>10</v>
      </c>
      <c r="F24" s="128">
        <v>12</v>
      </c>
      <c r="G24" s="128">
        <v>33</v>
      </c>
      <c r="H24" s="128">
        <v>25</v>
      </c>
      <c r="I24" s="128">
        <v>8</v>
      </c>
      <c r="J24" s="128">
        <v>20</v>
      </c>
      <c r="K24" s="128">
        <v>20</v>
      </c>
      <c r="L24" s="128">
        <v>369</v>
      </c>
      <c r="M24" s="128">
        <v>155</v>
      </c>
      <c r="N24" s="128">
        <v>98</v>
      </c>
      <c r="O24" s="128">
        <v>31</v>
      </c>
      <c r="P24" s="128">
        <v>26</v>
      </c>
      <c r="Q24" s="128">
        <v>92</v>
      </c>
      <c r="R24" s="128">
        <v>92</v>
      </c>
      <c r="S24" s="128">
        <v>43</v>
      </c>
      <c r="T24" s="128">
        <v>43</v>
      </c>
      <c r="U24" s="128">
        <v>79</v>
      </c>
      <c r="V24" s="128">
        <v>12</v>
      </c>
      <c r="W24" s="128">
        <v>67</v>
      </c>
    </row>
    <row r="25" spans="1:23" s="128" customFormat="1">
      <c r="A25" s="128">
        <v>2009</v>
      </c>
      <c r="B25" s="128">
        <v>427</v>
      </c>
      <c r="C25" s="128">
        <v>62</v>
      </c>
      <c r="D25" s="128">
        <v>8</v>
      </c>
      <c r="E25" s="128" t="s">
        <v>10</v>
      </c>
      <c r="F25" s="128">
        <v>8</v>
      </c>
      <c r="G25" s="128">
        <v>35</v>
      </c>
      <c r="H25" s="128">
        <v>26</v>
      </c>
      <c r="I25" s="128">
        <v>9</v>
      </c>
      <c r="J25" s="128">
        <v>19</v>
      </c>
      <c r="K25" s="128">
        <v>19</v>
      </c>
      <c r="L25" s="128">
        <v>365</v>
      </c>
      <c r="M25" s="128">
        <v>160</v>
      </c>
      <c r="N25" s="128">
        <v>98</v>
      </c>
      <c r="O25" s="128">
        <v>33</v>
      </c>
      <c r="P25" s="128">
        <v>29</v>
      </c>
      <c r="Q25" s="128">
        <v>88</v>
      </c>
      <c r="R25" s="128">
        <v>88</v>
      </c>
      <c r="S25" s="128">
        <v>40</v>
      </c>
      <c r="T25" s="128">
        <v>40</v>
      </c>
      <c r="U25" s="128">
        <v>77</v>
      </c>
      <c r="V25" s="128">
        <v>12</v>
      </c>
      <c r="W25" s="128">
        <v>65</v>
      </c>
    </row>
    <row r="26" spans="1:23" s="128" customFormat="1">
      <c r="A26" s="128">
        <v>2010</v>
      </c>
      <c r="B26" s="128">
        <v>413</v>
      </c>
      <c r="C26" s="128">
        <v>66</v>
      </c>
      <c r="D26" s="128">
        <v>9</v>
      </c>
      <c r="E26" s="128" t="s">
        <v>10</v>
      </c>
      <c r="F26" s="128">
        <v>9</v>
      </c>
      <c r="G26" s="128">
        <v>34</v>
      </c>
      <c r="H26" s="128">
        <v>27</v>
      </c>
      <c r="I26" s="128">
        <v>7</v>
      </c>
      <c r="J26" s="128">
        <v>23</v>
      </c>
      <c r="K26" s="128">
        <v>23</v>
      </c>
      <c r="L26" s="128">
        <v>347</v>
      </c>
      <c r="M26" s="128">
        <v>151</v>
      </c>
      <c r="N26" s="128">
        <v>93</v>
      </c>
      <c r="O26" s="128">
        <v>32</v>
      </c>
      <c r="P26" s="128">
        <v>26</v>
      </c>
      <c r="Q26" s="128">
        <v>86</v>
      </c>
      <c r="R26" s="128">
        <v>86</v>
      </c>
      <c r="S26" s="128">
        <v>42</v>
      </c>
      <c r="T26" s="128">
        <v>42</v>
      </c>
      <c r="U26" s="128">
        <v>68</v>
      </c>
      <c r="V26" s="128">
        <v>10</v>
      </c>
      <c r="W26" s="128">
        <v>58</v>
      </c>
    </row>
    <row r="28" spans="1:23">
      <c r="A28" s="237" t="s">
        <v>39</v>
      </c>
      <c r="B28" s="237"/>
    </row>
    <row r="29" spans="1:23">
      <c r="A29" s="237" t="s">
        <v>76</v>
      </c>
      <c r="B29" s="237" t="s">
        <v>77</v>
      </c>
    </row>
    <row r="30" spans="1:23">
      <c r="A30" s="237" t="s">
        <v>9</v>
      </c>
      <c r="B30" s="237" t="s">
        <v>42</v>
      </c>
    </row>
    <row r="31" spans="1:23">
      <c r="A31" s="237" t="s">
        <v>10</v>
      </c>
      <c r="B31" s="237" t="s">
        <v>43</v>
      </c>
    </row>
    <row r="32" spans="1:23">
      <c r="A32" s="237" t="s">
        <v>40</v>
      </c>
      <c r="B32" s="237"/>
    </row>
    <row r="33" spans="1:2">
      <c r="A33" s="231" t="s">
        <v>322</v>
      </c>
      <c r="B33" s="233"/>
    </row>
    <row r="34" spans="1:2">
      <c r="A34" s="231" t="s">
        <v>144</v>
      </c>
      <c r="B34" s="238"/>
    </row>
    <row r="35" spans="1:2">
      <c r="A35" s="259" t="s">
        <v>371</v>
      </c>
      <c r="B35" s="237"/>
    </row>
  </sheetData>
  <mergeCells count="13">
    <mergeCell ref="C4:C5"/>
    <mergeCell ref="A1:W1"/>
    <mergeCell ref="B2:W2"/>
    <mergeCell ref="C3:K3"/>
    <mergeCell ref="L3:W3"/>
    <mergeCell ref="S4:T4"/>
    <mergeCell ref="U4:W4"/>
    <mergeCell ref="D4:F4"/>
    <mergeCell ref="G4:I4"/>
    <mergeCell ref="J4:K4"/>
    <mergeCell ref="L4:L5"/>
    <mergeCell ref="M4:P4"/>
    <mergeCell ref="Q4:R4"/>
  </mergeCells>
  <printOptions gridLines="1"/>
  <pageMargins left="0.70866141732283472" right="0.70866141732283472" top="0.74803149606299213" bottom="0.74803149606299213" header="0.31496062992125984" footer="0.31496062992125984"/>
  <pageSetup scale="58" fitToHeight="0" orientation="landscape" horizontalDpi="0" verticalDpi="0" r:id="rId1"/>
  <colBreaks count="1" manualBreakCount="1">
    <brk id="1" max="1048575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2"/>
  <sheetViews>
    <sheetView view="pageBreakPreview" zoomScaleNormal="100" zoomScaleSheetLayoutView="100" workbookViewId="0">
      <selection activeCell="O19" sqref="O19"/>
    </sheetView>
  </sheetViews>
  <sheetFormatPr defaultRowHeight="15"/>
  <cols>
    <col min="7" max="7" width="9.140625" style="429"/>
    <col min="15" max="15" width="9.140625" style="429"/>
  </cols>
  <sheetData>
    <row r="1" spans="1:19" ht="15" customHeight="1">
      <c r="A1" s="466" t="s">
        <v>186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</row>
    <row r="2" spans="1:19">
      <c r="A2" s="126"/>
      <c r="B2" s="467" t="s">
        <v>132</v>
      </c>
      <c r="C2" s="467"/>
      <c r="D2" s="467"/>
      <c r="E2" s="467"/>
      <c r="F2" s="467"/>
      <c r="G2" s="467"/>
      <c r="H2" s="467"/>
      <c r="I2" s="467"/>
      <c r="J2" s="468"/>
      <c r="K2" s="466" t="s">
        <v>133</v>
      </c>
      <c r="L2" s="466"/>
      <c r="M2" s="466"/>
      <c r="N2" s="466"/>
      <c r="O2" s="466"/>
      <c r="P2" s="466"/>
      <c r="Q2" s="466"/>
      <c r="R2" s="466"/>
      <c r="S2" s="466"/>
    </row>
    <row r="3" spans="1:19" ht="60">
      <c r="A3" s="127"/>
      <c r="B3" s="127" t="s">
        <v>134</v>
      </c>
      <c r="C3" s="127" t="s">
        <v>135</v>
      </c>
      <c r="D3" s="127" t="s">
        <v>136</v>
      </c>
      <c r="E3" s="127" t="s">
        <v>137</v>
      </c>
      <c r="F3" s="127" t="s">
        <v>138</v>
      </c>
      <c r="G3" s="439" t="s">
        <v>614</v>
      </c>
      <c r="H3" s="127" t="s">
        <v>139</v>
      </c>
      <c r="I3" s="127" t="s">
        <v>140</v>
      </c>
      <c r="J3" s="135" t="s">
        <v>141</v>
      </c>
      <c r="K3" s="127" t="s">
        <v>134</v>
      </c>
      <c r="L3" s="127" t="s">
        <v>135</v>
      </c>
      <c r="M3" s="127" t="s">
        <v>136</v>
      </c>
      <c r="N3" s="127" t="s">
        <v>137</v>
      </c>
      <c r="O3" s="439" t="s">
        <v>614</v>
      </c>
      <c r="P3" s="127" t="s">
        <v>138</v>
      </c>
      <c r="Q3" s="127" t="s">
        <v>139</v>
      </c>
      <c r="R3" s="127" t="s">
        <v>140</v>
      </c>
      <c r="S3" s="127" t="s">
        <v>141</v>
      </c>
    </row>
    <row r="4" spans="1:19">
      <c r="A4" s="128">
        <v>2001</v>
      </c>
      <c r="B4" s="129">
        <v>19888</v>
      </c>
      <c r="C4" s="129">
        <v>2884</v>
      </c>
      <c r="D4" s="129">
        <v>3967</v>
      </c>
      <c r="E4" s="129">
        <v>2916</v>
      </c>
      <c r="F4" s="129">
        <v>2237</v>
      </c>
      <c r="G4" s="408">
        <f>B4-C4-D4-E4</f>
        <v>10121</v>
      </c>
      <c r="H4" s="129">
        <v>2323</v>
      </c>
      <c r="I4" s="129" t="s">
        <v>9</v>
      </c>
      <c r="J4" s="136" t="s">
        <v>9</v>
      </c>
      <c r="K4" s="129">
        <v>8123</v>
      </c>
      <c r="L4" s="129">
        <v>1535</v>
      </c>
      <c r="M4" s="129">
        <v>1855</v>
      </c>
      <c r="N4" s="129">
        <v>1045</v>
      </c>
      <c r="O4" s="408">
        <f>K4-L4-M4</f>
        <v>4733</v>
      </c>
      <c r="P4" s="129">
        <v>461</v>
      </c>
      <c r="Q4" s="129">
        <v>426</v>
      </c>
      <c r="R4" s="129" t="s">
        <v>9</v>
      </c>
      <c r="S4" s="129" t="s">
        <v>9</v>
      </c>
    </row>
    <row r="5" spans="1:19">
      <c r="A5" s="128">
        <v>2002</v>
      </c>
      <c r="B5" s="129">
        <v>19385</v>
      </c>
      <c r="C5" s="129">
        <v>2882</v>
      </c>
      <c r="D5" s="129">
        <v>3767</v>
      </c>
      <c r="E5" s="129">
        <v>3036</v>
      </c>
      <c r="F5" s="129">
        <v>2170</v>
      </c>
      <c r="G5" s="408">
        <f t="shared" ref="G5:G14" si="0">B5-C5-D5-E5</f>
        <v>9700</v>
      </c>
      <c r="H5" s="129">
        <v>1992</v>
      </c>
      <c r="I5" s="129" t="s">
        <v>9</v>
      </c>
      <c r="J5" s="136" t="s">
        <v>9</v>
      </c>
      <c r="K5" s="129">
        <v>7941</v>
      </c>
      <c r="L5" s="129">
        <v>1573</v>
      </c>
      <c r="M5" s="129">
        <v>1840</v>
      </c>
      <c r="N5" s="129">
        <v>1134</v>
      </c>
      <c r="O5" s="408">
        <f t="shared" ref="O5:O16" si="1">K5-L5-M5</f>
        <v>4528</v>
      </c>
      <c r="P5" s="129" t="s">
        <v>9</v>
      </c>
      <c r="Q5" s="129" t="s">
        <v>9</v>
      </c>
      <c r="R5" s="129" t="s">
        <v>9</v>
      </c>
      <c r="S5" s="129" t="s">
        <v>9</v>
      </c>
    </row>
    <row r="6" spans="1:19">
      <c r="A6" s="128">
        <v>2003</v>
      </c>
      <c r="B6" s="129">
        <v>18543</v>
      </c>
      <c r="C6" s="129">
        <v>2694</v>
      </c>
      <c r="D6" s="129">
        <v>3614</v>
      </c>
      <c r="E6" s="129">
        <v>3180</v>
      </c>
      <c r="F6" s="129">
        <v>2458</v>
      </c>
      <c r="G6" s="408">
        <f t="shared" si="0"/>
        <v>9055</v>
      </c>
      <c r="H6" s="129">
        <v>2545</v>
      </c>
      <c r="I6" s="129" t="s">
        <v>9</v>
      </c>
      <c r="J6" s="136" t="s">
        <v>9</v>
      </c>
      <c r="K6" s="129">
        <v>8101</v>
      </c>
      <c r="L6" s="129">
        <v>1514</v>
      </c>
      <c r="M6" s="129">
        <v>1839</v>
      </c>
      <c r="N6" s="129">
        <v>1193</v>
      </c>
      <c r="O6" s="408">
        <f t="shared" si="1"/>
        <v>4748</v>
      </c>
      <c r="P6" s="129" t="s">
        <v>9</v>
      </c>
      <c r="Q6" s="129" t="s">
        <v>9</v>
      </c>
      <c r="R6" s="129" t="s">
        <v>9</v>
      </c>
      <c r="S6" s="129" t="s">
        <v>9</v>
      </c>
    </row>
    <row r="7" spans="1:19">
      <c r="A7" s="128">
        <v>2004</v>
      </c>
      <c r="B7" s="129">
        <v>17746</v>
      </c>
      <c r="C7" s="129">
        <v>2541</v>
      </c>
      <c r="D7" s="129">
        <v>3787</v>
      </c>
      <c r="E7" s="129" t="s">
        <v>9</v>
      </c>
      <c r="F7" s="129" t="s">
        <v>9</v>
      </c>
      <c r="G7" s="408" t="s">
        <v>10</v>
      </c>
      <c r="H7" s="129" t="s">
        <v>9</v>
      </c>
      <c r="I7" s="129" t="s">
        <v>9</v>
      </c>
      <c r="J7" s="136" t="s">
        <v>9</v>
      </c>
      <c r="K7" s="129">
        <v>7966</v>
      </c>
      <c r="L7" s="129">
        <v>1463</v>
      </c>
      <c r="M7" s="129">
        <v>1906</v>
      </c>
      <c r="N7" s="129">
        <v>1090</v>
      </c>
      <c r="O7" s="408">
        <f t="shared" si="1"/>
        <v>4597</v>
      </c>
      <c r="P7" s="129" t="s">
        <v>9</v>
      </c>
      <c r="Q7" s="129" t="s">
        <v>9</v>
      </c>
      <c r="R7" s="129" t="s">
        <v>9</v>
      </c>
      <c r="S7" s="129" t="s">
        <v>9</v>
      </c>
    </row>
    <row r="8" spans="1:19">
      <c r="A8" s="128">
        <v>2005</v>
      </c>
      <c r="B8" s="129">
        <v>17300</v>
      </c>
      <c r="C8" s="129">
        <v>2657</v>
      </c>
      <c r="D8" s="129">
        <v>3618</v>
      </c>
      <c r="E8" s="129">
        <v>3214</v>
      </c>
      <c r="F8" s="129">
        <v>2171</v>
      </c>
      <c r="G8" s="408">
        <f t="shared" si="0"/>
        <v>7811</v>
      </c>
      <c r="H8" s="129">
        <v>1976</v>
      </c>
      <c r="I8" s="129" t="s">
        <v>9</v>
      </c>
      <c r="J8" s="136" t="s">
        <v>9</v>
      </c>
      <c r="K8" s="129">
        <v>7666</v>
      </c>
      <c r="L8" s="129">
        <v>1481</v>
      </c>
      <c r="M8" s="129">
        <v>1793</v>
      </c>
      <c r="N8" s="129">
        <v>1194</v>
      </c>
      <c r="O8" s="408">
        <f t="shared" si="1"/>
        <v>4392</v>
      </c>
      <c r="P8" s="129" t="s">
        <v>9</v>
      </c>
      <c r="Q8" s="129" t="s">
        <v>9</v>
      </c>
      <c r="R8" s="129" t="s">
        <v>9</v>
      </c>
      <c r="S8" s="129" t="s">
        <v>9</v>
      </c>
    </row>
    <row r="9" spans="1:19">
      <c r="A9" s="128">
        <v>2006</v>
      </c>
      <c r="B9" s="129">
        <v>16789</v>
      </c>
      <c r="C9" s="129">
        <v>2530</v>
      </c>
      <c r="D9" s="129">
        <v>3592</v>
      </c>
      <c r="E9" s="129">
        <v>2995</v>
      </c>
      <c r="F9" s="129">
        <v>1960</v>
      </c>
      <c r="G9" s="408">
        <f t="shared" si="0"/>
        <v>7672</v>
      </c>
      <c r="H9" s="129">
        <v>1802</v>
      </c>
      <c r="I9" s="129" t="s">
        <v>9</v>
      </c>
      <c r="J9" s="136" t="s">
        <v>9</v>
      </c>
      <c r="K9" s="129">
        <v>7205</v>
      </c>
      <c r="L9" s="129">
        <v>1371</v>
      </c>
      <c r="M9" s="129">
        <v>1638</v>
      </c>
      <c r="N9" s="129">
        <v>1104</v>
      </c>
      <c r="O9" s="408">
        <f t="shared" si="1"/>
        <v>4196</v>
      </c>
      <c r="P9" s="129" t="s">
        <v>9</v>
      </c>
      <c r="Q9" s="129" t="s">
        <v>9</v>
      </c>
      <c r="R9" s="129" t="s">
        <v>9</v>
      </c>
      <c r="S9" s="129" t="s">
        <v>9</v>
      </c>
    </row>
    <row r="10" spans="1:19">
      <c r="A10" s="128">
        <v>2007</v>
      </c>
      <c r="B10" s="129">
        <v>15340</v>
      </c>
      <c r="C10" s="129">
        <v>2371</v>
      </c>
      <c r="D10" s="129">
        <v>3226</v>
      </c>
      <c r="E10" s="129">
        <v>2790</v>
      </c>
      <c r="F10" s="129">
        <v>1784</v>
      </c>
      <c r="G10" s="408">
        <f t="shared" si="0"/>
        <v>6953</v>
      </c>
      <c r="H10" s="129">
        <v>1727</v>
      </c>
      <c r="I10" s="129" t="s">
        <v>9</v>
      </c>
      <c r="J10" s="136" t="s">
        <v>9</v>
      </c>
      <c r="K10" s="129">
        <v>6332</v>
      </c>
      <c r="L10" s="129">
        <v>1154</v>
      </c>
      <c r="M10" s="129">
        <v>1573</v>
      </c>
      <c r="N10" s="129">
        <v>1008</v>
      </c>
      <c r="O10" s="408">
        <f t="shared" si="1"/>
        <v>3605</v>
      </c>
      <c r="P10" s="129" t="s">
        <v>9</v>
      </c>
      <c r="Q10" s="129" t="s">
        <v>9</v>
      </c>
      <c r="R10" s="129" t="s">
        <v>9</v>
      </c>
      <c r="S10" s="129" t="s">
        <v>9</v>
      </c>
    </row>
    <row r="11" spans="1:19">
      <c r="A11" s="128">
        <v>2008</v>
      </c>
      <c r="B11" s="129">
        <v>13447</v>
      </c>
      <c r="C11" s="129">
        <v>2087</v>
      </c>
      <c r="D11" s="129">
        <v>3160</v>
      </c>
      <c r="E11" s="129">
        <v>2537</v>
      </c>
      <c r="F11" s="129" t="s">
        <v>9</v>
      </c>
      <c r="G11" s="408">
        <f t="shared" si="0"/>
        <v>5663</v>
      </c>
      <c r="H11" s="129" t="s">
        <v>9</v>
      </c>
      <c r="I11" s="129" t="s">
        <v>9</v>
      </c>
      <c r="J11" s="136" t="s">
        <v>9</v>
      </c>
      <c r="K11" s="129">
        <v>5544</v>
      </c>
      <c r="L11" s="129">
        <v>986</v>
      </c>
      <c r="M11" s="129">
        <v>1459</v>
      </c>
      <c r="N11" s="129">
        <v>957</v>
      </c>
      <c r="O11" s="408">
        <f t="shared" si="1"/>
        <v>3099</v>
      </c>
      <c r="P11" s="129" t="s">
        <v>9</v>
      </c>
      <c r="Q11" s="129" t="s">
        <v>9</v>
      </c>
      <c r="R11" s="129" t="s">
        <v>9</v>
      </c>
      <c r="S11" s="129" t="s">
        <v>9</v>
      </c>
    </row>
    <row r="12" spans="1:19">
      <c r="A12" s="128">
        <v>2009</v>
      </c>
      <c r="B12" s="129">
        <v>12289</v>
      </c>
      <c r="C12" s="129">
        <v>1975</v>
      </c>
      <c r="D12" s="129">
        <v>2930</v>
      </c>
      <c r="E12" s="129">
        <v>2208</v>
      </c>
      <c r="F12" s="129" t="s">
        <v>9</v>
      </c>
      <c r="G12" s="408">
        <f t="shared" si="0"/>
        <v>5176</v>
      </c>
      <c r="H12" s="129" t="s">
        <v>9</v>
      </c>
      <c r="I12" s="129" t="s">
        <v>9</v>
      </c>
      <c r="J12" s="136" t="s">
        <v>9</v>
      </c>
      <c r="K12" s="129">
        <v>4406</v>
      </c>
      <c r="L12" s="129">
        <v>941</v>
      </c>
      <c r="M12" s="129">
        <v>1356</v>
      </c>
      <c r="N12" s="129">
        <v>834</v>
      </c>
      <c r="O12" s="408">
        <f t="shared" si="1"/>
        <v>2109</v>
      </c>
      <c r="P12" s="129" t="s">
        <v>9</v>
      </c>
      <c r="Q12" s="129" t="s">
        <v>9</v>
      </c>
      <c r="R12" s="129" t="s">
        <v>9</v>
      </c>
      <c r="S12" s="129" t="s">
        <v>9</v>
      </c>
    </row>
    <row r="13" spans="1:19">
      <c r="A13" s="128">
        <v>2010</v>
      </c>
      <c r="B13" s="129">
        <v>11457</v>
      </c>
      <c r="C13" s="129">
        <v>2006</v>
      </c>
      <c r="D13" s="129">
        <v>3057</v>
      </c>
      <c r="E13" s="129">
        <v>2352</v>
      </c>
      <c r="F13" s="129">
        <v>1404</v>
      </c>
      <c r="G13" s="408">
        <f t="shared" si="0"/>
        <v>4042</v>
      </c>
      <c r="H13" s="129">
        <v>1552</v>
      </c>
      <c r="I13" s="129" t="s">
        <v>9</v>
      </c>
      <c r="J13" s="136" t="s">
        <v>9</v>
      </c>
      <c r="K13" s="129">
        <v>4592</v>
      </c>
      <c r="L13" s="129">
        <v>1031</v>
      </c>
      <c r="M13" s="129">
        <v>1405</v>
      </c>
      <c r="N13" s="129">
        <v>969</v>
      </c>
      <c r="O13" s="408">
        <f t="shared" si="1"/>
        <v>2156</v>
      </c>
      <c r="P13" s="129" t="s">
        <v>9</v>
      </c>
      <c r="Q13" s="129" t="s">
        <v>9</v>
      </c>
      <c r="R13" s="129" t="s">
        <v>9</v>
      </c>
      <c r="S13" s="129" t="s">
        <v>9</v>
      </c>
    </row>
    <row r="14" spans="1:19">
      <c r="A14" s="128">
        <v>2011</v>
      </c>
      <c r="B14" s="129">
        <v>10927</v>
      </c>
      <c r="C14" s="129">
        <v>1949</v>
      </c>
      <c r="D14" s="129">
        <v>3080</v>
      </c>
      <c r="E14" s="129">
        <v>2085</v>
      </c>
      <c r="F14" s="129" t="s">
        <v>9</v>
      </c>
      <c r="G14" s="408">
        <f t="shared" si="0"/>
        <v>3813</v>
      </c>
      <c r="H14" s="129" t="s">
        <v>9</v>
      </c>
      <c r="I14" s="129" t="s">
        <v>9</v>
      </c>
      <c r="J14" s="136" t="s">
        <v>9</v>
      </c>
      <c r="K14" s="129">
        <v>4870</v>
      </c>
      <c r="L14" s="129">
        <v>1056</v>
      </c>
      <c r="M14" s="129">
        <v>1440</v>
      </c>
      <c r="N14" s="129">
        <v>988</v>
      </c>
      <c r="O14" s="408">
        <f t="shared" si="1"/>
        <v>2374</v>
      </c>
      <c r="P14" s="129" t="s">
        <v>9</v>
      </c>
      <c r="Q14" s="129" t="s">
        <v>9</v>
      </c>
      <c r="R14" s="129" t="s">
        <v>9</v>
      </c>
      <c r="S14" s="129" t="s">
        <v>9</v>
      </c>
    </row>
    <row r="15" spans="1:19">
      <c r="A15" s="128">
        <v>2012</v>
      </c>
      <c r="B15" s="129">
        <v>10636</v>
      </c>
      <c r="C15" s="129" t="s">
        <v>9</v>
      </c>
      <c r="D15" s="129" t="s">
        <v>9</v>
      </c>
      <c r="E15" s="129" t="s">
        <v>9</v>
      </c>
      <c r="F15" s="129" t="s">
        <v>9</v>
      </c>
      <c r="G15" s="408" t="s">
        <v>10</v>
      </c>
      <c r="H15" s="129" t="s">
        <v>9</v>
      </c>
      <c r="I15" s="129" t="s">
        <v>9</v>
      </c>
      <c r="J15" s="136" t="s">
        <v>9</v>
      </c>
      <c r="K15" s="129">
        <v>4831</v>
      </c>
      <c r="L15" s="129">
        <v>999</v>
      </c>
      <c r="M15" s="129">
        <v>1366</v>
      </c>
      <c r="N15" s="129">
        <v>981</v>
      </c>
      <c r="O15" s="408">
        <f t="shared" si="1"/>
        <v>2466</v>
      </c>
      <c r="P15" s="129" t="s">
        <v>9</v>
      </c>
      <c r="Q15" s="129" t="s">
        <v>9</v>
      </c>
      <c r="R15" s="129" t="s">
        <v>9</v>
      </c>
      <c r="S15" s="129" t="s">
        <v>9</v>
      </c>
    </row>
    <row r="16" spans="1:19">
      <c r="A16" s="128">
        <v>2013</v>
      </c>
      <c r="B16" s="129">
        <v>9526</v>
      </c>
      <c r="C16" s="129" t="s">
        <v>9</v>
      </c>
      <c r="D16" s="129" t="s">
        <v>9</v>
      </c>
      <c r="E16" s="129" t="s">
        <v>9</v>
      </c>
      <c r="F16" s="129" t="s">
        <v>9</v>
      </c>
      <c r="G16" s="408" t="s">
        <v>10</v>
      </c>
      <c r="H16" s="129" t="s">
        <v>9</v>
      </c>
      <c r="I16" s="129" t="s">
        <v>9</v>
      </c>
      <c r="J16" s="136" t="s">
        <v>9</v>
      </c>
      <c r="K16" s="129">
        <v>4871</v>
      </c>
      <c r="L16" s="129">
        <v>936</v>
      </c>
      <c r="M16" s="129">
        <v>1378</v>
      </c>
      <c r="N16" s="129">
        <v>916</v>
      </c>
      <c r="O16" s="408">
        <f t="shared" si="1"/>
        <v>2557</v>
      </c>
      <c r="P16" s="129" t="s">
        <v>9</v>
      </c>
      <c r="Q16" s="129" t="s">
        <v>9</v>
      </c>
      <c r="R16" s="129" t="s">
        <v>9</v>
      </c>
      <c r="S16" s="129" t="s">
        <v>9</v>
      </c>
    </row>
    <row r="18" spans="1:2">
      <c r="A18" s="125" t="s">
        <v>39</v>
      </c>
      <c r="B18" s="125"/>
    </row>
    <row r="19" spans="1:2">
      <c r="A19" s="125" t="s">
        <v>9</v>
      </c>
      <c r="B19" s="125" t="s">
        <v>42</v>
      </c>
    </row>
    <row r="20" spans="1:2">
      <c r="A20" s="125" t="s">
        <v>40</v>
      </c>
      <c r="B20" s="125"/>
    </row>
    <row r="21" spans="1:2">
      <c r="A21" s="125">
        <v>1</v>
      </c>
      <c r="B21" s="125" t="s">
        <v>142</v>
      </c>
    </row>
    <row r="22" spans="1:2">
      <c r="A22" s="125" t="s">
        <v>143</v>
      </c>
      <c r="B22" s="125"/>
    </row>
  </sheetData>
  <mergeCells count="3">
    <mergeCell ref="B2:J2"/>
    <mergeCell ref="K2:S2"/>
    <mergeCell ref="A1:S1"/>
  </mergeCells>
  <printOptions gridLines="1"/>
  <pageMargins left="0.7" right="0.7" top="0.75" bottom="0.75" header="0.3" footer="0.3"/>
  <pageSetup scale="70" orientation="landscape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2"/>
  <sheetViews>
    <sheetView view="pageBreakPreview" zoomScaleNormal="100" zoomScaleSheetLayoutView="100" workbookViewId="0">
      <selection activeCell="E26" sqref="E26"/>
    </sheetView>
  </sheetViews>
  <sheetFormatPr defaultRowHeight="15"/>
  <cols>
    <col min="1" max="16384" width="9.140625" style="429"/>
  </cols>
  <sheetData>
    <row r="1" spans="1:19" ht="15" customHeight="1">
      <c r="A1" s="466" t="s">
        <v>615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</row>
    <row r="2" spans="1:19">
      <c r="A2" s="431"/>
      <c r="B2" s="467" t="s">
        <v>132</v>
      </c>
      <c r="C2" s="467"/>
      <c r="D2" s="467"/>
      <c r="E2" s="467"/>
      <c r="F2" s="467"/>
      <c r="G2" s="467"/>
      <c r="H2" s="467"/>
      <c r="I2" s="467"/>
      <c r="J2" s="468"/>
      <c r="K2" s="466" t="s">
        <v>133</v>
      </c>
      <c r="L2" s="466"/>
      <c r="M2" s="466"/>
      <c r="N2" s="466"/>
      <c r="O2" s="466"/>
      <c r="P2" s="466"/>
      <c r="Q2" s="466"/>
      <c r="R2" s="466"/>
      <c r="S2" s="466"/>
    </row>
    <row r="3" spans="1:19" ht="60">
      <c r="A3" s="439"/>
      <c r="B3" s="439" t="s">
        <v>134</v>
      </c>
      <c r="C3" s="439" t="s">
        <v>135</v>
      </c>
      <c r="D3" s="439" t="s">
        <v>136</v>
      </c>
      <c r="E3" s="439" t="s">
        <v>137</v>
      </c>
      <c r="F3" s="439" t="s">
        <v>138</v>
      </c>
      <c r="G3" s="439" t="s">
        <v>614</v>
      </c>
      <c r="H3" s="439" t="s">
        <v>139</v>
      </c>
      <c r="I3" s="439" t="s">
        <v>140</v>
      </c>
      <c r="J3" s="440" t="s">
        <v>141</v>
      </c>
      <c r="K3" s="439" t="s">
        <v>134</v>
      </c>
      <c r="L3" s="439" t="s">
        <v>135</v>
      </c>
      <c r="M3" s="439" t="s">
        <v>136</v>
      </c>
      <c r="N3" s="439" t="s">
        <v>137</v>
      </c>
      <c r="O3" s="439" t="s">
        <v>614</v>
      </c>
      <c r="P3" s="439" t="s">
        <v>138</v>
      </c>
      <c r="Q3" s="439" t="s">
        <v>139</v>
      </c>
      <c r="R3" s="439" t="s">
        <v>140</v>
      </c>
      <c r="S3" s="439" t="s">
        <v>141</v>
      </c>
    </row>
    <row r="4" spans="1:19">
      <c r="A4" s="438">
        <v>2001</v>
      </c>
      <c r="B4" s="399">
        <f>'8M'!B4/'8M'!$B4*100</f>
        <v>100</v>
      </c>
      <c r="C4" s="399">
        <f>'8M'!C4/'8M'!$B4*100</f>
        <v>14.501206757843926</v>
      </c>
      <c r="D4" s="399">
        <f>'8M'!D4/'8M'!$B4*100</f>
        <v>19.946701528559935</v>
      </c>
      <c r="E4" s="399">
        <f>'8M'!E4/'8M'!$B4*100</f>
        <v>14.662107803700724</v>
      </c>
      <c r="F4" s="399">
        <f>'8M'!F4/'8M'!$B4*100</f>
        <v>11.247988736926789</v>
      </c>
      <c r="G4" s="399">
        <f>'8M'!G4/'8M'!$B4*100</f>
        <v>50.88998390989542</v>
      </c>
      <c r="H4" s="399">
        <f>'8M'!H4/'8M'!$B4*100</f>
        <v>11.680410297666935</v>
      </c>
      <c r="I4" s="399"/>
      <c r="J4" s="399"/>
      <c r="K4" s="443">
        <f>'8M'!K4/'8M'!$B4*100</f>
        <v>40.843724859211584</v>
      </c>
      <c r="L4" s="399">
        <f>'8M'!L4/'8M'!$B4*100</f>
        <v>7.7182220434432818</v>
      </c>
      <c r="M4" s="399">
        <f>'8M'!M4/'8M'!$B4*100</f>
        <v>9.3272325020112632</v>
      </c>
      <c r="N4" s="399">
        <f>'8M'!N4/'8M'!$B4*100</f>
        <v>5.2544247787610621</v>
      </c>
      <c r="O4" s="399">
        <f>'8M'!O4/'8M'!$B4*100</f>
        <v>23.79827031375704</v>
      </c>
      <c r="P4" s="399">
        <f>'8M'!P4/'8M'!$B4*100</f>
        <v>2.3179806918744972</v>
      </c>
      <c r="Q4" s="399">
        <f>'8M'!Q4/'8M'!$B4*100</f>
        <v>2.141995172968624</v>
      </c>
      <c r="R4" s="408"/>
      <c r="S4" s="408"/>
    </row>
    <row r="5" spans="1:19">
      <c r="A5" s="438">
        <v>2002</v>
      </c>
      <c r="B5" s="399">
        <f>'8M'!B5/'8M'!$B5*100</f>
        <v>100</v>
      </c>
      <c r="C5" s="399">
        <f>'8M'!C5/'8M'!$B5*100</f>
        <v>14.867165334021152</v>
      </c>
      <c r="D5" s="399">
        <f>'8M'!D5/'8M'!$B5*100</f>
        <v>19.432550941449573</v>
      </c>
      <c r="E5" s="399">
        <f>'8M'!E5/'8M'!$B5*100</f>
        <v>15.661594015991746</v>
      </c>
      <c r="F5" s="399">
        <f>'8M'!F5/'8M'!$B5*100</f>
        <v>11.194222336858397</v>
      </c>
      <c r="G5" s="399">
        <f>'8M'!G5/'8M'!$B5*100</f>
        <v>50.038689708537532</v>
      </c>
      <c r="H5" s="399">
        <f>'8M'!H5/'8M'!$B5*100</f>
        <v>10.275986587567706</v>
      </c>
      <c r="I5" s="399"/>
      <c r="J5" s="399"/>
      <c r="K5" s="443">
        <f>'8M'!K5/'8M'!$B5*100</f>
        <v>40.964663399535723</v>
      </c>
      <c r="L5" s="399">
        <f>'8M'!L5/'8M'!$B5*100</f>
        <v>8.1145215372710862</v>
      </c>
      <c r="M5" s="399">
        <f>'8M'!M5/'8M'!$B5*100</f>
        <v>9.491875161207119</v>
      </c>
      <c r="N5" s="399">
        <f>'8M'!N5/'8M'!$B5*100</f>
        <v>5.8498839308743875</v>
      </c>
      <c r="O5" s="399">
        <f>'8M'!O5/'8M'!$B5*100</f>
        <v>23.358266701057516</v>
      </c>
      <c r="P5" s="399"/>
      <c r="Q5" s="399"/>
      <c r="R5" s="408"/>
      <c r="S5" s="408"/>
    </row>
    <row r="6" spans="1:19">
      <c r="A6" s="438">
        <v>2003</v>
      </c>
      <c r="B6" s="399">
        <f>'8M'!B6/'8M'!$B6*100</f>
        <v>100</v>
      </c>
      <c r="C6" s="399">
        <f>'8M'!C6/'8M'!$B6*100</f>
        <v>14.528393463840802</v>
      </c>
      <c r="D6" s="399">
        <f>'8M'!D6/'8M'!$B6*100</f>
        <v>19.48983443887181</v>
      </c>
      <c r="E6" s="399">
        <f>'8M'!E6/'8M'!$B6*100</f>
        <v>17.149328587607183</v>
      </c>
      <c r="F6" s="399">
        <f>'8M'!F6/'8M'!$B6*100</f>
        <v>13.255675996332847</v>
      </c>
      <c r="G6" s="399">
        <f>'8M'!G6/'8M'!$B6*100</f>
        <v>48.832443509680203</v>
      </c>
      <c r="H6" s="399">
        <f>'8M'!H6/'8M'!$B6*100</f>
        <v>13.724855740710781</v>
      </c>
      <c r="I6" s="399"/>
      <c r="J6" s="399"/>
      <c r="K6" s="443">
        <f>'8M'!K6/'8M'!$B6*100</f>
        <v>43.687644933398047</v>
      </c>
      <c r="L6" s="399">
        <f>'8M'!L6/'8M'!$B6*100</f>
        <v>8.1648061263010305</v>
      </c>
      <c r="M6" s="399">
        <f>'8M'!M6/'8M'!$B6*100</f>
        <v>9.9174890794369848</v>
      </c>
      <c r="N6" s="399">
        <f>'8M'!N6/'8M'!$B6*100</f>
        <v>6.4336946556652101</v>
      </c>
      <c r="O6" s="399">
        <f>'8M'!O6/'8M'!$B6*100</f>
        <v>25.60534972766003</v>
      </c>
      <c r="P6" s="399"/>
      <c r="Q6" s="399"/>
      <c r="R6" s="408"/>
      <c r="S6" s="408"/>
    </row>
    <row r="7" spans="1:19">
      <c r="A7" s="438">
        <v>2004</v>
      </c>
      <c r="B7" s="399">
        <f>'8M'!B7/'8M'!$B7*100</f>
        <v>100</v>
      </c>
      <c r="C7" s="399">
        <f>'8M'!C7/'8M'!$B7*100</f>
        <v>14.318719711484279</v>
      </c>
      <c r="D7" s="399">
        <f>'8M'!D7/'8M'!$B7*100</f>
        <v>21.340020286261694</v>
      </c>
      <c r="E7" s="399"/>
      <c r="F7" s="399"/>
      <c r="G7" s="399"/>
      <c r="H7" s="399"/>
      <c r="I7" s="399"/>
      <c r="J7" s="399"/>
      <c r="K7" s="443">
        <f>'8M'!K7/'8M'!$B7*100</f>
        <v>44.888989067958981</v>
      </c>
      <c r="L7" s="399">
        <f>'8M'!L7/'8M'!$B7*100</f>
        <v>8.2441113490364017</v>
      </c>
      <c r="M7" s="399">
        <f>'8M'!M7/'8M'!$B7*100</f>
        <v>10.740448551786317</v>
      </c>
      <c r="N7" s="399">
        <f>'8M'!N7/'8M'!$B7*100</f>
        <v>6.1422292347571279</v>
      </c>
      <c r="O7" s="399">
        <f>'8M'!O7/'8M'!$B7*100</f>
        <v>25.904429167136257</v>
      </c>
      <c r="P7" s="399"/>
      <c r="Q7" s="399"/>
      <c r="R7" s="408"/>
      <c r="S7" s="408"/>
    </row>
    <row r="8" spans="1:19">
      <c r="A8" s="438">
        <v>2005</v>
      </c>
      <c r="B8" s="399">
        <f>'8M'!B8/'8M'!$B8*100</f>
        <v>100</v>
      </c>
      <c r="C8" s="399">
        <f>'8M'!C8/'8M'!$B8*100</f>
        <v>15.358381502890172</v>
      </c>
      <c r="D8" s="399">
        <f>'8M'!D8/'8M'!$B8*100</f>
        <v>20.913294797687861</v>
      </c>
      <c r="E8" s="399">
        <f>'8M'!E8/'8M'!$B8*100</f>
        <v>18.578034682080926</v>
      </c>
      <c r="F8" s="399">
        <f>'8M'!F8/'8M'!$B8*100</f>
        <v>12.549132947976879</v>
      </c>
      <c r="G8" s="399">
        <f>'8M'!G8/'8M'!$B8*100</f>
        <v>45.150289017341038</v>
      </c>
      <c r="H8" s="399">
        <f>'8M'!H8/'8M'!$B8*100</f>
        <v>11.421965317919074</v>
      </c>
      <c r="I8" s="399"/>
      <c r="J8" s="399"/>
      <c r="K8" s="443">
        <f>'8M'!K8/'8M'!$B8*100</f>
        <v>44.312138728323696</v>
      </c>
      <c r="L8" s="399">
        <f>'8M'!L8/'8M'!$B8*100</f>
        <v>8.5606936416184976</v>
      </c>
      <c r="M8" s="399">
        <f>'8M'!M8/'8M'!$B8*100</f>
        <v>10.364161849710984</v>
      </c>
      <c r="N8" s="399">
        <f>'8M'!N8/'8M'!$B8*100</f>
        <v>6.9017341040462421</v>
      </c>
      <c r="O8" s="399">
        <f>'8M'!O8/'8M'!$B8*100</f>
        <v>25.387283236994218</v>
      </c>
      <c r="P8" s="399"/>
      <c r="Q8" s="399"/>
      <c r="R8" s="408"/>
      <c r="S8" s="408"/>
    </row>
    <row r="9" spans="1:19">
      <c r="A9" s="438">
        <v>2006</v>
      </c>
      <c r="B9" s="399">
        <f>'8M'!B9/'8M'!$B9*100</f>
        <v>100</v>
      </c>
      <c r="C9" s="399">
        <f>'8M'!C9/'8M'!$B9*100</f>
        <v>15.069390672464115</v>
      </c>
      <c r="D9" s="399">
        <f>'8M'!D9/'8M'!$B9*100</f>
        <v>21.394960986360118</v>
      </c>
      <c r="E9" s="399">
        <f>'8M'!E9/'8M'!$B9*100</f>
        <v>17.839061290130442</v>
      </c>
      <c r="F9" s="399">
        <f>'8M'!F9/'8M'!$B9*100</f>
        <v>11.674310560486033</v>
      </c>
      <c r="G9" s="399">
        <f>'8M'!G9/'8M'!$B9*100</f>
        <v>45.696587051045327</v>
      </c>
      <c r="H9" s="399">
        <f>'8M'!H9/'8M'!$B9*100</f>
        <v>10.733218178569301</v>
      </c>
      <c r="I9" s="399"/>
      <c r="J9" s="399"/>
      <c r="K9" s="443">
        <f>'8M'!K9/'8M'!$B9*100</f>
        <v>42.915003871582584</v>
      </c>
      <c r="L9" s="399">
        <f>'8M'!L9/'8M'!$B9*100</f>
        <v>8.1660611114420156</v>
      </c>
      <c r="M9" s="399">
        <f>'8M'!M9/'8M'!$B9*100</f>
        <v>9.7563881112633268</v>
      </c>
      <c r="N9" s="399">
        <f>'8M'!N9/'8M'!$B9*100</f>
        <v>6.5757341116207044</v>
      </c>
      <c r="O9" s="399">
        <f>'8M'!O9/'8M'!$B9*100</f>
        <v>24.992554648877242</v>
      </c>
      <c r="P9" s="399"/>
      <c r="Q9" s="399"/>
      <c r="R9" s="408"/>
      <c r="S9" s="408"/>
    </row>
    <row r="10" spans="1:19">
      <c r="A10" s="438">
        <v>2007</v>
      </c>
      <c r="B10" s="399">
        <f>'8M'!B10/'8M'!$B10*100</f>
        <v>100</v>
      </c>
      <c r="C10" s="399">
        <f>'8M'!C10/'8M'!$B10*100</f>
        <v>15.456323337679271</v>
      </c>
      <c r="D10" s="399">
        <f>'8M'!D10/'8M'!$B10*100</f>
        <v>21.029986962190353</v>
      </c>
      <c r="E10" s="399">
        <f>'8M'!E10/'8M'!$B10*100</f>
        <v>18.187744458930901</v>
      </c>
      <c r="F10" s="399">
        <f>'8M'!F10/'8M'!$B10*100</f>
        <v>11.629726205997393</v>
      </c>
      <c r="G10" s="399">
        <f>'8M'!G10/'8M'!$B10*100</f>
        <v>45.325945241199477</v>
      </c>
      <c r="H10" s="399">
        <f>'8M'!H10/'8M'!$B10*100</f>
        <v>11.258148631029986</v>
      </c>
      <c r="I10" s="399"/>
      <c r="J10" s="399"/>
      <c r="K10" s="443">
        <f>'8M'!K10/'8M'!$B10*100</f>
        <v>41.277705345501957</v>
      </c>
      <c r="L10" s="399">
        <f>'8M'!L10/'8M'!$B10*100</f>
        <v>7.5228161668839642</v>
      </c>
      <c r="M10" s="399">
        <f>'8M'!M10/'8M'!$B10*100</f>
        <v>10.254237288135592</v>
      </c>
      <c r="N10" s="399">
        <f>'8M'!N10/'8M'!$B10*100</f>
        <v>6.5710560625814862</v>
      </c>
      <c r="O10" s="399">
        <f>'8M'!O10/'8M'!$B10*100</f>
        <v>23.500651890482398</v>
      </c>
      <c r="P10" s="399"/>
      <c r="Q10" s="399"/>
      <c r="R10" s="408"/>
      <c r="S10" s="408"/>
    </row>
    <row r="11" spans="1:19">
      <c r="A11" s="438">
        <v>2008</v>
      </c>
      <c r="B11" s="399">
        <f>'8M'!B11/'8M'!$B11*100</f>
        <v>100</v>
      </c>
      <c r="C11" s="399">
        <f>'8M'!C11/'8M'!$B11*100</f>
        <v>15.520190377035769</v>
      </c>
      <c r="D11" s="399">
        <f>'8M'!D11/'8M'!$B11*100</f>
        <v>23.49966535286681</v>
      </c>
      <c r="E11" s="399">
        <f>'8M'!E11/'8M'!$B11*100</f>
        <v>18.86666170893136</v>
      </c>
      <c r="F11" s="399"/>
      <c r="G11" s="399">
        <f>'8M'!G11/'8M'!$B11*100</f>
        <v>42.113482561166059</v>
      </c>
      <c r="H11" s="399"/>
      <c r="I11" s="399"/>
      <c r="J11" s="399"/>
      <c r="K11" s="443">
        <f>'8M'!K11/'8M'!$B11*100</f>
        <v>41.228526808953667</v>
      </c>
      <c r="L11" s="399">
        <f>'8M'!L11/'8M'!$B11*100</f>
        <v>7.3324905183312268</v>
      </c>
      <c r="M11" s="399">
        <f>'8M'!M11/'8M'!$B11*100</f>
        <v>10.85000371830148</v>
      </c>
      <c r="N11" s="399">
        <f>'8M'!N11/'8M'!$B11*100</f>
        <v>7.1168290324979555</v>
      </c>
      <c r="O11" s="399">
        <f>'8M'!O11/'8M'!$B11*100</f>
        <v>23.046032572320961</v>
      </c>
      <c r="P11" s="399"/>
      <c r="Q11" s="399"/>
      <c r="R11" s="408"/>
      <c r="S11" s="408"/>
    </row>
    <row r="12" spans="1:19">
      <c r="A12" s="438">
        <v>2009</v>
      </c>
      <c r="B12" s="399">
        <f>'8M'!B12/'8M'!$B12*100</f>
        <v>100</v>
      </c>
      <c r="C12" s="399">
        <f>'8M'!C12/'8M'!$B12*100</f>
        <v>16.071283261453331</v>
      </c>
      <c r="D12" s="399">
        <f>'8M'!D12/'8M'!$B12*100</f>
        <v>23.842460737244693</v>
      </c>
      <c r="E12" s="399">
        <f>'8M'!E12/'8M'!$B12*100</f>
        <v>17.967287818374157</v>
      </c>
      <c r="F12" s="399"/>
      <c r="G12" s="399">
        <f>'8M'!G12/'8M'!$B12*100</f>
        <v>42.118968182927823</v>
      </c>
      <c r="H12" s="399"/>
      <c r="I12" s="399"/>
      <c r="J12" s="399"/>
      <c r="K12" s="443">
        <f>'8M'!K12/'8M'!$B12*100</f>
        <v>35.853202050614371</v>
      </c>
      <c r="L12" s="399">
        <f>'8M'!L12/'8M'!$B12*100</f>
        <v>7.6572544552038408</v>
      </c>
      <c r="M12" s="399">
        <f>'8M'!M12/'8M'!$B12*100</f>
        <v>11.034258279762389</v>
      </c>
      <c r="N12" s="399">
        <f>'8M'!N12/'8M'!$B12*100</f>
        <v>6.7865570835706723</v>
      </c>
      <c r="O12" s="399">
        <f>'8M'!O12/'8M'!$B12*100</f>
        <v>17.16168931564814</v>
      </c>
      <c r="P12" s="399"/>
      <c r="Q12" s="399"/>
      <c r="R12" s="408"/>
      <c r="S12" s="408"/>
    </row>
    <row r="13" spans="1:19">
      <c r="A13" s="438">
        <v>2010</v>
      </c>
      <c r="B13" s="399">
        <f>'8M'!B13/'8M'!$B13*100</f>
        <v>100</v>
      </c>
      <c r="C13" s="399">
        <f>'8M'!C13/'8M'!$B13*100</f>
        <v>17.508946495592216</v>
      </c>
      <c r="D13" s="399">
        <f>'8M'!D13/'8M'!$B13*100</f>
        <v>26.682377585755436</v>
      </c>
      <c r="E13" s="399">
        <f>'8M'!E13/'8M'!$B13*100</f>
        <v>20.52893427598848</v>
      </c>
      <c r="F13" s="399">
        <f>'8M'!F13/'8M'!$B13*100</f>
        <v>12.254516889238021</v>
      </c>
      <c r="G13" s="399">
        <f>'8M'!G13/'8M'!$B13*100</f>
        <v>35.279741642663879</v>
      </c>
      <c r="H13" s="399">
        <f>'8M'!H13/'8M'!$B13*100</f>
        <v>13.54630356986995</v>
      </c>
      <c r="I13" s="399"/>
      <c r="J13" s="399"/>
      <c r="K13" s="443">
        <f>'8M'!K13/'8M'!$B13*100</f>
        <v>40.080300253120363</v>
      </c>
      <c r="L13" s="399">
        <f>'8M'!L13/'8M'!$B13*100</f>
        <v>8.9988653225102571</v>
      </c>
      <c r="M13" s="399">
        <f>'8M'!M13/'8M'!$B13*100</f>
        <v>12.263245177620668</v>
      </c>
      <c r="N13" s="399">
        <f>'8M'!N13/'8M'!$B13*100</f>
        <v>8.4577114427860707</v>
      </c>
      <c r="O13" s="399">
        <f>'8M'!O13/'8M'!$B13*100</f>
        <v>18.81818975298944</v>
      </c>
      <c r="P13" s="399"/>
      <c r="Q13" s="399"/>
      <c r="R13" s="408"/>
      <c r="S13" s="408"/>
    </row>
    <row r="14" spans="1:19">
      <c r="A14" s="438">
        <v>2011</v>
      </c>
      <c r="B14" s="399">
        <f>'8M'!B14/'8M'!$B14*100</f>
        <v>100</v>
      </c>
      <c r="C14" s="399">
        <f>'8M'!C14/'8M'!$B14*100</f>
        <v>17.836551661023154</v>
      </c>
      <c r="D14" s="399">
        <f>'8M'!D14/'8M'!$B14*100</f>
        <v>28.187059577194105</v>
      </c>
      <c r="E14" s="399">
        <f>'8M'!E14/'8M'!$B14*100</f>
        <v>19.08117507092523</v>
      </c>
      <c r="F14" s="399"/>
      <c r="G14" s="399">
        <f>'8M'!G14/'8M'!$B14*100</f>
        <v>34.89521369085751</v>
      </c>
      <c r="H14" s="399"/>
      <c r="I14" s="399"/>
      <c r="J14" s="399"/>
      <c r="K14" s="443">
        <f>'8M'!K14/'8M'!$B14*100</f>
        <v>44.568500045758213</v>
      </c>
      <c r="L14" s="399">
        <f>'8M'!L14/'8M'!$B14*100</f>
        <v>9.6641347121808376</v>
      </c>
      <c r="M14" s="399">
        <f>'8M'!M14/'8M'!$B14*100</f>
        <v>13.178365516610233</v>
      </c>
      <c r="N14" s="399">
        <f>'8M'!N14/'8M'!$B14*100</f>
        <v>9.041823007229798</v>
      </c>
      <c r="O14" s="399">
        <f>'8M'!O14/'8M'!$B14*100</f>
        <v>21.725999816967146</v>
      </c>
      <c r="P14" s="399"/>
      <c r="Q14" s="399"/>
      <c r="R14" s="408"/>
      <c r="S14" s="408"/>
    </row>
    <row r="15" spans="1:19">
      <c r="A15" s="438">
        <v>2012</v>
      </c>
      <c r="B15" s="399">
        <f>'8M'!B15/'8M'!$B15*100</f>
        <v>100</v>
      </c>
      <c r="C15" s="399"/>
      <c r="D15" s="399"/>
      <c r="E15" s="399"/>
      <c r="F15" s="399"/>
      <c r="G15" s="399"/>
      <c r="H15" s="399"/>
      <c r="I15" s="399"/>
      <c r="J15" s="399"/>
      <c r="K15" s="443">
        <f>'8M'!K15/'8M'!$B15*100</f>
        <v>45.421210981572017</v>
      </c>
      <c r="L15" s="399">
        <f>'8M'!L15/'8M'!$B15*100</f>
        <v>9.39262880782249</v>
      </c>
      <c r="M15" s="399">
        <f>'8M'!M15/'8M'!$B15*100</f>
        <v>12.843174125611132</v>
      </c>
      <c r="N15" s="399">
        <f>'8M'!N15/'8M'!$B15*100</f>
        <v>9.2233922527265886</v>
      </c>
      <c r="O15" s="399">
        <f>'8M'!O15/'8M'!$B15*100</f>
        <v>23.185408048138399</v>
      </c>
      <c r="P15" s="399"/>
      <c r="Q15" s="399"/>
      <c r="R15" s="408"/>
      <c r="S15" s="408"/>
    </row>
    <row r="16" spans="1:19">
      <c r="A16" s="438">
        <v>2013</v>
      </c>
      <c r="B16" s="399">
        <f>'8M'!B16/'8M'!$B16*100</f>
        <v>100</v>
      </c>
      <c r="C16" s="399"/>
      <c r="D16" s="399"/>
      <c r="E16" s="399"/>
      <c r="F16" s="399"/>
      <c r="G16" s="399"/>
      <c r="H16" s="399"/>
      <c r="I16" s="399"/>
      <c r="J16" s="399"/>
      <c r="K16" s="443">
        <f>'8M'!K16/'8M'!$B16*100</f>
        <v>51.133739239974808</v>
      </c>
      <c r="L16" s="399">
        <f>'8M'!L16/'8M'!$B16*100</f>
        <v>9.8257400797816494</v>
      </c>
      <c r="M16" s="399">
        <f>'8M'!M16/'8M'!$B16*100</f>
        <v>14.465672895234096</v>
      </c>
      <c r="N16" s="399">
        <f>'8M'!N16/'8M'!$B16*100</f>
        <v>9.6157883686752044</v>
      </c>
      <c r="O16" s="399">
        <f>'8M'!O16/'8M'!$B16*100</f>
        <v>26.842326264959059</v>
      </c>
      <c r="P16" s="399"/>
      <c r="Q16" s="399"/>
      <c r="R16" s="408"/>
      <c r="S16" s="408"/>
    </row>
    <row r="18" spans="1:8">
      <c r="A18" s="429" t="s">
        <v>39</v>
      </c>
      <c r="G18" s="251"/>
      <c r="H18" s="251"/>
    </row>
    <row r="19" spans="1:8">
      <c r="A19" s="429" t="s">
        <v>9</v>
      </c>
      <c r="B19" s="429" t="s">
        <v>42</v>
      </c>
    </row>
    <row r="20" spans="1:8">
      <c r="A20" s="429" t="s">
        <v>40</v>
      </c>
    </row>
    <row r="21" spans="1:8">
      <c r="A21" s="429">
        <v>1</v>
      </c>
      <c r="B21" s="429" t="s">
        <v>142</v>
      </c>
    </row>
    <row r="22" spans="1:8">
      <c r="A22" s="429" t="s">
        <v>143</v>
      </c>
    </row>
  </sheetData>
  <mergeCells count="3">
    <mergeCell ref="A1:S1"/>
    <mergeCell ref="B2:J2"/>
    <mergeCell ref="K2:S2"/>
  </mergeCells>
  <printOptions gridLines="1"/>
  <pageMargins left="0.7" right="0.7" top="0.75" bottom="0.75" header="0.3" footer="0.3"/>
  <pageSetup scale="70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44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9.140625" style="3" customWidth="1"/>
    <col min="3" max="3" width="8.28515625" style="3" bestFit="1" customWidth="1"/>
    <col min="4" max="4" width="8.5703125" style="3" bestFit="1" customWidth="1"/>
    <col min="5" max="7" width="8.5703125" style="3" customWidth="1"/>
    <col min="8" max="10" width="9.140625" style="3" customWidth="1"/>
    <col min="11" max="12" width="9.140625" style="3"/>
    <col min="13" max="35" width="0" style="3" hidden="1" customWidth="1"/>
    <col min="36" max="16384" width="9.140625" style="3"/>
  </cols>
  <sheetData>
    <row r="1" spans="1:28">
      <c r="A1" s="454" t="s">
        <v>378</v>
      </c>
      <c r="B1" s="454"/>
      <c r="C1" s="454"/>
      <c r="D1" s="454"/>
      <c r="E1" s="454"/>
      <c r="F1" s="454"/>
      <c r="G1" s="454"/>
      <c r="H1" s="454"/>
      <c r="I1" s="454"/>
      <c r="J1" s="454"/>
    </row>
    <row r="2" spans="1:28" ht="15" customHeight="1">
      <c r="A2" s="223"/>
      <c r="B2" s="454"/>
      <c r="C2" s="454"/>
      <c r="D2" s="454"/>
      <c r="E2" s="454"/>
      <c r="F2" s="454"/>
      <c r="G2" s="454"/>
      <c r="H2" s="454"/>
      <c r="I2" s="454"/>
      <c r="J2" s="454"/>
    </row>
    <row r="3" spans="1:28" ht="150">
      <c r="A3" s="182"/>
      <c r="B3" s="182" t="s">
        <v>8</v>
      </c>
      <c r="C3" s="182" t="s">
        <v>3</v>
      </c>
      <c r="D3" s="182" t="s">
        <v>4</v>
      </c>
      <c r="E3" s="182" t="s">
        <v>36</v>
      </c>
      <c r="F3" s="182" t="s">
        <v>37</v>
      </c>
      <c r="G3" s="182" t="s">
        <v>38</v>
      </c>
      <c r="H3" s="182" t="s">
        <v>5</v>
      </c>
      <c r="I3" s="182" t="s">
        <v>6</v>
      </c>
      <c r="J3" s="182" t="s">
        <v>7</v>
      </c>
    </row>
    <row r="4" spans="1:28">
      <c r="A4" s="146"/>
      <c r="B4" s="146"/>
      <c r="C4" s="146"/>
      <c r="D4" s="146"/>
      <c r="E4" s="146"/>
      <c r="F4" s="146"/>
      <c r="G4" s="146"/>
      <c r="H4" s="146"/>
      <c r="I4" s="146"/>
      <c r="J4" s="146"/>
      <c r="M4" s="4" t="s">
        <v>24</v>
      </c>
    </row>
    <row r="5" spans="1:28">
      <c r="A5" s="182">
        <v>1984</v>
      </c>
      <c r="B5" s="7">
        <f>'1B'!C5/'1B'!$C5*100</f>
        <v>100</v>
      </c>
      <c r="C5" s="7">
        <f>'1B'!D5/'1B'!$C5*100</f>
        <v>16.200323101777059</v>
      </c>
      <c r="D5" s="7">
        <f>'1B'!E5/'1B'!$C5*100</f>
        <v>18.40387722132472</v>
      </c>
      <c r="E5" s="11" t="s">
        <v>10</v>
      </c>
      <c r="F5" s="11" t="s">
        <v>10</v>
      </c>
      <c r="G5" s="11" t="s">
        <v>10</v>
      </c>
      <c r="H5" s="7">
        <f>'1B'!I5/'1B'!$C5*100</f>
        <v>65.395799676898221</v>
      </c>
      <c r="I5" s="7">
        <f>'1B'!J5/'1B'!$C5*100</f>
        <v>42.526655896607437</v>
      </c>
      <c r="J5" s="7">
        <f>'1B'!K5/'1B'!$C5*100</f>
        <v>22.869143780290791</v>
      </c>
      <c r="M5" s="3" t="s">
        <v>2</v>
      </c>
      <c r="N5" s="3" t="s">
        <v>8</v>
      </c>
      <c r="O5" s="3" t="s">
        <v>3</v>
      </c>
      <c r="P5" s="3" t="s">
        <v>4</v>
      </c>
      <c r="Q5" s="3" t="s">
        <v>5</v>
      </c>
      <c r="R5" s="3" t="s">
        <v>6</v>
      </c>
      <c r="S5" s="3" t="s">
        <v>7</v>
      </c>
      <c r="U5" s="4" t="s">
        <v>26</v>
      </c>
      <c r="V5" s="3" t="s">
        <v>2</v>
      </c>
      <c r="W5" s="3" t="s">
        <v>23</v>
      </c>
      <c r="X5" s="3" t="s">
        <v>3</v>
      </c>
      <c r="Y5" s="3" t="s">
        <v>4</v>
      </c>
      <c r="Z5" s="3" t="s">
        <v>5</v>
      </c>
      <c r="AA5" s="3" t="s">
        <v>6</v>
      </c>
      <c r="AB5" s="3" t="s">
        <v>7</v>
      </c>
    </row>
    <row r="6" spans="1:28">
      <c r="A6" s="182">
        <v>1985</v>
      </c>
      <c r="B6" s="7">
        <f>'1B'!C6/'1B'!$C6*100</f>
        <v>100</v>
      </c>
      <c r="C6" s="7">
        <f>'1B'!D6/'1B'!$C6*100</f>
        <v>14.947720883216983</v>
      </c>
      <c r="D6" s="7">
        <f>'1B'!E6/'1B'!$C6*100</f>
        <v>20.965347316549266</v>
      </c>
      <c r="E6" s="11" t="s">
        <v>10</v>
      </c>
      <c r="F6" s="11" t="s">
        <v>10</v>
      </c>
      <c r="G6" s="11" t="s">
        <v>10</v>
      </c>
      <c r="H6" s="7">
        <f>'1B'!I6/'1B'!$C6*100</f>
        <v>64.086931800233756</v>
      </c>
      <c r="I6" s="7">
        <f>'1B'!J6/'1B'!$C6*100</f>
        <v>40.294405660675366</v>
      </c>
      <c r="J6" s="7">
        <f>'1B'!K6/'1B'!$C6*100</f>
        <v>23.792526139558394</v>
      </c>
      <c r="M6" s="3" t="e">
        <f>((#REF!/#REF!)-1)*100</f>
        <v>#REF!</v>
      </c>
      <c r="N6" s="3" t="e">
        <f>((#REF!/#REF!)-1)*100</f>
        <v>#REF!</v>
      </c>
      <c r="O6" s="3" t="e">
        <f>((#REF!/#REF!)-1)*100</f>
        <v>#REF!</v>
      </c>
      <c r="P6" s="3" t="e">
        <f>((#REF!/#REF!)-1)*100</f>
        <v>#REF!</v>
      </c>
      <c r="Q6" s="3" t="e">
        <f>((#REF!/#REF!)-1)*100</f>
        <v>#REF!</v>
      </c>
      <c r="R6" s="3" t="e">
        <f>((#REF!/#REF!)-1)*100</f>
        <v>#REF!</v>
      </c>
      <c r="S6" s="3" t="e">
        <f>((#REF!/#REF!)-1)*100</f>
        <v>#REF!</v>
      </c>
      <c r="U6" s="3" t="s">
        <v>21</v>
      </c>
      <c r="V6" s="3" t="e">
        <f>((#REF!/#REF!)^(1/8)-1)*100</f>
        <v>#REF!</v>
      </c>
      <c r="W6" s="3" t="e">
        <f>((#REF!/#REF!)^(1/8)-1)*100</f>
        <v>#REF!</v>
      </c>
      <c r="X6" s="3" t="e">
        <f>((#REF!/#REF!)^(1/8)-1)*100</f>
        <v>#REF!</v>
      </c>
      <c r="Y6" s="3" t="e">
        <f>((#REF!/#REF!)^(1/8)-1)*100</f>
        <v>#REF!</v>
      </c>
      <c r="Z6" s="3" t="e">
        <f>((#REF!/#REF!)^(1/8)-1)*100</f>
        <v>#REF!</v>
      </c>
      <c r="AA6" s="3" t="e">
        <f>((#REF!/#REF!)^(1/8)-1)*100</f>
        <v>#REF!</v>
      </c>
      <c r="AB6" s="3" t="e">
        <f>((#REF!/#REF!)^(1/8)-1)*100</f>
        <v>#REF!</v>
      </c>
    </row>
    <row r="7" spans="1:28">
      <c r="A7" s="182">
        <v>1986</v>
      </c>
      <c r="B7" s="11" t="s">
        <v>10</v>
      </c>
      <c r="C7" s="11" t="s">
        <v>10</v>
      </c>
      <c r="D7" s="11" t="s">
        <v>10</v>
      </c>
      <c r="E7" s="11" t="s">
        <v>10</v>
      </c>
      <c r="F7" s="11" t="s">
        <v>10</v>
      </c>
      <c r="G7" s="11" t="s">
        <v>10</v>
      </c>
      <c r="H7" s="11" t="s">
        <v>10</v>
      </c>
      <c r="I7" s="11" t="s">
        <v>10</v>
      </c>
      <c r="J7" s="11" t="s">
        <v>10</v>
      </c>
      <c r="M7" s="3" t="e">
        <f>((#REF!/#REF!)-1)*100</f>
        <v>#REF!</v>
      </c>
      <c r="O7" s="3" t="e">
        <f>((#REF!/#REF!)-1)*100</f>
        <v>#REF!</v>
      </c>
      <c r="Q7" s="3" t="e">
        <f>((#REF!/#REF!)-1)*100</f>
        <v>#REF!</v>
      </c>
      <c r="R7" s="3" t="e">
        <f>((#REF!/#REF!)-1)*100</f>
        <v>#REF!</v>
      </c>
      <c r="S7" s="3" t="e">
        <f>((#REF!/#REF!)-1)*100</f>
        <v>#REF!</v>
      </c>
      <c r="U7" s="3" t="s">
        <v>22</v>
      </c>
      <c r="V7" s="3" t="e">
        <f>((#REF!/#REF!)^(1/5)-1)*100</f>
        <v>#REF!</v>
      </c>
      <c r="W7" s="3" t="e">
        <f>((#REF!/#REF!)^(1/5)-1)*100</f>
        <v>#REF!</v>
      </c>
      <c r="X7" s="3" t="e">
        <f>((#REF!/#REF!)^(1/5)-1)*100</f>
        <v>#REF!</v>
      </c>
      <c r="Y7" s="3" t="e">
        <f>((#REF!/#REF!)^(1/5)-1)*100</f>
        <v>#REF!</v>
      </c>
      <c r="Z7" s="3" t="e">
        <f>((#REF!/#REF!)^(1/5)-1)*100</f>
        <v>#REF!</v>
      </c>
      <c r="AA7" s="3" t="e">
        <f>((#REF!/#REF!)^(1/5)-1)*100</f>
        <v>#REF!</v>
      </c>
      <c r="AB7" s="3" t="e">
        <f>((#REF!/#REF!)^(1/5)-1)*100</f>
        <v>#REF!</v>
      </c>
    </row>
    <row r="8" spans="1:28">
      <c r="A8" s="182">
        <v>1987</v>
      </c>
      <c r="B8" s="7">
        <f>'1B'!C8/'1B'!$C8*100</f>
        <v>100</v>
      </c>
      <c r="C8" s="7">
        <f>'1B'!D8/'1B'!$C8*100</f>
        <v>13.575071966062321</v>
      </c>
      <c r="D8" s="7">
        <f>'1B'!E8/'1B'!$C8*100</f>
        <v>19.784354325539116</v>
      </c>
      <c r="E8" s="11" t="s">
        <v>10</v>
      </c>
      <c r="F8" s="11" t="s">
        <v>10</v>
      </c>
      <c r="G8" s="11" t="s">
        <v>10</v>
      </c>
      <c r="H8" s="7">
        <f>'1B'!I8/'1B'!$C8*100</f>
        <v>66.640573708398563</v>
      </c>
      <c r="I8" s="7">
        <f>'1B'!J8/'1B'!$C8*100</f>
        <v>45.949699510125754</v>
      </c>
      <c r="J8" s="7">
        <f>'1B'!K8/'1B'!$C8*100</f>
        <v>20.690874198272816</v>
      </c>
      <c r="M8" s="3" t="e">
        <f>((#REF!/#REF!)-1)*100</f>
        <v>#REF!</v>
      </c>
      <c r="O8" s="3" t="e">
        <f>((#REF!/#REF!)-1)*100</f>
        <v>#REF!</v>
      </c>
      <c r="Q8" s="3" t="e">
        <f>((#REF!/#REF!)-1)*100</f>
        <v>#REF!</v>
      </c>
      <c r="R8" s="3" t="e">
        <f>((#REF!/#REF!)-1)*100</f>
        <v>#REF!</v>
      </c>
      <c r="S8" s="3" t="e">
        <f>((#REF!/#REF!)-1)*100</f>
        <v>#REF!</v>
      </c>
      <c r="U8" s="3" t="s">
        <v>15</v>
      </c>
      <c r="V8" s="3" t="e">
        <f>((#REF!/#REF!)^(1/13)-1)*100</f>
        <v>#REF!</v>
      </c>
      <c r="W8" s="3" t="e">
        <f>((#REF!/#REF!)^(1/13)-1)*100</f>
        <v>#REF!</v>
      </c>
      <c r="X8" s="3" t="e">
        <f>((#REF!/#REF!)^(1/13)-1)*100</f>
        <v>#REF!</v>
      </c>
      <c r="Y8" s="3" t="e">
        <f>((#REF!/#REF!)^(1/13)-1)*100</f>
        <v>#REF!</v>
      </c>
      <c r="Z8" s="3" t="e">
        <f>((#REF!/#REF!)^(1/13)-1)*100</f>
        <v>#REF!</v>
      </c>
      <c r="AA8" s="3" t="e">
        <f>((#REF!/#REF!)^(1/13)-1)*100</f>
        <v>#REF!</v>
      </c>
      <c r="AB8" s="3" t="e">
        <f>((#REF!/#REF!)^(1/13)-1)*100</f>
        <v>#REF!</v>
      </c>
    </row>
    <row r="9" spans="1:28">
      <c r="A9" s="182">
        <v>1988</v>
      </c>
      <c r="B9" s="11" t="s">
        <v>10</v>
      </c>
      <c r="C9" s="11" t="s">
        <v>10</v>
      </c>
      <c r="D9" s="11" t="s">
        <v>10</v>
      </c>
      <c r="E9" s="11" t="s">
        <v>10</v>
      </c>
      <c r="F9" s="11" t="s">
        <v>10</v>
      </c>
      <c r="G9" s="11" t="s">
        <v>10</v>
      </c>
      <c r="H9" s="11" t="s">
        <v>10</v>
      </c>
      <c r="I9" s="11" t="s">
        <v>10</v>
      </c>
      <c r="J9" s="11" t="s">
        <v>10</v>
      </c>
      <c r="M9" s="3" t="e">
        <f>((#REF!/#REF!)-1)*100</f>
        <v>#REF!</v>
      </c>
      <c r="O9" s="3" t="e">
        <f>((#REF!/#REF!)-1)*100</f>
        <v>#REF!</v>
      </c>
      <c r="Q9" s="3" t="e">
        <f>((#REF!/#REF!)-1)*100</f>
        <v>#REF!</v>
      </c>
      <c r="R9" s="3" t="e">
        <f>((#REF!/#REF!)-1)*100</f>
        <v>#REF!</v>
      </c>
      <c r="S9" s="3" t="e">
        <f>((#REF!/#REF!)-1)*100</f>
        <v>#REF!</v>
      </c>
      <c r="U9" s="3" t="s">
        <v>29</v>
      </c>
      <c r="V9" s="3" t="e">
        <f>((#REF!/#REF!)^(1/16)-1)*100</f>
        <v>#REF!</v>
      </c>
      <c r="W9" s="3" t="e">
        <f>((#REF!/#REF!)^(1/16)-1)*100</f>
        <v>#REF!</v>
      </c>
      <c r="X9" s="3" t="e">
        <f>((#REF!/#REF!)^(1/16)-1)*100</f>
        <v>#REF!</v>
      </c>
      <c r="Y9" s="3" t="e">
        <f>((#REF!/#REF!)^(1/16)-1)*100</f>
        <v>#REF!</v>
      </c>
      <c r="Z9" s="3" t="e">
        <f>((#REF!/#REF!)^(1/16)-1)*100</f>
        <v>#REF!</v>
      </c>
      <c r="AA9" s="3" t="e">
        <f>((#REF!/#REF!)^(1/16)-1)*100</f>
        <v>#REF!</v>
      </c>
      <c r="AB9" s="3" t="e">
        <f>((#REF!/#REF!)^(1/16)-1)*100</f>
        <v>#REF!</v>
      </c>
    </row>
    <row r="10" spans="1:28">
      <c r="A10" s="182">
        <v>1989</v>
      </c>
      <c r="B10" s="11" t="s">
        <v>10</v>
      </c>
      <c r="C10" s="11" t="s">
        <v>10</v>
      </c>
      <c r="D10" s="11" t="s">
        <v>10</v>
      </c>
      <c r="E10" s="11" t="s">
        <v>10</v>
      </c>
      <c r="F10" s="11" t="s">
        <v>10</v>
      </c>
      <c r="G10" s="11" t="s">
        <v>10</v>
      </c>
      <c r="H10" s="11" t="s">
        <v>10</v>
      </c>
      <c r="I10" s="11" t="s">
        <v>10</v>
      </c>
      <c r="J10" s="11" t="s">
        <v>10</v>
      </c>
      <c r="M10" s="3" t="e">
        <f>((#REF!/#REF!)-1)*100</f>
        <v>#REF!</v>
      </c>
      <c r="O10" s="3" t="e">
        <f>((#REF!/#REF!)-1)*100</f>
        <v>#REF!</v>
      </c>
      <c r="Q10" s="3" t="e">
        <f>((#REF!/#REF!)-1)*100</f>
        <v>#REF!</v>
      </c>
      <c r="R10" s="3" t="e">
        <f>((#REF!/#REF!)-1)*100</f>
        <v>#REF!</v>
      </c>
      <c r="S10" s="3" t="e">
        <f>((#REF!/#REF!)-1)*100</f>
        <v>#REF!</v>
      </c>
      <c r="U10" s="3" t="s">
        <v>15</v>
      </c>
      <c r="V10" s="3" t="e">
        <f>V8</f>
        <v>#REF!</v>
      </c>
      <c r="W10" s="3" t="e">
        <f t="shared" ref="W10:AB10" si="0">W8</f>
        <v>#REF!</v>
      </c>
      <c r="X10" s="3" t="e">
        <f t="shared" si="0"/>
        <v>#REF!</v>
      </c>
      <c r="Y10" s="3" t="e">
        <f t="shared" si="0"/>
        <v>#REF!</v>
      </c>
      <c r="Z10" s="3" t="e">
        <f t="shared" si="0"/>
        <v>#REF!</v>
      </c>
      <c r="AA10" s="3" t="e">
        <f t="shared" si="0"/>
        <v>#REF!</v>
      </c>
      <c r="AB10" s="3" t="e">
        <f t="shared" si="0"/>
        <v>#REF!</v>
      </c>
    </row>
    <row r="11" spans="1:28">
      <c r="A11" s="182">
        <v>1990</v>
      </c>
      <c r="B11" s="11" t="s">
        <v>10</v>
      </c>
      <c r="C11" s="11" t="s">
        <v>10</v>
      </c>
      <c r="D11" s="11" t="s">
        <v>10</v>
      </c>
      <c r="E11" s="11" t="s">
        <v>10</v>
      </c>
      <c r="F11" s="11" t="s">
        <v>10</v>
      </c>
      <c r="G11" s="11" t="s">
        <v>10</v>
      </c>
      <c r="H11" s="11" t="s">
        <v>10</v>
      </c>
      <c r="I11" s="11" t="s">
        <v>10</v>
      </c>
      <c r="J11" s="11" t="s">
        <v>10</v>
      </c>
      <c r="M11" s="3" t="e">
        <f>((#REF!/#REF!)-1)*100</f>
        <v>#REF!</v>
      </c>
      <c r="O11" s="3" t="e">
        <f>((#REF!/#REF!)-1)*100</f>
        <v>#REF!</v>
      </c>
      <c r="Q11" s="3" t="e">
        <f>((#REF!/#REF!)-1)*100</f>
        <v>#REF!</v>
      </c>
      <c r="R11" s="3" t="e">
        <f>((#REF!/#REF!)-1)*100</f>
        <v>#REF!</v>
      </c>
      <c r="S11" s="3" t="e">
        <f>((#REF!/#REF!)-1)*100</f>
        <v>#REF!</v>
      </c>
      <c r="U11" s="3" t="s">
        <v>12</v>
      </c>
      <c r="V11" s="3" t="e">
        <f>((#REF!/#REF!)^(1/29)-1)*100</f>
        <v>#REF!</v>
      </c>
      <c r="W11" s="3" t="e">
        <f>((#REF!/#REF!)^(1/29)-1)*100</f>
        <v>#REF!</v>
      </c>
      <c r="X11" s="3" t="e">
        <f>((#REF!/#REF!)^(1/29)-1)*100</f>
        <v>#REF!</v>
      </c>
      <c r="Y11" s="3" t="e">
        <f>((#REF!/#REF!)^(1/29)-1)*100</f>
        <v>#REF!</v>
      </c>
      <c r="Z11" s="3" t="e">
        <f>((#REF!/#REF!)^(1/29)-1)*100</f>
        <v>#REF!</v>
      </c>
      <c r="AA11" s="3" t="e">
        <f>((#REF!/#REF!)^(1/29)-1)*100</f>
        <v>#REF!</v>
      </c>
      <c r="AB11" s="3" t="e">
        <f>((#REF!/#REF!)^(1/29)-1)*100</f>
        <v>#REF!</v>
      </c>
    </row>
    <row r="12" spans="1:28">
      <c r="A12" s="182">
        <v>1991</v>
      </c>
      <c r="B12" s="11" t="s">
        <v>10</v>
      </c>
      <c r="C12" s="11" t="s">
        <v>10</v>
      </c>
      <c r="D12" s="11" t="s">
        <v>10</v>
      </c>
      <c r="E12" s="11" t="s">
        <v>10</v>
      </c>
      <c r="F12" s="11" t="s">
        <v>10</v>
      </c>
      <c r="G12" s="11" t="s">
        <v>10</v>
      </c>
      <c r="H12" s="11" t="s">
        <v>10</v>
      </c>
      <c r="I12" s="11" t="s">
        <v>10</v>
      </c>
      <c r="J12" s="11" t="s">
        <v>10</v>
      </c>
      <c r="M12" s="3" t="e">
        <f>((#REF!/#REF!)-1)*100</f>
        <v>#REF!</v>
      </c>
      <c r="O12" s="3" t="e">
        <f>((#REF!/#REF!)-1)*100</f>
        <v>#REF!</v>
      </c>
      <c r="Q12" s="3" t="e">
        <f>((#REF!/#REF!)-1)*100</f>
        <v>#REF!</v>
      </c>
      <c r="R12" s="3" t="e">
        <f>((#REF!/#REF!)-1)*100</f>
        <v>#REF!</v>
      </c>
    </row>
    <row r="13" spans="1:28">
      <c r="A13" s="182">
        <v>1992</v>
      </c>
      <c r="B13" s="11" t="s">
        <v>10</v>
      </c>
      <c r="C13" s="11" t="s">
        <v>10</v>
      </c>
      <c r="D13" s="11" t="s">
        <v>10</v>
      </c>
      <c r="E13" s="11" t="s">
        <v>10</v>
      </c>
      <c r="F13" s="11" t="s">
        <v>10</v>
      </c>
      <c r="G13" s="11" t="s">
        <v>10</v>
      </c>
      <c r="H13" s="11" t="s">
        <v>10</v>
      </c>
      <c r="I13" s="11" t="s">
        <v>10</v>
      </c>
      <c r="J13" s="11" t="s">
        <v>10</v>
      </c>
      <c r="M13" s="3" t="e">
        <f>((#REF!/#REF!)-1)*100</f>
        <v>#REF!</v>
      </c>
      <c r="O13" s="3" t="e">
        <f>((#REF!/#REF!)-1)*100</f>
        <v>#REF!</v>
      </c>
      <c r="Q13" s="3" t="e">
        <f>((#REF!/#REF!)-1)*100</f>
        <v>#REF!</v>
      </c>
      <c r="R13" s="3" t="e">
        <f>((#REF!/#REF!)-1)*100</f>
        <v>#REF!</v>
      </c>
    </row>
    <row r="14" spans="1:28">
      <c r="A14" s="182">
        <v>1993</v>
      </c>
      <c r="B14" s="11" t="s">
        <v>10</v>
      </c>
      <c r="C14" s="11" t="s">
        <v>10</v>
      </c>
      <c r="D14" s="11" t="s">
        <v>10</v>
      </c>
      <c r="E14" s="11" t="s">
        <v>10</v>
      </c>
      <c r="F14" s="11" t="s">
        <v>10</v>
      </c>
      <c r="G14" s="11" t="s">
        <v>10</v>
      </c>
      <c r="H14" s="11" t="s">
        <v>10</v>
      </c>
      <c r="I14" s="11" t="s">
        <v>10</v>
      </c>
      <c r="J14" s="11" t="s">
        <v>10</v>
      </c>
      <c r="M14" s="3" t="e">
        <f>((#REF!/#REF!)-1)*100</f>
        <v>#REF!</v>
      </c>
      <c r="O14" s="3" t="e">
        <f>((#REF!/#REF!)-1)*100</f>
        <v>#REF!</v>
      </c>
      <c r="Q14" s="3" t="e">
        <f>((#REF!/#REF!)-1)*100</f>
        <v>#REF!</v>
      </c>
      <c r="R14" s="3" t="e">
        <f>((#REF!/#REF!)-1)*100</f>
        <v>#REF!</v>
      </c>
      <c r="S14" s="3" t="e">
        <f>((#REF!/#REF!)-1)*100</f>
        <v>#REF!</v>
      </c>
    </row>
    <row r="15" spans="1:28">
      <c r="A15" s="182">
        <v>1994</v>
      </c>
      <c r="B15" s="11" t="s">
        <v>10</v>
      </c>
      <c r="C15" s="11" t="s">
        <v>10</v>
      </c>
      <c r="D15" s="11" t="s">
        <v>10</v>
      </c>
      <c r="E15" s="11" t="s">
        <v>10</v>
      </c>
      <c r="F15" s="11" t="s">
        <v>10</v>
      </c>
      <c r="G15" s="11" t="s">
        <v>10</v>
      </c>
      <c r="H15" s="11" t="s">
        <v>10</v>
      </c>
      <c r="I15" s="11" t="s">
        <v>10</v>
      </c>
      <c r="J15" s="11" t="s">
        <v>10</v>
      </c>
      <c r="M15" s="3" t="e">
        <f>((#REF!/#REF!)-1)*100</f>
        <v>#REF!</v>
      </c>
      <c r="O15" s="3" t="e">
        <f>((#REF!/#REF!)-1)*100</f>
        <v>#REF!</v>
      </c>
      <c r="Q15" s="3" t="e">
        <f>((#REF!/#REF!)-1)*100</f>
        <v>#REF!</v>
      </c>
      <c r="R15" s="3" t="e">
        <f>((#REF!/#REF!)-1)*100</f>
        <v>#REF!</v>
      </c>
    </row>
    <row r="16" spans="1:28">
      <c r="A16" s="182">
        <v>1995</v>
      </c>
      <c r="B16" s="11" t="s">
        <v>10</v>
      </c>
      <c r="C16" s="11" t="s">
        <v>10</v>
      </c>
      <c r="D16" s="11" t="s">
        <v>10</v>
      </c>
      <c r="E16" s="11" t="s">
        <v>10</v>
      </c>
      <c r="F16" s="11" t="s">
        <v>10</v>
      </c>
      <c r="G16" s="11" t="s">
        <v>10</v>
      </c>
      <c r="H16" s="11" t="s">
        <v>10</v>
      </c>
      <c r="I16" s="11" t="s">
        <v>10</v>
      </c>
      <c r="J16" s="11" t="s">
        <v>10</v>
      </c>
      <c r="M16" s="3" t="e">
        <f>((#REF!/#REF!)-1)*100</f>
        <v>#REF!</v>
      </c>
      <c r="O16" s="3" t="e">
        <f>((#REF!/#REF!)-1)*100</f>
        <v>#REF!</v>
      </c>
      <c r="Q16" s="3" t="e">
        <f>((#REF!/#REF!)-1)*100</f>
        <v>#REF!</v>
      </c>
      <c r="R16" s="3" t="e">
        <f>((#REF!/#REF!)-1)*100</f>
        <v>#REF!</v>
      </c>
    </row>
    <row r="17" spans="1:35">
      <c r="A17" s="182">
        <v>1996</v>
      </c>
      <c r="B17" s="11" t="s">
        <v>10</v>
      </c>
      <c r="C17" s="11" t="s">
        <v>10</v>
      </c>
      <c r="D17" s="11" t="s">
        <v>10</v>
      </c>
      <c r="E17" s="11" t="s">
        <v>10</v>
      </c>
      <c r="F17" s="11" t="s">
        <v>10</v>
      </c>
      <c r="G17" s="11" t="s">
        <v>10</v>
      </c>
      <c r="H17" s="11" t="s">
        <v>10</v>
      </c>
      <c r="I17" s="11" t="s">
        <v>10</v>
      </c>
      <c r="J17" s="11" t="s">
        <v>10</v>
      </c>
      <c r="M17" s="3" t="e">
        <f>((#REF!/#REF!)-1)*100</f>
        <v>#REF!</v>
      </c>
      <c r="O17" s="3" t="e">
        <f>((#REF!/#REF!)-1)*100</f>
        <v>#REF!</v>
      </c>
      <c r="Q17" s="3" t="e">
        <f>((#REF!/#REF!)-1)*100</f>
        <v>#REF!</v>
      </c>
      <c r="R17" s="3" t="e">
        <f>((#REF!/#REF!)-1)*100</f>
        <v>#REF!</v>
      </c>
    </row>
    <row r="18" spans="1:35">
      <c r="A18" s="182">
        <v>1997</v>
      </c>
      <c r="B18" s="7">
        <f>'1B'!C18/'1B'!$C18*100</f>
        <v>100</v>
      </c>
      <c r="C18" s="7">
        <f>'1B'!D18/'1B'!$C18*100</f>
        <v>13.058346924817171</v>
      </c>
      <c r="D18" s="7">
        <f>'1B'!E18/'1B'!$C18*100</f>
        <v>26.286806615106716</v>
      </c>
      <c r="E18" s="11" t="s">
        <v>10</v>
      </c>
      <c r="F18" s="11" t="s">
        <v>10</v>
      </c>
      <c r="G18" s="11" t="s">
        <v>10</v>
      </c>
      <c r="H18" s="7">
        <f>'1B'!I18/'1B'!$C18*100</f>
        <v>60.654846460076108</v>
      </c>
      <c r="I18" s="7">
        <f>'1B'!J18/'1B'!$C18*100</f>
        <v>34.548675049543149</v>
      </c>
      <c r="J18" s="7">
        <f>'1B'!K18/'1B'!$C18*100</f>
        <v>26.106171410532959</v>
      </c>
      <c r="M18" s="3" t="e">
        <f>((#REF!/#REF!)-1)*100</f>
        <v>#REF!</v>
      </c>
      <c r="O18" s="3" t="e">
        <f>((#REF!/#REF!)-1)*100</f>
        <v>#REF!</v>
      </c>
      <c r="Q18" s="3" t="e">
        <f>((#REF!/#REF!)-1)*100</f>
        <v>#REF!</v>
      </c>
      <c r="R18" s="3" t="e">
        <f>((#REF!/#REF!)-1)*100</f>
        <v>#REF!</v>
      </c>
    </row>
    <row r="19" spans="1:35">
      <c r="A19" s="182">
        <v>1998</v>
      </c>
      <c r="B19" s="7">
        <f>'1B'!C19/'1B'!$C19*100</f>
        <v>100</v>
      </c>
      <c r="C19" s="7">
        <f>'1B'!D19/'1B'!$C19*100</f>
        <v>13.274111244850562</v>
      </c>
      <c r="D19" s="7">
        <f>'1B'!E19/'1B'!$C19*100</f>
        <v>28.845338803465172</v>
      </c>
      <c r="E19" s="11" t="s">
        <v>10</v>
      </c>
      <c r="F19" s="11" t="s">
        <v>10</v>
      </c>
      <c r="G19" s="11" t="s">
        <v>10</v>
      </c>
      <c r="H19" s="7">
        <f>'1B'!I19/'1B'!$C19*100</f>
        <v>57.880549951684266</v>
      </c>
      <c r="I19" s="7">
        <f>'1B'!J19/'1B'!$C19*100</f>
        <v>35.092478003627917</v>
      </c>
      <c r="J19" s="7">
        <f>'1B'!K19/'1B'!$C19*100</f>
        <v>22.788071948056352</v>
      </c>
      <c r="M19" s="3" t="e">
        <f>((#REF!/#REF!)-1)*100</f>
        <v>#REF!</v>
      </c>
      <c r="N19" s="3" t="e">
        <f>((#REF!/#REF!)-1)*100</f>
        <v>#REF!</v>
      </c>
      <c r="O19" s="3" t="e">
        <f>((#REF!/#REF!)-1)*100</f>
        <v>#REF!</v>
      </c>
      <c r="P19" s="3" t="e">
        <f>((#REF!/#REF!)-1)*100</f>
        <v>#REF!</v>
      </c>
      <c r="Q19" s="3" t="e">
        <f>((#REF!/#REF!)-1)*100</f>
        <v>#REF!</v>
      </c>
      <c r="R19" s="3" t="e">
        <f>((#REF!/#REF!)-1)*100</f>
        <v>#REF!</v>
      </c>
      <c r="S19" s="3" t="e">
        <f>((#REF!/#REF!)-1)*100</f>
        <v>#REF!</v>
      </c>
    </row>
    <row r="20" spans="1:35">
      <c r="A20" s="182">
        <v>1999</v>
      </c>
      <c r="B20" s="7">
        <f>'1B'!C20/'1B'!$C20*100</f>
        <v>100</v>
      </c>
      <c r="C20" s="7">
        <f>'1B'!D20/'1B'!$C20*100</f>
        <v>13.250168577208363</v>
      </c>
      <c r="D20" s="7">
        <f>'1B'!E20/'1B'!$C20*100</f>
        <v>32.995616992582605</v>
      </c>
      <c r="E20" s="11" t="s">
        <v>10</v>
      </c>
      <c r="F20" s="11" t="s">
        <v>10</v>
      </c>
      <c r="G20" s="11" t="s">
        <v>10</v>
      </c>
      <c r="H20" s="7">
        <f>'1B'!I20/'1B'!$C20*100</f>
        <v>53.754214430209032</v>
      </c>
      <c r="I20" s="7">
        <f>'1B'!J20/'1B'!$C20*100</f>
        <v>30.153405259608903</v>
      </c>
      <c r="J20" s="7">
        <f>'1B'!K20/'1B'!$C20*100</f>
        <v>23.600809170600133</v>
      </c>
      <c r="M20" s="3" t="e">
        <f>((#REF!/#REF!)-1)*100</f>
        <v>#REF!</v>
      </c>
      <c r="N20" s="3" t="e">
        <f>((#REF!/#REF!)-1)*100</f>
        <v>#REF!</v>
      </c>
      <c r="O20" s="3" t="e">
        <f>((#REF!/#REF!)-1)*100</f>
        <v>#REF!</v>
      </c>
      <c r="P20" s="3" t="e">
        <f>((#REF!/#REF!)-1)*100</f>
        <v>#REF!</v>
      </c>
      <c r="Q20" s="3" t="e">
        <f>((#REF!/#REF!)-1)*100</f>
        <v>#REF!</v>
      </c>
      <c r="R20" s="3" t="e">
        <f>((#REF!/#REF!)-1)*100</f>
        <v>#REF!</v>
      </c>
      <c r="S20" s="3" t="e">
        <f>((#REF!/#REF!)-1)*100</f>
        <v>#REF!</v>
      </c>
      <c r="U20" s="4" t="s">
        <v>30</v>
      </c>
      <c r="AD20" s="4" t="s">
        <v>25</v>
      </c>
    </row>
    <row r="21" spans="1:35">
      <c r="A21" s="182">
        <v>2000</v>
      </c>
      <c r="B21" s="7">
        <f>'1B'!C21/'1B'!$C21*100</f>
        <v>100</v>
      </c>
      <c r="C21" s="7">
        <f>'1B'!D21/'1B'!$C21*100</f>
        <v>12.303246597597678</v>
      </c>
      <c r="D21" s="7">
        <f>'1B'!E21/'1B'!$C21*100</f>
        <v>30.476469491570562</v>
      </c>
      <c r="E21" s="11" t="s">
        <v>10</v>
      </c>
      <c r="F21" s="11" t="s">
        <v>10</v>
      </c>
      <c r="G21" s="11" t="s">
        <v>10</v>
      </c>
      <c r="H21" s="7">
        <f>'1B'!I21/'1B'!$C21*100</f>
        <v>57.22028391083176</v>
      </c>
      <c r="I21" s="7">
        <f>'1B'!J21/'1B'!$C21*100</f>
        <v>35.677950302287798</v>
      </c>
      <c r="J21" s="7">
        <f>'1B'!K21/'1B'!$C21*100</f>
        <v>21.542333608543959</v>
      </c>
      <c r="M21" s="3" t="e">
        <f>((#REF!/#REF!)-1)*100</f>
        <v>#REF!</v>
      </c>
      <c r="N21" s="3" t="e">
        <f>((#REF!/#REF!)-1)*100</f>
        <v>#REF!</v>
      </c>
      <c r="O21" s="3" t="e">
        <f>((#REF!/#REF!)-1)*100</f>
        <v>#REF!</v>
      </c>
      <c r="P21" s="3" t="e">
        <f>((#REF!/#REF!)-1)*100</f>
        <v>#REF!</v>
      </c>
      <c r="Q21" s="3" t="e">
        <f>((#REF!/#REF!)-1)*100</f>
        <v>#REF!</v>
      </c>
      <c r="R21" s="3" t="e">
        <f>((#REF!/#REF!)-1)*100</f>
        <v>#REF!</v>
      </c>
      <c r="S21" s="3" t="e">
        <f>((#REF!/#REF!)-1)*100</f>
        <v>#REF!</v>
      </c>
      <c r="U21" s="3" t="s">
        <v>2</v>
      </c>
      <c r="V21" s="3" t="s">
        <v>3</v>
      </c>
      <c r="W21" s="3" t="s">
        <v>4</v>
      </c>
      <c r="X21" s="3" t="s">
        <v>5</v>
      </c>
      <c r="Y21" s="3" t="s">
        <v>6</v>
      </c>
      <c r="Z21" s="3" t="s">
        <v>7</v>
      </c>
      <c r="AD21" s="3" t="s">
        <v>2</v>
      </c>
      <c r="AE21" s="3" t="s">
        <v>3</v>
      </c>
      <c r="AF21" s="3" t="s">
        <v>4</v>
      </c>
      <c r="AG21" s="3" t="s">
        <v>5</v>
      </c>
      <c r="AH21" s="3" t="s">
        <v>6</v>
      </c>
      <c r="AI21" s="3" t="s">
        <v>7</v>
      </c>
    </row>
    <row r="22" spans="1:35">
      <c r="A22" s="182">
        <v>2001</v>
      </c>
      <c r="B22" s="7">
        <f>'1B'!C22/'1B'!$C22*100</f>
        <v>100</v>
      </c>
      <c r="C22" s="7">
        <f>'1B'!D22/'1B'!$C22*100</f>
        <v>10.653875629516092</v>
      </c>
      <c r="D22" s="7">
        <f>'1B'!E22/'1B'!$C22*100</f>
        <v>29.691263411429819</v>
      </c>
      <c r="E22" s="11" t="s">
        <v>10</v>
      </c>
      <c r="F22" s="11" t="s">
        <v>10</v>
      </c>
      <c r="G22" s="11" t="s">
        <v>10</v>
      </c>
      <c r="H22" s="7">
        <f>'1B'!I22/'1B'!$C22*100</f>
        <v>59.654860959054076</v>
      </c>
      <c r="I22" s="7">
        <f>'1B'!J22/'1B'!$C22*100</f>
        <v>32.05879132910006</v>
      </c>
      <c r="J22" s="7">
        <f>'1B'!K22/'1B'!$C22*100</f>
        <v>27.596069629954016</v>
      </c>
      <c r="M22" s="3" t="e">
        <f>((#REF!/#REF!)-1)*100</f>
        <v>#REF!</v>
      </c>
      <c r="N22" s="3" t="e">
        <f>((#REF!/#REF!)-1)*100</f>
        <v>#REF!</v>
      </c>
      <c r="O22" s="3" t="e">
        <f>((#REF!/#REF!)-1)*100</f>
        <v>#REF!</v>
      </c>
      <c r="P22" s="3" t="e">
        <f>((#REF!/#REF!)-1)*100</f>
        <v>#REF!</v>
      </c>
      <c r="Q22" s="3" t="e">
        <f>((#REF!/#REF!)-1)*100</f>
        <v>#REF!</v>
      </c>
      <c r="R22" s="3" t="e">
        <f>((#REF!/#REF!)-1)*100</f>
        <v>#REF!</v>
      </c>
      <c r="S22" s="3" t="e">
        <f>((#REF!/#REF!)-1)*100</f>
        <v>#REF!</v>
      </c>
      <c r="T22" s="3">
        <v>2007</v>
      </c>
      <c r="U22" s="3" t="e">
        <f>((#REF!/#REF!))*100</f>
        <v>#REF!</v>
      </c>
      <c r="V22" s="3" t="e">
        <f>((C28/#REF!))*100</f>
        <v>#REF!</v>
      </c>
      <c r="W22" s="3" t="e">
        <f>((D28/#REF!))*100</f>
        <v>#REF!</v>
      </c>
      <c r="X22" s="3" t="e">
        <f>((H28/#REF!))*100</f>
        <v>#REF!</v>
      </c>
      <c r="Y22" s="3" t="e">
        <f>((I28/#REF!))*100</f>
        <v>#REF!</v>
      </c>
      <c r="Z22" s="3" t="e">
        <f>((J28/#REF!))*100</f>
        <v>#REF!</v>
      </c>
      <c r="AC22" s="3">
        <v>2007</v>
      </c>
      <c r="AD22" s="3" t="e">
        <f>((U23/U22)-1)*100</f>
        <v>#REF!</v>
      </c>
      <c r="AE22" s="3" t="e">
        <f t="shared" ref="AE22:AI25" si="1">((V23/V22)-1)*100</f>
        <v>#REF!</v>
      </c>
      <c r="AF22" s="3" t="e">
        <f t="shared" si="1"/>
        <v>#REF!</v>
      </c>
      <c r="AG22" s="3" t="e">
        <f t="shared" si="1"/>
        <v>#REF!</v>
      </c>
      <c r="AH22" s="3" t="e">
        <f t="shared" si="1"/>
        <v>#REF!</v>
      </c>
      <c r="AI22" s="3" t="e">
        <f t="shared" si="1"/>
        <v>#REF!</v>
      </c>
    </row>
    <row r="23" spans="1:35">
      <c r="A23" s="182">
        <v>2002</v>
      </c>
      <c r="B23" s="7">
        <f>'1B'!C23/'1B'!$C23*100</f>
        <v>100</v>
      </c>
      <c r="C23" s="7">
        <f>'1B'!D23/'1B'!$C23*100</f>
        <v>12.001058466337986</v>
      </c>
      <c r="D23" s="7">
        <f>'1B'!E23/'1B'!$C23*100</f>
        <v>32.042282944764764</v>
      </c>
      <c r="E23" s="11" t="s">
        <v>10</v>
      </c>
      <c r="F23" s="11" t="s">
        <v>10</v>
      </c>
      <c r="G23" s="11" t="s">
        <v>10</v>
      </c>
      <c r="H23" s="7">
        <f>'1B'!I23/'1B'!$C23*100</f>
        <v>55.956658588897248</v>
      </c>
      <c r="I23" s="7">
        <f>'1B'!J23/'1B'!$C23*100</f>
        <v>27.561906353583467</v>
      </c>
      <c r="J23" s="7">
        <f>'1B'!K23/'1B'!$C23*100</f>
        <v>28.394752235313781</v>
      </c>
      <c r="M23" s="3" t="e">
        <f>((#REF!/#REF!)-1)*100</f>
        <v>#REF!</v>
      </c>
      <c r="N23" s="3" t="e">
        <f>((#REF!/#REF!)-1)*100</f>
        <v>#REF!</v>
      </c>
      <c r="O23" s="3" t="e">
        <f>((#REF!/#REF!)-1)*100</f>
        <v>#REF!</v>
      </c>
      <c r="P23" s="3" t="e">
        <f>((#REF!/#REF!)-1)*100</f>
        <v>#REF!</v>
      </c>
      <c r="Q23" s="3" t="e">
        <f>((#REF!/#REF!)-1)*100</f>
        <v>#REF!</v>
      </c>
      <c r="R23" s="3" t="e">
        <f>((#REF!/#REF!)-1)*100</f>
        <v>#REF!</v>
      </c>
      <c r="S23" s="3" t="e">
        <f>((#REF!/#REF!)-1)*100</f>
        <v>#REF!</v>
      </c>
      <c r="T23" s="3">
        <v>2008</v>
      </c>
      <c r="U23" s="3" t="e">
        <f>((#REF!/#REF!))*100</f>
        <v>#REF!</v>
      </c>
      <c r="V23" s="3" t="e">
        <f>((C29/#REF!))*100</f>
        <v>#REF!</v>
      </c>
      <c r="W23" s="3" t="e">
        <f>((D29/#REF!))*100</f>
        <v>#REF!</v>
      </c>
      <c r="X23" s="3" t="e">
        <f>((H29/#REF!))*100</f>
        <v>#REF!</v>
      </c>
      <c r="Y23" s="3" t="e">
        <f>((I29/#REF!))*100</f>
        <v>#REF!</v>
      </c>
      <c r="Z23" s="3" t="e">
        <f>((J29/#REF!))*100</f>
        <v>#REF!</v>
      </c>
      <c r="AC23" s="3">
        <v>2008</v>
      </c>
      <c r="AD23" s="3" t="e">
        <f t="shared" ref="AD23:AD25" si="2">((U24/U23)-1)*100</f>
        <v>#REF!</v>
      </c>
      <c r="AE23" s="3" t="e">
        <f t="shared" si="1"/>
        <v>#REF!</v>
      </c>
      <c r="AF23" s="3" t="e">
        <f t="shared" si="1"/>
        <v>#REF!</v>
      </c>
      <c r="AG23" s="3" t="e">
        <f t="shared" si="1"/>
        <v>#REF!</v>
      </c>
      <c r="AH23" s="3" t="e">
        <f t="shared" si="1"/>
        <v>#REF!</v>
      </c>
      <c r="AI23" s="3" t="e">
        <f t="shared" si="1"/>
        <v>#REF!</v>
      </c>
    </row>
    <row r="24" spans="1:35">
      <c r="A24" s="182">
        <v>2003</v>
      </c>
      <c r="B24" s="7">
        <f>'1B'!C24/'1B'!$C24*100</f>
        <v>100</v>
      </c>
      <c r="C24" s="7">
        <f>'1B'!D24/'1B'!$C24*100</f>
        <v>11.203460747464719</v>
      </c>
      <c r="D24" s="7">
        <f>'1B'!E24/'1B'!$C24*100</f>
        <v>33.899723423870647</v>
      </c>
      <c r="E24" s="11" t="s">
        <v>10</v>
      </c>
      <c r="F24" s="11" t="s">
        <v>10</v>
      </c>
      <c r="G24" s="11" t="s">
        <v>10</v>
      </c>
      <c r="H24" s="7">
        <f>'1B'!I24/'1B'!$C24*100</f>
        <v>54.896815828664636</v>
      </c>
      <c r="I24" s="7">
        <f>'1B'!J24/'1B'!$C24*100</f>
        <v>24.04368484504645</v>
      </c>
      <c r="J24" s="7">
        <f>'1B'!K24/'1B'!$C24*100</f>
        <v>30.853130983618186</v>
      </c>
      <c r="M24" s="3" t="e">
        <f>((#REF!/#REF!)-1)*100</f>
        <v>#REF!</v>
      </c>
      <c r="N24" s="3" t="e">
        <f>((#REF!/#REF!)-1)*100</f>
        <v>#REF!</v>
      </c>
      <c r="O24" s="3" t="e">
        <f>((#REF!/#REF!)-1)*100</f>
        <v>#REF!</v>
      </c>
      <c r="P24" s="3" t="e">
        <f>((#REF!/#REF!)-1)*100</f>
        <v>#REF!</v>
      </c>
      <c r="Q24" s="3" t="e">
        <f>((#REF!/#REF!)-1)*100</f>
        <v>#REF!</v>
      </c>
      <c r="R24" s="3" t="e">
        <f>((#REF!/#REF!)-1)*100</f>
        <v>#REF!</v>
      </c>
      <c r="S24" s="3" t="e">
        <f>((#REF!/#REF!)-1)*100</f>
        <v>#REF!</v>
      </c>
      <c r="T24" s="3">
        <v>2009</v>
      </c>
      <c r="U24" s="3" t="e">
        <f>((#REF!/#REF!))*100</f>
        <v>#REF!</v>
      </c>
      <c r="V24" s="3" t="e">
        <f>((C30/#REF!))*100</f>
        <v>#REF!</v>
      </c>
      <c r="W24" s="3" t="e">
        <f>((D30/#REF!))*100</f>
        <v>#REF!</v>
      </c>
      <c r="X24" s="3" t="e">
        <f>((H30/#REF!))*100</f>
        <v>#REF!</v>
      </c>
      <c r="Y24" s="3" t="e">
        <f>((I30/#REF!))*100</f>
        <v>#REF!</v>
      </c>
      <c r="Z24" s="3" t="e">
        <f>((J30/#REF!))*100</f>
        <v>#REF!</v>
      </c>
      <c r="AC24" s="3">
        <v>2009</v>
      </c>
      <c r="AD24" s="3" t="e">
        <f t="shared" si="2"/>
        <v>#REF!</v>
      </c>
      <c r="AE24" s="3" t="e">
        <f t="shared" si="1"/>
        <v>#REF!</v>
      </c>
      <c r="AF24" s="3" t="e">
        <f t="shared" si="1"/>
        <v>#REF!</v>
      </c>
      <c r="AG24" s="3" t="e">
        <f t="shared" si="1"/>
        <v>#REF!</v>
      </c>
      <c r="AH24" s="3" t="e">
        <f t="shared" si="1"/>
        <v>#REF!</v>
      </c>
      <c r="AI24" s="3" t="e">
        <f t="shared" si="1"/>
        <v>#REF!</v>
      </c>
    </row>
    <row r="25" spans="1:35">
      <c r="A25" s="182">
        <v>2004</v>
      </c>
      <c r="B25" s="7">
        <f>'1B'!C25/'1B'!$C25*100</f>
        <v>100</v>
      </c>
      <c r="C25" s="7">
        <f>'1B'!D25/'1B'!$C25*100</f>
        <v>11.744797493846498</v>
      </c>
      <c r="D25" s="7">
        <f>'1B'!E25/'1B'!$C25*100</f>
        <v>35.495916312374135</v>
      </c>
      <c r="E25" s="11" t="s">
        <v>10</v>
      </c>
      <c r="F25" s="11" t="s">
        <v>10</v>
      </c>
      <c r="G25" s="11" t="s">
        <v>10</v>
      </c>
      <c r="H25" s="7">
        <f>'1B'!I25/'1B'!$C25*100</f>
        <v>52.759286193779374</v>
      </c>
      <c r="I25" s="7">
        <f>'1B'!J25/'1B'!$C25*100</f>
        <v>23.019691206086375</v>
      </c>
      <c r="J25" s="7">
        <f>'1B'!K25/'1B'!$C25*100</f>
        <v>29.739594987692996</v>
      </c>
      <c r="M25" s="3" t="e">
        <f>((#REF!/#REF!)-1)*100</f>
        <v>#REF!</v>
      </c>
      <c r="N25" s="3" t="e">
        <f>((#REF!/#REF!)-1)*100</f>
        <v>#REF!</v>
      </c>
      <c r="O25" s="3" t="e">
        <f>((#REF!/#REF!)-1)*100</f>
        <v>#REF!</v>
      </c>
      <c r="P25" s="3" t="e">
        <f>((#REF!/#REF!)-1)*100</f>
        <v>#REF!</v>
      </c>
      <c r="Q25" s="3" t="e">
        <f>((#REF!/#REF!)-1)*100</f>
        <v>#REF!</v>
      </c>
      <c r="R25" s="3" t="e">
        <f>((#REF!/#REF!)-1)*100</f>
        <v>#REF!</v>
      </c>
      <c r="S25" s="3" t="e">
        <f>((#REF!/#REF!)-1)*100</f>
        <v>#REF!</v>
      </c>
      <c r="T25" s="3">
        <v>2010</v>
      </c>
      <c r="U25" s="3" t="e">
        <f>((#REF!/#REF!))*100</f>
        <v>#REF!</v>
      </c>
      <c r="V25" s="3" t="e">
        <f>((C31/#REF!))*100</f>
        <v>#REF!</v>
      </c>
      <c r="W25" s="3" t="e">
        <f>((D31/#REF!))*100</f>
        <v>#REF!</v>
      </c>
      <c r="X25" s="3" t="e">
        <f>((H31/#REF!))*100</f>
        <v>#REF!</v>
      </c>
      <c r="Y25" s="3" t="e">
        <f>((I31/#REF!))*100</f>
        <v>#REF!</v>
      </c>
      <c r="Z25" s="3" t="e">
        <f>((J31/#REF!))*100</f>
        <v>#REF!</v>
      </c>
      <c r="AC25" s="3">
        <v>2010</v>
      </c>
      <c r="AD25" s="3" t="e">
        <f t="shared" si="2"/>
        <v>#REF!</v>
      </c>
      <c r="AE25" s="3" t="e">
        <f t="shared" si="1"/>
        <v>#REF!</v>
      </c>
      <c r="AF25" s="3" t="e">
        <f t="shared" si="1"/>
        <v>#REF!</v>
      </c>
      <c r="AG25" s="3" t="e">
        <f t="shared" si="1"/>
        <v>#REF!</v>
      </c>
      <c r="AH25" s="3" t="e">
        <f t="shared" si="1"/>
        <v>#REF!</v>
      </c>
      <c r="AI25" s="3" t="e">
        <f t="shared" si="1"/>
        <v>#REF!</v>
      </c>
    </row>
    <row r="26" spans="1:35">
      <c r="A26" s="182">
        <v>2005</v>
      </c>
      <c r="B26" s="11" t="s">
        <v>10</v>
      </c>
      <c r="C26" s="11" t="s">
        <v>10</v>
      </c>
      <c r="D26" s="11" t="s">
        <v>10</v>
      </c>
      <c r="E26" s="11" t="s">
        <v>10</v>
      </c>
      <c r="F26" s="11" t="s">
        <v>10</v>
      </c>
      <c r="G26" s="11" t="s">
        <v>10</v>
      </c>
      <c r="H26" s="11" t="s">
        <v>10</v>
      </c>
      <c r="I26" s="11" t="s">
        <v>10</v>
      </c>
      <c r="J26" s="11" t="s">
        <v>10</v>
      </c>
      <c r="M26" s="3" t="e">
        <f>((#REF!/#REF!)-1)*100</f>
        <v>#REF!</v>
      </c>
      <c r="N26" s="3" t="e">
        <f>((#REF!/#REF!)-1)*100</f>
        <v>#REF!</v>
      </c>
      <c r="O26" s="3" t="e">
        <f>((#REF!/#REF!)-1)*100</f>
        <v>#REF!</v>
      </c>
      <c r="P26" s="3" t="e">
        <f>((#REF!/#REF!)-1)*100</f>
        <v>#REF!</v>
      </c>
      <c r="Q26" s="3" t="e">
        <f>((#REF!/#REF!)-1)*100</f>
        <v>#REF!</v>
      </c>
      <c r="R26" s="3" t="e">
        <f>((#REF!/#REF!)-1)*100</f>
        <v>#REF!</v>
      </c>
      <c r="S26" s="3" t="e">
        <f>((#REF!/#REF!)-1)*100</f>
        <v>#REF!</v>
      </c>
      <c r="T26" s="3">
        <v>2011</v>
      </c>
      <c r="U26" s="3" t="e">
        <f>((#REF!/#REF!))*100</f>
        <v>#REF!</v>
      </c>
      <c r="V26" s="3" t="e">
        <f>((C32/#REF!))*100</f>
        <v>#REF!</v>
      </c>
      <c r="W26" s="3" t="e">
        <f>((D32/#REF!))*100</f>
        <v>#REF!</v>
      </c>
      <c r="X26" s="3" t="e">
        <f>((H32/#REF!))*100</f>
        <v>#REF!</v>
      </c>
      <c r="Y26" s="3" t="e">
        <f>((I32/#REF!))*100</f>
        <v>#REF!</v>
      </c>
      <c r="Z26" s="3" t="e">
        <f>((J32/#REF!))*100</f>
        <v>#REF!</v>
      </c>
      <c r="AC26" s="3" t="s">
        <v>28</v>
      </c>
      <c r="AD26" s="3" t="e">
        <f>((U26/U22)^(1/4)-1)*100</f>
        <v>#REF!</v>
      </c>
      <c r="AE26" s="3" t="e">
        <f>((V26/V22)^(1/4)-1)*100</f>
        <v>#REF!</v>
      </c>
      <c r="AF26" s="3" t="e">
        <f t="shared" ref="AF26:AI26" si="3">((W26/W22)^(1/4)-1)*100</f>
        <v>#REF!</v>
      </c>
      <c r="AG26" s="3" t="e">
        <f t="shared" si="3"/>
        <v>#REF!</v>
      </c>
      <c r="AH26" s="3" t="e">
        <f t="shared" si="3"/>
        <v>#REF!</v>
      </c>
      <c r="AI26" s="3" t="e">
        <f t="shared" si="3"/>
        <v>#REF!</v>
      </c>
    </row>
    <row r="27" spans="1:35" ht="15.75" thickBot="1">
      <c r="A27" s="182">
        <v>2006</v>
      </c>
      <c r="B27" s="75" t="s">
        <v>10</v>
      </c>
      <c r="C27" s="75" t="s">
        <v>10</v>
      </c>
      <c r="D27" s="75" t="s">
        <v>10</v>
      </c>
      <c r="E27" s="75" t="s">
        <v>10</v>
      </c>
      <c r="F27" s="75" t="s">
        <v>10</v>
      </c>
      <c r="G27" s="75" t="s">
        <v>10</v>
      </c>
      <c r="H27" s="75" t="s">
        <v>10</v>
      </c>
      <c r="I27" s="75" t="s">
        <v>10</v>
      </c>
      <c r="J27" s="75" t="s">
        <v>10</v>
      </c>
      <c r="M27" s="3" t="e">
        <f>((#REF!/#REF!)-1)*100</f>
        <v>#REF!</v>
      </c>
      <c r="N27" s="3" t="e">
        <f>((#REF!/#REF!)-1)*100</f>
        <v>#REF!</v>
      </c>
      <c r="O27" s="3" t="e">
        <f>((#REF!/#REF!)-1)*100</f>
        <v>#REF!</v>
      </c>
      <c r="P27" s="3" t="e">
        <f>((#REF!/#REF!)-1)*100</f>
        <v>#REF!</v>
      </c>
      <c r="Q27" s="3" t="e">
        <f>((#REF!/#REF!)-1)*100</f>
        <v>#REF!</v>
      </c>
      <c r="R27" s="3" t="e">
        <f>((#REF!/#REF!)-1)*100</f>
        <v>#REF!</v>
      </c>
      <c r="S27" s="3" t="e">
        <f>((#REF!/#REF!)-1)*100</f>
        <v>#REF!</v>
      </c>
    </row>
    <row r="28" spans="1:35">
      <c r="A28" s="182">
        <v>2007</v>
      </c>
      <c r="B28" s="7">
        <f>'1B'!C28/'1B'!$C28*100</f>
        <v>100</v>
      </c>
      <c r="C28" s="7">
        <f>'1B'!D28/'1B'!$C28*100</f>
        <v>10.017375538263956</v>
      </c>
      <c r="D28" s="7">
        <f>'1B'!E28/'1B'!$C28*100</f>
        <v>30.985117473747824</v>
      </c>
      <c r="E28" s="7">
        <f>'1B'!F28/'1B'!$C28*100</f>
        <v>7.1957392158344025</v>
      </c>
      <c r="F28" s="7">
        <f>'1B'!G28/'1B'!$C28*100</f>
        <v>8.0456296743975209</v>
      </c>
      <c r="G28" s="7">
        <f>'1B'!H28/'1B'!$C28*100</f>
        <v>15.751303165369796</v>
      </c>
      <c r="H28" s="7">
        <f>'1B'!I28/'1B'!$C28*100</f>
        <v>58.99750698798821</v>
      </c>
      <c r="I28" s="7">
        <f>'1B'!J28/'1B'!$C28*100</f>
        <v>23.175568482284504</v>
      </c>
      <c r="J28" s="7">
        <f>'1B'!K28/'1B'!$C28*100</f>
        <v>35.821938505703713</v>
      </c>
      <c r="M28" s="3" t="e">
        <f>((#REF!/#REF!)-1)*100</f>
        <v>#REF!</v>
      </c>
      <c r="N28" s="3" t="e">
        <f>((#REF!/#REF!)-1)*100</f>
        <v>#REF!</v>
      </c>
      <c r="O28" s="3" t="e">
        <f>((#REF!/#REF!)-1)*100</f>
        <v>#REF!</v>
      </c>
      <c r="P28" s="3" t="e">
        <f>((#REF!/#REF!)-1)*100</f>
        <v>#REF!</v>
      </c>
      <c r="Q28" s="3" t="e">
        <f>((#REF!/#REF!)-1)*100</f>
        <v>#REF!</v>
      </c>
      <c r="R28" s="3" t="e">
        <f>((#REF!/#REF!)-1)*100</f>
        <v>#REF!</v>
      </c>
      <c r="S28" s="3" t="e">
        <f>((#REF!/#REF!)-1)*100</f>
        <v>#REF!</v>
      </c>
      <c r="U28" s="4" t="s">
        <v>31</v>
      </c>
    </row>
    <row r="29" spans="1:35">
      <c r="A29" s="182">
        <v>2008</v>
      </c>
      <c r="B29" s="7">
        <f>'1B'!C29/'1B'!$C29*100</f>
        <v>100</v>
      </c>
      <c r="C29" s="7">
        <f>'1B'!D29/'1B'!$C29*100</f>
        <v>10.561862931963205</v>
      </c>
      <c r="D29" s="7">
        <f>'1B'!E29/'1B'!$C29*100</f>
        <v>28.683599900555233</v>
      </c>
      <c r="E29" s="7">
        <f>'1B'!F29/'1B'!$C29*100</f>
        <v>5.6766387668848921</v>
      </c>
      <c r="F29" s="7">
        <f>'1B'!G29/'1B'!$C29*100</f>
        <v>7.0854396287395369</v>
      </c>
      <c r="G29" s="7">
        <f>'1B'!H29/'1B'!$C29*100</f>
        <v>15.911162675064224</v>
      </c>
      <c r="H29" s="7">
        <f>'1B'!I29/'1B'!$C29*100</f>
        <v>60.754537167481558</v>
      </c>
      <c r="I29" s="7">
        <f>'1B'!J29/'1B'!$C29*100</f>
        <v>23.529046158945885</v>
      </c>
      <c r="J29" s="7">
        <f>'1B'!K29/'1B'!$C29*100</f>
        <v>37.22549100853567</v>
      </c>
      <c r="M29" s="3" t="e">
        <f>((#REF!/#REF!)-1)*100</f>
        <v>#REF!</v>
      </c>
      <c r="N29" s="3" t="e">
        <f>((#REF!/#REF!)-1)*100</f>
        <v>#REF!</v>
      </c>
      <c r="O29" s="3" t="e">
        <f>((#REF!/#REF!)-1)*100</f>
        <v>#REF!</v>
      </c>
      <c r="P29" s="3" t="e">
        <f>((#REF!/#REF!)-1)*100</f>
        <v>#REF!</v>
      </c>
      <c r="Q29" s="3" t="e">
        <f>((#REF!/#REF!)-1)*100</f>
        <v>#REF!</v>
      </c>
      <c r="R29" s="3" t="e">
        <f>((#REF!/#REF!)-1)*100</f>
        <v>#REF!</v>
      </c>
      <c r="S29" s="3" t="e">
        <f>((#REF!/#REF!)-1)*100</f>
        <v>#REF!</v>
      </c>
      <c r="U29" s="3" t="s">
        <v>2</v>
      </c>
      <c r="V29" s="3" t="s">
        <v>23</v>
      </c>
      <c r="W29" s="3" t="s">
        <v>3</v>
      </c>
      <c r="X29" s="3" t="s">
        <v>4</v>
      </c>
      <c r="Y29" s="3" t="s">
        <v>5</v>
      </c>
      <c r="Z29" s="3" t="s">
        <v>6</v>
      </c>
      <c r="AA29" s="3" t="s">
        <v>7</v>
      </c>
    </row>
    <row r="30" spans="1:35">
      <c r="A30" s="182">
        <v>2009</v>
      </c>
      <c r="B30" s="7">
        <f>'1B'!C30/'1B'!$C30*100</f>
        <v>100</v>
      </c>
      <c r="C30" s="7">
        <f>'1B'!D30/'1B'!$C30*100</f>
        <v>10.739235206776526</v>
      </c>
      <c r="D30" s="7">
        <f>'1B'!E30/'1B'!$C30*100</f>
        <v>25.355986661149384</v>
      </c>
      <c r="E30" s="7">
        <f>'1B'!F30/'1B'!$C30*100</f>
        <v>4.3083513862181437</v>
      </c>
      <c r="F30" s="7">
        <f>'1B'!G30/'1B'!$C30*100</f>
        <v>6.1582649757807362</v>
      </c>
      <c r="G30" s="7">
        <f>'1B'!H30/'1B'!$C30*100</f>
        <v>14.896672589635616</v>
      </c>
      <c r="H30" s="7">
        <f>'1B'!I30/'1B'!$C30*100</f>
        <v>63.904778132074092</v>
      </c>
      <c r="I30" s="7">
        <f>'1B'!J30/'1B'!$C30*100</f>
        <v>22.116203782586471</v>
      </c>
      <c r="J30" s="7">
        <f>'1B'!K30/'1B'!$C30*100</f>
        <v>41.788574349487618</v>
      </c>
      <c r="M30" s="3" t="e">
        <f>((#REF!/#REF!)-1)*100</f>
        <v>#REF!</v>
      </c>
      <c r="N30" s="3" t="e">
        <f>((#REF!/#REF!)-1)*100</f>
        <v>#REF!</v>
      </c>
      <c r="O30" s="3" t="e">
        <f>((#REF!/#REF!)-1)*100</f>
        <v>#REF!</v>
      </c>
      <c r="P30" s="3" t="e">
        <f>((#REF!/#REF!)-1)*100</f>
        <v>#REF!</v>
      </c>
      <c r="Q30" s="3" t="e">
        <f>((#REF!/#REF!)-1)*100</f>
        <v>#REF!</v>
      </c>
      <c r="R30" s="3" t="e">
        <f>((#REF!/#REF!)-1)*100</f>
        <v>#REF!</v>
      </c>
      <c r="S30" s="3" t="e">
        <f>((#REF!/#REF!)-1)*100</f>
        <v>#REF!</v>
      </c>
      <c r="T30" s="3">
        <v>1984</v>
      </c>
      <c r="U30" s="3" t="e">
        <f>(#REF!/#REF!)*100</f>
        <v>#REF!</v>
      </c>
      <c r="V30" s="3" t="e">
        <f>(#REF!/#REF!)*100</f>
        <v>#REF!</v>
      </c>
      <c r="W30" s="3" t="e">
        <f>(#REF!/#REF!)*100</f>
        <v>#REF!</v>
      </c>
      <c r="X30" s="3" t="e">
        <f>(#REF!/#REF!)*100</f>
        <v>#REF!</v>
      </c>
      <c r="Y30" s="3" t="e">
        <f>(#REF!/#REF!)*100</f>
        <v>#REF!</v>
      </c>
      <c r="Z30" s="3" t="e">
        <f>(#REF!/#REF!)*100</f>
        <v>#REF!</v>
      </c>
      <c r="AA30" s="3" t="e">
        <f>(#REF!/#REF!)*100</f>
        <v>#REF!</v>
      </c>
    </row>
    <row r="31" spans="1:35">
      <c r="A31" s="182">
        <v>2010</v>
      </c>
      <c r="B31" s="7">
        <f>'1B'!C31/'1B'!$C31*100</f>
        <v>100</v>
      </c>
      <c r="C31" s="7">
        <f>'1B'!D31/'1B'!$C31*100</f>
        <v>9.4863373021303765</v>
      </c>
      <c r="D31" s="7">
        <f>'1B'!E31/'1B'!$C31*100</f>
        <v>25.128871858035673</v>
      </c>
      <c r="E31" s="7">
        <f>'1B'!F31/'1B'!$C31*100</f>
        <v>4.4249806121983486</v>
      </c>
      <c r="F31" s="7">
        <f>'1B'!G31/'1B'!$C31*100</f>
        <v>5.7935313170019622</v>
      </c>
      <c r="G31" s="7">
        <f>'1B'!H31/'1B'!$C31*100</f>
        <v>14.917202682359381</v>
      </c>
      <c r="H31" s="7">
        <f>'1B'!I31/'1B'!$C31*100</f>
        <v>65.384790839833954</v>
      </c>
      <c r="I31" s="7">
        <f>'1B'!J31/'1B'!$C31*100</f>
        <v>25.669449386433101</v>
      </c>
      <c r="J31" s="7">
        <f>'1B'!K31/'1B'!$C31*100</f>
        <v>39.715341453400846</v>
      </c>
      <c r="M31" s="3" t="e">
        <f>((#REF!/#REF!)-1)*100</f>
        <v>#REF!</v>
      </c>
      <c r="N31" s="3" t="e">
        <f>((#REF!/#REF!)-1)*100</f>
        <v>#REF!</v>
      </c>
      <c r="O31" s="3" t="e">
        <f>((#REF!/#REF!)-1)*100</f>
        <v>#REF!</v>
      </c>
      <c r="P31" s="3" t="e">
        <f>((#REF!/#REF!)-1)*100</f>
        <v>#REF!</v>
      </c>
      <c r="Q31" s="3" t="e">
        <f>((#REF!/#REF!)-1)*100</f>
        <v>#REF!</v>
      </c>
      <c r="R31" s="3" t="e">
        <f>((#REF!/#REF!)-1)*100</f>
        <v>#REF!</v>
      </c>
      <c r="S31" s="3" t="e">
        <f>((#REF!/#REF!)-1)*100</f>
        <v>#REF!</v>
      </c>
      <c r="T31" s="3">
        <v>1985</v>
      </c>
      <c r="U31" s="3" t="e">
        <f>(#REF!/#REF!)*100</f>
        <v>#REF!</v>
      </c>
      <c r="V31" s="3" t="e">
        <f>(#REF!/#REF!)*100</f>
        <v>#REF!</v>
      </c>
      <c r="W31" s="3" t="e">
        <f>(#REF!/#REF!)*100</f>
        <v>#REF!</v>
      </c>
      <c r="X31" s="3" t="e">
        <f>(#REF!/#REF!)*100</f>
        <v>#REF!</v>
      </c>
      <c r="Y31" s="3" t="e">
        <f>(#REF!/#REF!)*100</f>
        <v>#REF!</v>
      </c>
      <c r="Z31" s="3" t="e">
        <f>(#REF!/#REF!)*100</f>
        <v>#REF!</v>
      </c>
      <c r="AA31" s="3" t="e">
        <f>(#REF!/#REF!)*100</f>
        <v>#REF!</v>
      </c>
    </row>
    <row r="32" spans="1:35">
      <c r="A32" s="182">
        <v>2011</v>
      </c>
      <c r="B32" s="7">
        <f>'1B'!C32/'1B'!$C32*100</f>
        <v>100</v>
      </c>
      <c r="C32" s="7">
        <f>'1B'!D32/'1B'!$C32*100</f>
        <v>9.9646713938513187</v>
      </c>
      <c r="D32" s="7">
        <f>'1B'!E32/'1B'!$C32*100</f>
        <v>24.712485279747437</v>
      </c>
      <c r="E32" s="7">
        <f>'1B'!F32/'1B'!$C32*100</f>
        <v>4.3095888351582268</v>
      </c>
      <c r="F32" s="7">
        <f>'1B'!G32/'1B'!$C32*100</f>
        <v>5.3869860439477844</v>
      </c>
      <c r="G32" s="7">
        <f>'1B'!H32/'1B'!$C32*100</f>
        <v>15.008393675928941</v>
      </c>
      <c r="H32" s="7">
        <f>'1B'!I32/'1B'!$C32*100</f>
        <v>65.322843326401241</v>
      </c>
      <c r="I32" s="7">
        <f>'1B'!J32/'1B'!$C32*100</f>
        <v>23.539876224599734</v>
      </c>
      <c r="J32" s="7">
        <f>'1B'!K32/'1B'!$C32*100</f>
        <v>41.782967101801503</v>
      </c>
      <c r="M32" s="3" t="e">
        <f>((#REF!/#REF!)-1)*100</f>
        <v>#REF!</v>
      </c>
      <c r="N32" s="3" t="e">
        <f>((#REF!/#REF!)-1)*100</f>
        <v>#REF!</v>
      </c>
      <c r="O32" s="3" t="e">
        <f>((#REF!/#REF!)-1)*100</f>
        <v>#REF!</v>
      </c>
      <c r="P32" s="3" t="e">
        <f>((#REF!/#REF!)-1)*100</f>
        <v>#REF!</v>
      </c>
      <c r="Q32" s="3" t="e">
        <f>((#REF!/#REF!)-1)*100</f>
        <v>#REF!</v>
      </c>
      <c r="R32" s="3" t="e">
        <f>((#REF!/#REF!)-1)*100</f>
        <v>#REF!</v>
      </c>
      <c r="S32" s="3" t="e">
        <f>((#REF!/#REF!)-1)*100</f>
        <v>#REF!</v>
      </c>
      <c r="T32" s="3">
        <v>1986</v>
      </c>
      <c r="U32" s="3" t="e">
        <f>(#REF!/#REF!)*100</f>
        <v>#REF!</v>
      </c>
      <c r="W32" s="3" t="e">
        <f>(#REF!/#REF!)*100</f>
        <v>#REF!</v>
      </c>
      <c r="Y32" s="3" t="e">
        <f>(#REF!/#REF!)*100</f>
        <v>#REF!</v>
      </c>
      <c r="Z32" s="3" t="e">
        <f>(#REF!/#REF!)*100</f>
        <v>#REF!</v>
      </c>
      <c r="AA32" s="3" t="e">
        <f>(#REF!/#REF!)*100</f>
        <v>#REF!</v>
      </c>
    </row>
    <row r="33" spans="1:36">
      <c r="A33" s="182"/>
      <c r="B33" s="8"/>
      <c r="C33" s="8"/>
      <c r="D33" s="8"/>
      <c r="E33" s="8"/>
      <c r="F33" s="8"/>
      <c r="G33" s="8"/>
      <c r="H33" s="8"/>
      <c r="I33" s="8"/>
      <c r="J33" s="8"/>
    </row>
    <row r="34" spans="1:36" ht="15" customHeight="1">
      <c r="A34" s="454" t="s">
        <v>45</v>
      </c>
      <c r="B34" s="454"/>
      <c r="C34" s="454"/>
      <c r="D34" s="454"/>
      <c r="E34" s="454"/>
      <c r="F34" s="454"/>
      <c r="G34" s="454"/>
      <c r="H34" s="454"/>
      <c r="I34" s="454"/>
      <c r="J34" s="454"/>
      <c r="K34" s="31"/>
      <c r="T34" s="3">
        <v>1989</v>
      </c>
      <c r="U34" s="3" t="e">
        <f>(#REF!/#REF!)*100</f>
        <v>#REF!</v>
      </c>
      <c r="W34" s="3" t="e">
        <f>(#REF!/#REF!)*100</f>
        <v>#REF!</v>
      </c>
      <c r="Y34" s="3" t="e">
        <f>(#REF!/#REF!)*100</f>
        <v>#REF!</v>
      </c>
      <c r="Z34" s="3" t="e">
        <f>(#REF!/#REF!)*100</f>
        <v>#REF!</v>
      </c>
      <c r="AA34" s="3" t="e">
        <f>(#REF!/#REF!)*100</f>
        <v>#REF!</v>
      </c>
    </row>
    <row r="35" spans="1:36" ht="30" customHeight="1">
      <c r="A35" s="240" t="s">
        <v>29</v>
      </c>
      <c r="B35" s="7">
        <f t="shared" ref="B35" si="4">((B21/B5)^(1/16)-1)*100</f>
        <v>0</v>
      </c>
      <c r="C35" s="7">
        <f>((C21/C5)^(1/16)-1)*100</f>
        <v>-1.7050959037038016</v>
      </c>
      <c r="D35" s="7">
        <f>((D21/D5)^(1/16)-1)*100</f>
        <v>3.2026758808102018</v>
      </c>
      <c r="E35" s="184" t="s">
        <v>10</v>
      </c>
      <c r="F35" s="184" t="s">
        <v>10</v>
      </c>
      <c r="G35" s="184" t="s">
        <v>10</v>
      </c>
      <c r="H35" s="7">
        <f>((H21/H5)^(1/16)-1)*100</f>
        <v>-0.83121106460957161</v>
      </c>
      <c r="I35" s="7">
        <f>((I21/I5)^(1/16)-1)*100</f>
        <v>-1.0914884219216048</v>
      </c>
      <c r="J35" s="7">
        <f>((J21/J5)^(1/16)-1)*100</f>
        <v>-0.37285668519732029</v>
      </c>
      <c r="T35" s="3">
        <v>1991</v>
      </c>
      <c r="U35" s="3" t="e">
        <f>(#REF!/#REF!)*100</f>
        <v>#REF!</v>
      </c>
      <c r="V35" s="3" t="e">
        <f>(#REF!/#REF!)*100</f>
        <v>#REF!</v>
      </c>
      <c r="W35" s="3" t="e">
        <f>(#REF!/#REF!)*100</f>
        <v>#REF!</v>
      </c>
      <c r="X35" s="3" t="e">
        <f>(#REF!/#REF!)*100</f>
        <v>#REF!</v>
      </c>
      <c r="Y35" s="3" t="e">
        <f>(#REF!/#REF!)*100</f>
        <v>#REF!</v>
      </c>
      <c r="Z35" s="3" t="e">
        <f>(#REF!/#REF!)*100</f>
        <v>#REF!</v>
      </c>
    </row>
    <row r="36" spans="1:36" ht="30" customHeight="1">
      <c r="A36" s="325" t="s">
        <v>68</v>
      </c>
      <c r="B36" s="11">
        <f>((B28/B21)^(1/7)-1)*100</f>
        <v>0</v>
      </c>
      <c r="C36" s="11">
        <f t="shared" ref="C36:J36" si="5">((C28/C21)^(1/7)-1)*100</f>
        <v>-2.8936239926853013</v>
      </c>
      <c r="D36" s="11">
        <f t="shared" si="5"/>
        <v>0.23673855475467853</v>
      </c>
      <c r="E36" s="329" t="s">
        <v>10</v>
      </c>
      <c r="F36" s="329" t="s">
        <v>10</v>
      </c>
      <c r="G36" s="329" t="s">
        <v>10</v>
      </c>
      <c r="H36" s="11">
        <f t="shared" si="5"/>
        <v>0.43790945085770971</v>
      </c>
      <c r="I36" s="11">
        <f t="shared" si="5"/>
        <v>-5.9772545154899159</v>
      </c>
      <c r="J36" s="11">
        <f t="shared" si="5"/>
        <v>7.5352639067633342</v>
      </c>
      <c r="T36" s="3">
        <v>1992</v>
      </c>
      <c r="U36" s="3" t="e">
        <f>(#REF!/#REF!)*100</f>
        <v>#REF!</v>
      </c>
      <c r="W36" s="3" t="e">
        <f>(#REF!/#REF!)*100</f>
        <v>#REF!</v>
      </c>
      <c r="Y36" s="3" t="e">
        <f>(#REF!/#REF!)*100</f>
        <v>#REF!</v>
      </c>
      <c r="Z36" s="3" t="e">
        <f>(#REF!/#REF!)*100</f>
        <v>#REF!</v>
      </c>
      <c r="AA36" s="3" t="e">
        <f>(#REF!/#REF!)*100</f>
        <v>#REF!</v>
      </c>
    </row>
    <row r="37" spans="1:36" ht="30" customHeight="1">
      <c r="A37" s="240" t="s">
        <v>28</v>
      </c>
      <c r="B37" s="7">
        <f>((B32/B28)^(1/4)-1)*100</f>
        <v>0</v>
      </c>
      <c r="C37" s="11" t="s">
        <v>10</v>
      </c>
      <c r="D37" s="11" t="s">
        <v>10</v>
      </c>
      <c r="E37" s="11" t="s">
        <v>10</v>
      </c>
      <c r="F37" s="11" t="s">
        <v>10</v>
      </c>
      <c r="G37" s="11" t="s">
        <v>10</v>
      </c>
      <c r="H37" s="11" t="s">
        <v>10</v>
      </c>
      <c r="I37" s="11" t="s">
        <v>10</v>
      </c>
      <c r="J37" s="11" t="s">
        <v>10</v>
      </c>
      <c r="T37" s="3">
        <v>1993</v>
      </c>
      <c r="U37" s="3" t="e">
        <f>(#REF!/#REF!)*100</f>
        <v>#REF!</v>
      </c>
      <c r="W37" s="3" t="e">
        <f>(#REF!/#REF!)*100</f>
        <v>#REF!</v>
      </c>
      <c r="Y37" s="3" t="e">
        <f>(#REF!/#REF!)*100</f>
        <v>#REF!</v>
      </c>
      <c r="Z37" s="3" t="e">
        <f>(#REF!/#REF!)*100</f>
        <v>#REF!</v>
      </c>
      <c r="AA37" s="3" t="e">
        <f>(#REF!/#REF!)*100</f>
        <v>#REF!</v>
      </c>
    </row>
    <row r="38" spans="1:36" ht="30" customHeight="1">
      <c r="A38" s="325" t="s">
        <v>364</v>
      </c>
      <c r="B38" s="7">
        <f>((B32/B21)^(1/11)-1)*100</f>
        <v>0</v>
      </c>
      <c r="C38" s="7">
        <f t="shared" ref="C38:J38" si="6">((C32/C21)^(1/11)-1)*100</f>
        <v>-1.8982715332180988</v>
      </c>
      <c r="D38" s="7">
        <f t="shared" si="6"/>
        <v>-1.8878284895316511</v>
      </c>
      <c r="E38" s="329" t="s">
        <v>10</v>
      </c>
      <c r="F38" s="329" t="s">
        <v>10</v>
      </c>
      <c r="G38" s="329" t="s">
        <v>10</v>
      </c>
      <c r="H38" s="7">
        <f t="shared" si="6"/>
        <v>1.211216042232266</v>
      </c>
      <c r="I38" s="7">
        <f t="shared" si="6"/>
        <v>-3.7097737493280158</v>
      </c>
      <c r="J38" s="7">
        <f t="shared" si="6"/>
        <v>6.2074884803917652</v>
      </c>
    </row>
    <row r="39" spans="1:36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T39" s="3">
        <v>1995</v>
      </c>
      <c r="U39" s="3" t="e">
        <f>(#REF!/#REF!)*100</f>
        <v>#REF!</v>
      </c>
      <c r="W39" s="3" t="e">
        <f>(#REF!/#REF!)*100</f>
        <v>#REF!</v>
      </c>
      <c r="Y39" s="3" t="e">
        <f>(#REF!/#REF!)*100</f>
        <v>#REF!</v>
      </c>
      <c r="Z39" s="3" t="e">
        <f>(#REF!/#REF!)*100</f>
        <v>#REF!</v>
      </c>
    </row>
    <row r="40" spans="1:36" s="183" customFormat="1">
      <c r="A40" s="231" t="s">
        <v>344</v>
      </c>
      <c r="M40" s="24"/>
      <c r="N40" s="24"/>
      <c r="O40" s="24"/>
      <c r="P40" s="24"/>
      <c r="Q40" s="24"/>
      <c r="R40" s="24"/>
      <c r="S40" s="24"/>
      <c r="T40" s="24">
        <v>2002</v>
      </c>
      <c r="U40" s="24" t="e">
        <f>(#REF!/#REF!)*100</f>
        <v>#REF!</v>
      </c>
      <c r="V40" s="24" t="e">
        <f>(#REF!/#REF!)*100</f>
        <v>#REF!</v>
      </c>
      <c r="W40" s="24" t="e">
        <f>(#REF!/#REF!)*100</f>
        <v>#REF!</v>
      </c>
      <c r="X40" s="24" t="e">
        <f>(#REF!/#REF!)*100</f>
        <v>#REF!</v>
      </c>
      <c r="Y40" s="24" t="e">
        <f>(#REF!/#REF!)*100</f>
        <v>#REF!</v>
      </c>
      <c r="Z40" s="24" t="e">
        <f>(#REF!/#REF!)*100</f>
        <v>#REF!</v>
      </c>
      <c r="AA40" s="24" t="e">
        <f>(#REF!/#REF!)*100</f>
        <v>#REF!</v>
      </c>
      <c r="AB40" s="24"/>
      <c r="AC40" s="24"/>
      <c r="AD40" s="24"/>
      <c r="AE40" s="24"/>
      <c r="AF40" s="24"/>
      <c r="AG40" s="24"/>
      <c r="AH40" s="24"/>
      <c r="AI40" s="24"/>
      <c r="AJ40" s="24"/>
    </row>
    <row r="41" spans="1:36">
      <c r="T41" s="3">
        <v>2010</v>
      </c>
      <c r="U41" s="3" t="e">
        <f>(#REF!/#REF!)*100</f>
        <v>#REF!</v>
      </c>
      <c r="V41" s="3" t="e">
        <f>(#REF!/#REF!)*100</f>
        <v>#REF!</v>
      </c>
      <c r="W41" s="3" t="e">
        <f>(#REF!/#REF!)*100</f>
        <v>#REF!</v>
      </c>
      <c r="X41" s="3" t="e">
        <f>(#REF!/#REF!)*100</f>
        <v>#REF!</v>
      </c>
      <c r="Y41" s="3" t="e">
        <f>(#REF!/#REF!)*100</f>
        <v>#REF!</v>
      </c>
      <c r="Z41" s="3" t="e">
        <f>(#REF!/#REF!)*100</f>
        <v>#REF!</v>
      </c>
      <c r="AA41" s="3" t="e">
        <f>(#REF!/#REF!)*100</f>
        <v>#REF!</v>
      </c>
    </row>
    <row r="42" spans="1:36">
      <c r="T42" s="3">
        <v>2011</v>
      </c>
      <c r="U42" s="3" t="e">
        <f>(#REF!/#REF!)*100</f>
        <v>#REF!</v>
      </c>
      <c r="V42" s="3" t="e">
        <f>(#REF!/#REF!)*100</f>
        <v>#REF!</v>
      </c>
      <c r="W42" s="3" t="e">
        <f>(#REF!/#REF!)*100</f>
        <v>#REF!</v>
      </c>
      <c r="X42" s="3" t="e">
        <f>(#REF!/#REF!)*100</f>
        <v>#REF!</v>
      </c>
      <c r="Y42" s="3" t="e">
        <f>(#REF!/#REF!)*100</f>
        <v>#REF!</v>
      </c>
      <c r="Z42" s="3" t="e">
        <f>(#REF!/#REF!)*100</f>
        <v>#REF!</v>
      </c>
      <c r="AA42" s="3" t="e">
        <f>(#REF!/#REF!)*100</f>
        <v>#REF!</v>
      </c>
    </row>
    <row r="43" spans="1:36">
      <c r="T43" s="3">
        <v>2012</v>
      </c>
      <c r="U43" s="3" t="e">
        <f>(#REF!/#REF!)*100</f>
        <v>#REF!</v>
      </c>
      <c r="V43" s="3" t="e">
        <f>(#REF!/#REF!)*100</f>
        <v>#REF!</v>
      </c>
      <c r="W43" s="3" t="e">
        <f>(#REF!/#REF!)*100</f>
        <v>#REF!</v>
      </c>
      <c r="X43" s="3" t="e">
        <f>(#REF!/#REF!)*100</f>
        <v>#REF!</v>
      </c>
      <c r="Y43" s="3" t="e">
        <f>(#REF!/#REF!)*100</f>
        <v>#REF!</v>
      </c>
      <c r="Z43" s="3" t="e">
        <f>(#REF!/#REF!)*100</f>
        <v>#REF!</v>
      </c>
      <c r="AA43" s="3" t="e">
        <f>(#REF!/#REF!)*100</f>
        <v>#REF!</v>
      </c>
    </row>
    <row r="44" spans="1:36">
      <c r="T44" s="3">
        <v>2013</v>
      </c>
      <c r="U44" s="3" t="e">
        <f>(#REF!/#REF!)*100</f>
        <v>#REF!</v>
      </c>
      <c r="V44" s="3" t="e">
        <f>(#REF!/#REF!)*100</f>
        <v>#REF!</v>
      </c>
      <c r="W44" s="3" t="e">
        <f>(#REF!/#REF!)*100</f>
        <v>#REF!</v>
      </c>
      <c r="X44" s="3" t="e">
        <f>(#REF!/#REF!)*100</f>
        <v>#REF!</v>
      </c>
      <c r="Y44" s="3" t="e">
        <f>(#REF!/#REF!)*100</f>
        <v>#REF!</v>
      </c>
      <c r="Z44" s="3" t="e">
        <f>(#REF!/#REF!)*100</f>
        <v>#REF!</v>
      </c>
      <c r="AA44" s="3" t="e">
        <f>(#REF!/#REF!)*100</f>
        <v>#REF!</v>
      </c>
    </row>
  </sheetData>
  <mergeCells count="3">
    <mergeCell ref="A1:J1"/>
    <mergeCell ref="B2:J2"/>
    <mergeCell ref="A34:J34"/>
  </mergeCells>
  <printOptions gridLines="1"/>
  <pageMargins left="0.7" right="0.7" top="0.75" bottom="0.75" header="0.3" footer="0.3"/>
  <pageSetup scale="88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0"/>
  <sheetViews>
    <sheetView view="pageBreakPreview" zoomScaleNormal="100" zoomScaleSheetLayoutView="100" workbookViewId="0">
      <selection activeCell="L34" sqref="L34"/>
    </sheetView>
  </sheetViews>
  <sheetFormatPr defaultRowHeight="15"/>
  <cols>
    <col min="1" max="1" width="11.42578125" style="132" customWidth="1"/>
    <col min="2" max="2" width="14" style="132" customWidth="1"/>
    <col min="3" max="3" width="13.42578125" style="132" customWidth="1"/>
    <col min="4" max="4" width="13.140625" style="132" customWidth="1"/>
    <col min="5" max="5" width="11.140625" style="132" customWidth="1"/>
    <col min="6" max="6" width="18.5703125" style="132" customWidth="1"/>
    <col min="7" max="7" width="17" style="132" customWidth="1"/>
    <col min="8" max="8" width="15.42578125" style="132" customWidth="1"/>
    <col min="9" max="9" width="12.85546875" style="132" customWidth="1"/>
    <col min="10" max="10" width="14.140625" style="132" customWidth="1"/>
    <col min="11" max="11" width="12.85546875" style="132" customWidth="1"/>
    <col min="12" max="12" width="19.42578125" style="132" customWidth="1"/>
    <col min="13" max="13" width="15.5703125" style="132" customWidth="1"/>
    <col min="14" max="16384" width="9.140625" style="132"/>
  </cols>
  <sheetData>
    <row r="1" spans="1:13">
      <c r="A1" s="456" t="s">
        <v>605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</row>
    <row r="2" spans="1:13">
      <c r="A2" s="194"/>
      <c r="B2" s="456" t="s">
        <v>246</v>
      </c>
      <c r="C2" s="456"/>
      <c r="D2" s="456"/>
      <c r="E2" s="456"/>
      <c r="F2" s="456"/>
      <c r="G2" s="456"/>
      <c r="H2" s="456" t="s">
        <v>8</v>
      </c>
      <c r="I2" s="456"/>
      <c r="J2" s="456"/>
      <c r="K2" s="456"/>
      <c r="L2" s="456"/>
      <c r="M2" s="456"/>
    </row>
    <row r="3" spans="1:13" ht="45" customHeight="1">
      <c r="A3" s="95"/>
      <c r="B3" s="469" t="s">
        <v>606</v>
      </c>
      <c r="C3" s="469"/>
      <c r="D3" s="469"/>
      <c r="E3" s="469" t="s">
        <v>607</v>
      </c>
      <c r="F3" s="469"/>
      <c r="G3" s="469"/>
      <c r="H3" s="469" t="s">
        <v>606</v>
      </c>
      <c r="I3" s="469"/>
      <c r="J3" s="469"/>
      <c r="K3" s="469" t="s">
        <v>607</v>
      </c>
      <c r="L3" s="469"/>
      <c r="M3" s="469"/>
    </row>
    <row r="4" spans="1:13" ht="60">
      <c r="A4" s="95"/>
      <c r="B4" s="425" t="s">
        <v>551</v>
      </c>
      <c r="C4" s="425" t="s">
        <v>552</v>
      </c>
      <c r="D4" s="425" t="s">
        <v>553</v>
      </c>
      <c r="E4" s="425" t="s">
        <v>554</v>
      </c>
      <c r="F4" s="435" t="s">
        <v>608</v>
      </c>
      <c r="G4" s="435" t="s">
        <v>609</v>
      </c>
      <c r="H4" s="435" t="s">
        <v>610</v>
      </c>
      <c r="I4" s="435" t="s">
        <v>552</v>
      </c>
      <c r="J4" s="435" t="s">
        <v>553</v>
      </c>
      <c r="K4" s="435" t="s">
        <v>554</v>
      </c>
      <c r="L4" s="435" t="s">
        <v>608</v>
      </c>
      <c r="M4" s="435" t="s">
        <v>609</v>
      </c>
    </row>
    <row r="5" spans="1:13">
      <c r="A5" s="95"/>
      <c r="B5" s="470" t="s">
        <v>226</v>
      </c>
      <c r="C5" s="470"/>
      <c r="D5" s="470"/>
      <c r="E5" s="470" t="s">
        <v>243</v>
      </c>
      <c r="F5" s="470"/>
      <c r="G5" s="470"/>
      <c r="H5" s="470" t="s">
        <v>226</v>
      </c>
      <c r="I5" s="470"/>
      <c r="J5" s="470"/>
      <c r="K5" s="470" t="s">
        <v>243</v>
      </c>
      <c r="L5" s="470"/>
      <c r="M5" s="470"/>
    </row>
    <row r="6" spans="1:13">
      <c r="A6" s="95"/>
      <c r="B6" s="193"/>
      <c r="C6" s="193"/>
      <c r="D6" s="193"/>
      <c r="E6" s="193"/>
      <c r="F6" s="193"/>
      <c r="G6" s="193"/>
    </row>
    <row r="7" spans="1:13">
      <c r="A7" s="194">
        <v>1997</v>
      </c>
      <c r="B7" s="129">
        <v>2519</v>
      </c>
      <c r="C7" s="129">
        <v>2275</v>
      </c>
      <c r="D7" s="129">
        <v>244</v>
      </c>
      <c r="E7" s="129">
        <v>26586</v>
      </c>
      <c r="F7" s="129">
        <v>15370</v>
      </c>
      <c r="G7" s="129">
        <v>11216</v>
      </c>
      <c r="H7" s="129" t="s">
        <v>10</v>
      </c>
      <c r="I7" s="129" t="s">
        <v>10</v>
      </c>
      <c r="J7" s="129" t="s">
        <v>10</v>
      </c>
      <c r="K7" s="129">
        <f>'9B'!E7+'9B'!K7+'9B'!Q7</f>
        <v>876</v>
      </c>
      <c r="L7" s="129" t="s">
        <v>10</v>
      </c>
      <c r="M7" s="129" t="s">
        <v>10</v>
      </c>
    </row>
    <row r="8" spans="1:13">
      <c r="A8" s="194">
        <v>1998</v>
      </c>
      <c r="B8" s="129">
        <v>2764</v>
      </c>
      <c r="C8" s="129">
        <v>2452</v>
      </c>
      <c r="D8" s="129">
        <v>312</v>
      </c>
      <c r="E8" s="129">
        <v>27992</v>
      </c>
      <c r="F8" s="129">
        <v>16503</v>
      </c>
      <c r="G8" s="129">
        <v>11489</v>
      </c>
      <c r="H8" s="129" t="s">
        <v>10</v>
      </c>
      <c r="I8" s="129" t="s">
        <v>10</v>
      </c>
      <c r="J8" s="129" t="s">
        <v>10</v>
      </c>
      <c r="K8" s="129" t="s">
        <v>10</v>
      </c>
      <c r="L8" s="129" t="s">
        <v>10</v>
      </c>
      <c r="M8" s="129">
        <f>'9B'!G8+'9B'!M8+'9B'!S8</f>
        <v>668</v>
      </c>
    </row>
    <row r="9" spans="1:13">
      <c r="A9" s="194">
        <v>1999</v>
      </c>
      <c r="B9" s="129">
        <v>3046</v>
      </c>
      <c r="C9" s="129">
        <v>2778</v>
      </c>
      <c r="D9" s="129">
        <v>268</v>
      </c>
      <c r="E9" s="129">
        <v>30513</v>
      </c>
      <c r="F9" s="129">
        <v>17884</v>
      </c>
      <c r="G9" s="129">
        <v>12629</v>
      </c>
      <c r="H9" s="129" t="s">
        <v>10</v>
      </c>
      <c r="I9" s="129" t="s">
        <v>10</v>
      </c>
      <c r="J9" s="129" t="s">
        <v>10</v>
      </c>
      <c r="K9" s="129" t="s">
        <v>10</v>
      </c>
      <c r="L9" s="129" t="s">
        <v>10</v>
      </c>
      <c r="M9" s="129" t="s">
        <v>10</v>
      </c>
    </row>
    <row r="10" spans="1:13">
      <c r="A10" s="194">
        <v>2000</v>
      </c>
      <c r="B10" s="129">
        <v>3642</v>
      </c>
      <c r="C10" s="129">
        <v>3328</v>
      </c>
      <c r="D10" s="129">
        <v>313</v>
      </c>
      <c r="E10" s="129">
        <v>35101</v>
      </c>
      <c r="F10" s="129">
        <v>20782</v>
      </c>
      <c r="G10" s="129">
        <v>14319</v>
      </c>
      <c r="H10" s="129" t="s">
        <v>10</v>
      </c>
      <c r="I10" s="129" t="s">
        <v>10</v>
      </c>
      <c r="J10" s="129" t="s">
        <v>10</v>
      </c>
      <c r="K10" s="129" t="s">
        <v>10</v>
      </c>
      <c r="L10" s="129" t="s">
        <v>10</v>
      </c>
      <c r="M10" s="129" t="s">
        <v>10</v>
      </c>
    </row>
    <row r="11" spans="1:13">
      <c r="A11" s="194">
        <v>2001</v>
      </c>
      <c r="B11" s="129">
        <v>4157</v>
      </c>
      <c r="C11" s="129">
        <v>3758</v>
      </c>
      <c r="D11" s="129">
        <v>399</v>
      </c>
      <c r="E11" s="129">
        <v>38544</v>
      </c>
      <c r="F11" s="129">
        <v>21867</v>
      </c>
      <c r="G11" s="129">
        <v>16677</v>
      </c>
      <c r="H11" s="129" t="s">
        <v>10</v>
      </c>
      <c r="I11" s="129" t="s">
        <v>10</v>
      </c>
      <c r="J11" s="129" t="s">
        <v>10</v>
      </c>
      <c r="K11" s="129">
        <f>'9B'!E11+'9B'!K11+'9B'!Q11</f>
        <v>1370</v>
      </c>
      <c r="L11" s="129" t="s">
        <v>10</v>
      </c>
      <c r="M11" s="129" t="s">
        <v>10</v>
      </c>
    </row>
    <row r="12" spans="1:13">
      <c r="A12" s="194">
        <v>2002</v>
      </c>
      <c r="B12" s="129">
        <v>4153</v>
      </c>
      <c r="C12" s="129">
        <v>3889</v>
      </c>
      <c r="D12" s="129">
        <v>264</v>
      </c>
      <c r="E12" s="129">
        <v>40512</v>
      </c>
      <c r="F12" s="129">
        <v>22889</v>
      </c>
      <c r="G12" s="129">
        <v>17623</v>
      </c>
      <c r="H12" s="129" t="s">
        <v>10</v>
      </c>
      <c r="I12" s="129">
        <f>'9B'!C12+'9B'!I12+'9B'!O12</f>
        <v>285</v>
      </c>
      <c r="J12" s="129" t="s">
        <v>10</v>
      </c>
      <c r="K12" s="129">
        <f>'9B'!E12+'9B'!K12+'9B'!Q12</f>
        <v>1496</v>
      </c>
      <c r="L12" s="129">
        <f>'9B'!F12+'9B'!L12+'9B'!R12</f>
        <v>596</v>
      </c>
      <c r="M12" s="129">
        <f>'9B'!G12+'9B'!M12+'9B'!S12</f>
        <v>900</v>
      </c>
    </row>
    <row r="13" spans="1:13">
      <c r="A13" s="194">
        <v>2003</v>
      </c>
      <c r="B13" s="129">
        <v>4174</v>
      </c>
      <c r="C13" s="129">
        <v>3888</v>
      </c>
      <c r="D13" s="129">
        <v>286</v>
      </c>
      <c r="E13" s="129">
        <v>42761</v>
      </c>
      <c r="F13" s="129">
        <v>23244</v>
      </c>
      <c r="G13" s="129">
        <v>19517</v>
      </c>
      <c r="H13" s="129" t="s">
        <v>10</v>
      </c>
      <c r="I13" s="129">
        <f>'9B'!C13+'9B'!I13+'9B'!O13</f>
        <v>279</v>
      </c>
      <c r="J13" s="129" t="s">
        <v>10</v>
      </c>
      <c r="K13" s="129">
        <f>'9B'!E13+'9B'!K13+'9B'!Q13</f>
        <v>1606</v>
      </c>
      <c r="L13" s="129" t="s">
        <v>10</v>
      </c>
      <c r="M13" s="129" t="s">
        <v>10</v>
      </c>
    </row>
    <row r="14" spans="1:13">
      <c r="A14" s="194">
        <v>2004</v>
      </c>
      <c r="B14" s="129">
        <v>4326</v>
      </c>
      <c r="C14" s="129">
        <v>4021</v>
      </c>
      <c r="D14" s="129">
        <v>305</v>
      </c>
      <c r="E14" s="129">
        <v>45296</v>
      </c>
      <c r="F14" s="129">
        <v>23994</v>
      </c>
      <c r="G14" s="129">
        <v>21302</v>
      </c>
      <c r="H14" s="129" t="s">
        <v>10</v>
      </c>
      <c r="I14" s="129" t="s">
        <v>10</v>
      </c>
      <c r="J14" s="129" t="s">
        <v>10</v>
      </c>
      <c r="K14" s="129">
        <f>'9B'!E14+'9B'!K14+'9B'!Q14</f>
        <v>1504</v>
      </c>
      <c r="L14" s="129" t="s">
        <v>10</v>
      </c>
      <c r="M14" s="129" t="s">
        <v>10</v>
      </c>
    </row>
    <row r="15" spans="1:13">
      <c r="A15" s="194">
        <v>2005</v>
      </c>
      <c r="B15" s="129">
        <v>4170</v>
      </c>
      <c r="C15" s="129">
        <v>3944</v>
      </c>
      <c r="D15" s="129">
        <v>226</v>
      </c>
      <c r="E15" s="129">
        <v>44939</v>
      </c>
      <c r="F15" s="129">
        <v>23990</v>
      </c>
      <c r="G15" s="129">
        <v>20949</v>
      </c>
      <c r="H15" s="129" t="s">
        <v>10</v>
      </c>
      <c r="I15" s="129" t="s">
        <v>10</v>
      </c>
      <c r="J15" s="129" t="s">
        <v>10</v>
      </c>
      <c r="K15" s="129">
        <f>'9B'!E15+'9B'!K15+'9B'!Q15</f>
        <v>1521</v>
      </c>
      <c r="L15" s="129" t="s">
        <v>10</v>
      </c>
      <c r="M15" s="129" t="s">
        <v>10</v>
      </c>
    </row>
    <row r="16" spans="1:13">
      <c r="A16" s="194">
        <v>2006</v>
      </c>
      <c r="B16" s="129">
        <v>4830</v>
      </c>
      <c r="C16" s="129">
        <v>4600</v>
      </c>
      <c r="D16" s="129">
        <v>230</v>
      </c>
      <c r="E16" s="129">
        <v>48940</v>
      </c>
      <c r="F16" s="129">
        <v>26091</v>
      </c>
      <c r="G16" s="129">
        <v>22849</v>
      </c>
      <c r="H16" s="129" t="s">
        <v>10</v>
      </c>
      <c r="I16" s="129" t="s">
        <v>10</v>
      </c>
      <c r="J16" s="129" t="s">
        <v>10</v>
      </c>
      <c r="K16" s="129">
        <f>'9B'!E16+'9B'!K16+'9B'!Q16</f>
        <v>1615</v>
      </c>
      <c r="L16" s="129" t="s">
        <v>10</v>
      </c>
      <c r="M16" s="129" t="s">
        <v>10</v>
      </c>
    </row>
    <row r="17" spans="1:13">
      <c r="A17" s="194">
        <v>2007</v>
      </c>
      <c r="B17" s="129">
        <v>4881</v>
      </c>
      <c r="C17" s="129">
        <v>4665</v>
      </c>
      <c r="D17" s="129">
        <v>216</v>
      </c>
      <c r="E17" s="129">
        <v>53306</v>
      </c>
      <c r="F17" s="129">
        <v>27728</v>
      </c>
      <c r="G17" s="129">
        <v>25578</v>
      </c>
      <c r="H17" s="129">
        <f>'9B'!B17+'9B'!H17+'9B'!N17</f>
        <v>215</v>
      </c>
      <c r="I17" s="129" t="s">
        <v>10</v>
      </c>
      <c r="J17" s="129" t="s">
        <v>10</v>
      </c>
      <c r="K17" s="129">
        <f>'9B'!E17+'9B'!K17+'9B'!Q17</f>
        <v>1778</v>
      </c>
      <c r="L17" s="129" t="s">
        <v>10</v>
      </c>
      <c r="M17" s="129" t="s">
        <v>10</v>
      </c>
    </row>
    <row r="18" spans="1:13">
      <c r="A18" s="194">
        <v>2008</v>
      </c>
      <c r="B18" s="129">
        <v>4794</v>
      </c>
      <c r="C18" s="129">
        <v>4597</v>
      </c>
      <c r="D18" s="129">
        <v>197</v>
      </c>
      <c r="E18" s="129">
        <v>58086</v>
      </c>
      <c r="F18" s="129">
        <v>29523</v>
      </c>
      <c r="G18" s="129">
        <v>28563</v>
      </c>
      <c r="H18" s="129">
        <f>'9B'!B18+'9B'!H18+'9B'!N18</f>
        <v>143</v>
      </c>
      <c r="I18" s="129" t="s">
        <v>10</v>
      </c>
      <c r="J18" s="129" t="s">
        <v>10</v>
      </c>
      <c r="K18" s="129">
        <f>'9B'!E18+'9B'!K18+'9B'!Q18</f>
        <v>1709</v>
      </c>
      <c r="L18" s="129" t="s">
        <v>10</v>
      </c>
      <c r="M18" s="129" t="s">
        <v>10</v>
      </c>
    </row>
    <row r="19" spans="1:13">
      <c r="A19" s="194">
        <v>2009</v>
      </c>
      <c r="B19" s="129">
        <v>4757</v>
      </c>
      <c r="C19" s="129">
        <v>4530</v>
      </c>
      <c r="D19" s="129">
        <v>227</v>
      </c>
      <c r="E19" s="129">
        <v>49512</v>
      </c>
      <c r="F19" s="129">
        <v>27631</v>
      </c>
      <c r="G19" s="129">
        <v>21881</v>
      </c>
      <c r="H19" s="129">
        <f>'9B'!B19+'9B'!H19+'9B'!N19</f>
        <v>87</v>
      </c>
      <c r="I19" s="129" t="s">
        <v>10</v>
      </c>
      <c r="J19" s="129" t="s">
        <v>10</v>
      </c>
      <c r="K19" s="129">
        <f>'9B'!E19+'9B'!K19+'9B'!Q19</f>
        <v>789</v>
      </c>
      <c r="L19" s="129">
        <f>'9B'!F19+'9B'!L19+'9B'!R19</f>
        <v>282</v>
      </c>
      <c r="M19" s="129">
        <f>'9B'!G19+'9B'!M19+'9B'!S19</f>
        <v>507</v>
      </c>
    </row>
    <row r="20" spans="1:13">
      <c r="A20" s="194">
        <v>2010</v>
      </c>
      <c r="B20" s="129">
        <v>4764</v>
      </c>
      <c r="C20" s="129">
        <v>4530</v>
      </c>
      <c r="D20" s="129">
        <v>234</v>
      </c>
      <c r="E20" s="129">
        <v>46349</v>
      </c>
      <c r="F20" s="129">
        <v>28416</v>
      </c>
      <c r="G20" s="129">
        <v>17933</v>
      </c>
      <c r="H20" s="129" t="s">
        <v>10</v>
      </c>
      <c r="I20" s="129" t="s">
        <v>10</v>
      </c>
      <c r="J20" s="129" t="s">
        <v>10</v>
      </c>
      <c r="K20" s="129">
        <f>'9B'!E20+'9B'!K20+'9B'!Q20</f>
        <v>827</v>
      </c>
      <c r="L20" s="129" t="s">
        <v>10</v>
      </c>
      <c r="M20" s="129" t="s">
        <v>10</v>
      </c>
    </row>
    <row r="21" spans="1:13">
      <c r="A21" s="194">
        <v>2011</v>
      </c>
      <c r="B21" s="129">
        <v>4869</v>
      </c>
      <c r="C21" s="129">
        <v>4625</v>
      </c>
      <c r="D21" s="129">
        <v>243</v>
      </c>
      <c r="E21" s="129">
        <v>46844</v>
      </c>
      <c r="F21" s="129">
        <v>28455</v>
      </c>
      <c r="G21" s="129">
        <v>18389</v>
      </c>
      <c r="H21" s="129">
        <f>'9B'!B21+'9B'!H21+'9B'!N21</f>
        <v>130</v>
      </c>
      <c r="I21" s="129" t="s">
        <v>10</v>
      </c>
      <c r="J21" s="129" t="s">
        <v>10</v>
      </c>
      <c r="K21" s="129">
        <f>'9B'!E21+'9B'!K21+'9B'!Q21</f>
        <v>798</v>
      </c>
      <c r="L21" s="129" t="s">
        <v>10</v>
      </c>
      <c r="M21" s="129" t="s">
        <v>10</v>
      </c>
    </row>
    <row r="22" spans="1:13">
      <c r="A22" s="194">
        <v>2012</v>
      </c>
      <c r="B22" s="129">
        <v>4692</v>
      </c>
      <c r="C22" s="129">
        <v>4384</v>
      </c>
      <c r="D22" s="129">
        <v>308</v>
      </c>
      <c r="E22" s="129">
        <v>42951</v>
      </c>
      <c r="F22" s="129">
        <v>25949</v>
      </c>
      <c r="G22" s="129">
        <v>17002</v>
      </c>
      <c r="H22" s="129" t="s">
        <v>10</v>
      </c>
      <c r="I22" s="129" t="s">
        <v>10</v>
      </c>
      <c r="J22" s="129" t="s">
        <v>10</v>
      </c>
      <c r="K22" s="129">
        <f>'9B'!E22+'9B'!K22+'9B'!Q22</f>
        <v>635</v>
      </c>
      <c r="L22" s="129" t="s">
        <v>10</v>
      </c>
      <c r="M22" s="129" t="s">
        <v>10</v>
      </c>
    </row>
    <row r="23" spans="1:13">
      <c r="A23" s="194"/>
      <c r="B23" s="95"/>
      <c r="C23" s="95"/>
      <c r="D23" s="95"/>
      <c r="E23" s="95"/>
      <c r="F23" s="95"/>
      <c r="G23" s="95"/>
    </row>
    <row r="24" spans="1:13">
      <c r="A24" s="456" t="s">
        <v>11</v>
      </c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</row>
    <row r="25" spans="1:13">
      <c r="A25" s="193" t="s">
        <v>244</v>
      </c>
      <c r="B25" s="192">
        <f>((B17/B7)^(1/10)-1)*100</f>
        <v>6.838569389903193</v>
      </c>
      <c r="C25" s="192">
        <f t="shared" ref="C25:K25" si="0">((C17/C7)^(1/10)-1)*100</f>
        <v>7.4452015071842848</v>
      </c>
      <c r="D25" s="192">
        <f t="shared" si="0"/>
        <v>-1.2114997027327767</v>
      </c>
      <c r="E25" s="192">
        <f t="shared" si="0"/>
        <v>7.2043256851116899</v>
      </c>
      <c r="F25" s="192">
        <f t="shared" si="0"/>
        <v>6.0777911290033071</v>
      </c>
      <c r="G25" s="192">
        <f t="shared" si="0"/>
        <v>8.5932568183490154</v>
      </c>
      <c r="H25" s="129" t="s">
        <v>10</v>
      </c>
      <c r="I25" s="129" t="s">
        <v>10</v>
      </c>
      <c r="J25" s="129" t="s">
        <v>10</v>
      </c>
      <c r="K25" s="192">
        <f t="shared" si="0"/>
        <v>7.3353471000318526</v>
      </c>
      <c r="L25" s="129" t="s">
        <v>10</v>
      </c>
      <c r="M25" s="129" t="s">
        <v>10</v>
      </c>
    </row>
    <row r="26" spans="1:13">
      <c r="A26" s="193" t="s">
        <v>70</v>
      </c>
      <c r="B26" s="192">
        <f>((B22/B17)^(1/5)-1)*100</f>
        <v>-0.78671281034229379</v>
      </c>
      <c r="C26" s="192">
        <f t="shared" ref="C26:G26" si="1">((C22/C17)^(1/5)-1)*100</f>
        <v>-1.2348382151522008</v>
      </c>
      <c r="D26" s="192">
        <f t="shared" si="1"/>
        <v>7.3542872926286584</v>
      </c>
      <c r="E26" s="192">
        <f t="shared" si="1"/>
        <v>-4.2278059200540064</v>
      </c>
      <c r="F26" s="192">
        <f t="shared" si="1"/>
        <v>-1.3174379993733498</v>
      </c>
      <c r="G26" s="192">
        <f t="shared" si="1"/>
        <v>-7.843348620933055</v>
      </c>
      <c r="H26" s="129" t="s">
        <v>10</v>
      </c>
      <c r="I26" s="129" t="s">
        <v>10</v>
      </c>
      <c r="J26" s="129" t="s">
        <v>10</v>
      </c>
      <c r="K26" s="192">
        <f>((K22/K17)^(1/5)-1)*100</f>
        <v>-18.610497518220669</v>
      </c>
      <c r="L26" s="129" t="s">
        <v>10</v>
      </c>
      <c r="M26" s="129" t="s">
        <v>10</v>
      </c>
    </row>
    <row r="27" spans="1:13">
      <c r="A27" s="193" t="s">
        <v>33</v>
      </c>
      <c r="B27" s="192">
        <f>((B22/B7)^(1/15)-1)*100</f>
        <v>4.2338203564299626</v>
      </c>
      <c r="C27" s="192">
        <f t="shared" ref="C27:K27" si="2">((C22/C7)^(1/15)-1)*100</f>
        <v>4.470244141959645</v>
      </c>
      <c r="D27" s="192">
        <f t="shared" si="2"/>
        <v>1.5649968407595694</v>
      </c>
      <c r="E27" s="192">
        <f t="shared" si="2"/>
        <v>3.2495146008996389</v>
      </c>
      <c r="F27" s="192">
        <f t="shared" si="2"/>
        <v>3.5531030110939277</v>
      </c>
      <c r="G27" s="192">
        <f t="shared" si="2"/>
        <v>2.8120772998110333</v>
      </c>
      <c r="H27" s="129" t="s">
        <v>10</v>
      </c>
      <c r="I27" s="129" t="s">
        <v>10</v>
      </c>
      <c r="J27" s="129" t="s">
        <v>10</v>
      </c>
      <c r="K27" s="192">
        <f t="shared" si="2"/>
        <v>-2.1221003572350794</v>
      </c>
      <c r="L27" s="129" t="s">
        <v>10</v>
      </c>
      <c r="M27" s="129" t="s">
        <v>10</v>
      </c>
    </row>
    <row r="28" spans="1:13">
      <c r="A28" s="142"/>
      <c r="B28" s="186"/>
      <c r="C28" s="186"/>
      <c r="D28" s="186"/>
      <c r="E28" s="186"/>
      <c r="F28" s="186"/>
      <c r="G28" s="186"/>
    </row>
    <row r="29" spans="1:13">
      <c r="A29" s="185" t="s">
        <v>41</v>
      </c>
      <c r="B29" s="95"/>
      <c r="C29" s="95"/>
      <c r="D29" s="95"/>
      <c r="E29" s="95"/>
      <c r="F29" s="95"/>
      <c r="G29" s="95"/>
    </row>
    <row r="30" spans="1:13">
      <c r="A30" s="191" t="s">
        <v>245</v>
      </c>
      <c r="B30" s="191"/>
      <c r="C30" s="191"/>
      <c r="D30" s="191"/>
      <c r="E30" s="191"/>
      <c r="F30" s="191"/>
      <c r="G30" s="191"/>
    </row>
  </sheetData>
  <mergeCells count="12">
    <mergeCell ref="A1:M1"/>
    <mergeCell ref="B2:G2"/>
    <mergeCell ref="H2:M2"/>
    <mergeCell ref="B5:D5"/>
    <mergeCell ref="E5:G5"/>
    <mergeCell ref="E3:G3"/>
    <mergeCell ref="B3:D3"/>
    <mergeCell ref="A24:M24"/>
    <mergeCell ref="H3:J3"/>
    <mergeCell ref="K3:M3"/>
    <mergeCell ref="H5:J5"/>
    <mergeCell ref="K5:M5"/>
  </mergeCells>
  <printOptions gridLines="1"/>
  <pageMargins left="0.7" right="0.7" top="0.75" bottom="0.75" header="0.3" footer="0.3"/>
  <pageSetup scale="47"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0"/>
  <sheetViews>
    <sheetView view="pageBreakPreview" zoomScaleNormal="100" zoomScaleSheetLayoutView="100" workbookViewId="0">
      <selection activeCell="A24" sqref="A24:M24"/>
    </sheetView>
  </sheetViews>
  <sheetFormatPr defaultRowHeight="15"/>
  <cols>
    <col min="1" max="1" width="11.42578125" style="132" customWidth="1"/>
    <col min="2" max="2" width="12.5703125" style="132" customWidth="1"/>
    <col min="3" max="3" width="12.85546875" style="132" customWidth="1"/>
    <col min="4" max="5" width="14.28515625" style="132" customWidth="1"/>
    <col min="6" max="6" width="12.85546875" style="132" customWidth="1"/>
    <col min="7" max="7" width="15.42578125" style="132" customWidth="1"/>
    <col min="8" max="8" width="14.28515625" style="132" customWidth="1"/>
    <col min="9" max="9" width="12.7109375" style="132" customWidth="1"/>
    <col min="10" max="10" width="13.42578125" style="132" customWidth="1"/>
    <col min="11" max="11" width="11" style="132" customWidth="1"/>
    <col min="12" max="12" width="12.85546875" style="132" customWidth="1"/>
    <col min="13" max="13" width="15" style="132" customWidth="1"/>
    <col min="14" max="14" width="13.140625" style="132" customWidth="1"/>
    <col min="15" max="15" width="14.28515625" style="132" customWidth="1"/>
    <col min="16" max="16" width="13.5703125" style="132" customWidth="1"/>
    <col min="17" max="17" width="11.140625" style="132" customWidth="1"/>
    <col min="18" max="18" width="13.140625" style="132" customWidth="1"/>
    <col min="19" max="19" width="15.5703125" style="132" customWidth="1"/>
    <col min="20" max="16384" width="9.140625" style="132"/>
  </cols>
  <sheetData>
    <row r="1" spans="1:19">
      <c r="A1" s="456" t="s">
        <v>611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</row>
    <row r="2" spans="1:19">
      <c r="A2" s="194"/>
      <c r="B2" s="456" t="s">
        <v>247</v>
      </c>
      <c r="C2" s="456"/>
      <c r="D2" s="456"/>
      <c r="E2" s="456"/>
      <c r="F2" s="456"/>
      <c r="G2" s="456"/>
      <c r="H2" s="456" t="s">
        <v>248</v>
      </c>
      <c r="I2" s="456"/>
      <c r="J2" s="456"/>
      <c r="K2" s="456"/>
      <c r="L2" s="456"/>
      <c r="M2" s="456"/>
      <c r="N2" s="456" t="s">
        <v>249</v>
      </c>
      <c r="O2" s="456"/>
      <c r="P2" s="456"/>
      <c r="Q2" s="456"/>
      <c r="R2" s="456"/>
      <c r="S2" s="456"/>
    </row>
    <row r="3" spans="1:19" ht="45" customHeight="1">
      <c r="A3" s="95"/>
      <c r="B3" s="469" t="s">
        <v>606</v>
      </c>
      <c r="C3" s="469"/>
      <c r="D3" s="469"/>
      <c r="E3" s="469" t="s">
        <v>607</v>
      </c>
      <c r="F3" s="469"/>
      <c r="G3" s="469"/>
      <c r="H3" s="469" t="s">
        <v>606</v>
      </c>
      <c r="I3" s="469"/>
      <c r="J3" s="469"/>
      <c r="K3" s="469" t="s">
        <v>607</v>
      </c>
      <c r="L3" s="469"/>
      <c r="M3" s="469"/>
      <c r="N3" s="469" t="s">
        <v>606</v>
      </c>
      <c r="O3" s="469"/>
      <c r="P3" s="469"/>
      <c r="Q3" s="469" t="s">
        <v>607</v>
      </c>
      <c r="R3" s="469"/>
      <c r="S3" s="469"/>
    </row>
    <row r="4" spans="1:19" ht="60">
      <c r="A4" s="95"/>
      <c r="B4" s="435" t="s">
        <v>610</v>
      </c>
      <c r="C4" s="435" t="s">
        <v>552</v>
      </c>
      <c r="D4" s="435" t="s">
        <v>612</v>
      </c>
      <c r="E4" s="435" t="s">
        <v>554</v>
      </c>
      <c r="F4" s="435" t="s">
        <v>608</v>
      </c>
      <c r="G4" s="435" t="s">
        <v>609</v>
      </c>
      <c r="H4" s="435" t="s">
        <v>610</v>
      </c>
      <c r="I4" s="435" t="s">
        <v>552</v>
      </c>
      <c r="J4" s="435" t="s">
        <v>612</v>
      </c>
      <c r="K4" s="435" t="s">
        <v>554</v>
      </c>
      <c r="L4" s="435" t="s">
        <v>608</v>
      </c>
      <c r="M4" s="435" t="s">
        <v>609</v>
      </c>
      <c r="N4" s="435" t="s">
        <v>610</v>
      </c>
      <c r="O4" s="435" t="s">
        <v>552</v>
      </c>
      <c r="P4" s="435" t="s">
        <v>612</v>
      </c>
      <c r="Q4" s="435" t="s">
        <v>554</v>
      </c>
      <c r="R4" s="435" t="s">
        <v>608</v>
      </c>
      <c r="S4" s="435" t="s">
        <v>609</v>
      </c>
    </row>
    <row r="5" spans="1:19">
      <c r="A5" s="95"/>
      <c r="B5" s="470" t="s">
        <v>226</v>
      </c>
      <c r="C5" s="470"/>
      <c r="D5" s="470"/>
      <c r="E5" s="470" t="s">
        <v>243</v>
      </c>
      <c r="F5" s="470"/>
      <c r="G5" s="470"/>
      <c r="H5" s="470" t="s">
        <v>226</v>
      </c>
      <c r="I5" s="470"/>
      <c r="J5" s="470"/>
      <c r="K5" s="470" t="s">
        <v>243</v>
      </c>
      <c r="L5" s="470"/>
      <c r="M5" s="470"/>
      <c r="N5" s="470" t="s">
        <v>226</v>
      </c>
      <c r="O5" s="470"/>
      <c r="P5" s="470"/>
      <c r="Q5" s="470" t="s">
        <v>243</v>
      </c>
      <c r="R5" s="470"/>
      <c r="S5" s="470"/>
    </row>
    <row r="6" spans="1:19">
      <c r="A6" s="95"/>
      <c r="B6" s="193"/>
      <c r="C6" s="193"/>
      <c r="D6" s="193"/>
      <c r="E6" s="193"/>
      <c r="F6" s="193"/>
      <c r="G6" s="193"/>
    </row>
    <row r="7" spans="1:19">
      <c r="A7" s="194">
        <v>1997</v>
      </c>
      <c r="B7" s="129" t="s">
        <v>9</v>
      </c>
      <c r="C7" s="129" t="s">
        <v>9</v>
      </c>
      <c r="D7" s="129" t="s">
        <v>9</v>
      </c>
      <c r="E7" s="129">
        <v>80</v>
      </c>
      <c r="F7" s="129" t="s">
        <v>9</v>
      </c>
      <c r="G7" s="129" t="s">
        <v>9</v>
      </c>
      <c r="H7" s="129" t="s">
        <v>9</v>
      </c>
      <c r="I7" s="129" t="s">
        <v>9</v>
      </c>
      <c r="J7" s="129" t="s">
        <v>9</v>
      </c>
      <c r="K7" s="129">
        <v>112</v>
      </c>
      <c r="L7" s="129" t="s">
        <v>9</v>
      </c>
      <c r="M7" s="129" t="s">
        <v>9</v>
      </c>
      <c r="N7" s="129">
        <v>100</v>
      </c>
      <c r="O7" s="129">
        <v>87</v>
      </c>
      <c r="P7" s="129">
        <v>13</v>
      </c>
      <c r="Q7" s="129">
        <v>684</v>
      </c>
      <c r="R7" s="129">
        <v>269</v>
      </c>
      <c r="S7" s="129">
        <v>415</v>
      </c>
    </row>
    <row r="8" spans="1:19">
      <c r="A8" s="194">
        <v>1998</v>
      </c>
      <c r="B8" s="129" t="s">
        <v>9</v>
      </c>
      <c r="C8" s="129" t="s">
        <v>9</v>
      </c>
      <c r="D8" s="129" t="s">
        <v>9</v>
      </c>
      <c r="E8" s="129" t="s">
        <v>9</v>
      </c>
      <c r="F8" s="129" t="s">
        <v>9</v>
      </c>
      <c r="G8" s="129">
        <v>46</v>
      </c>
      <c r="H8" s="129" t="s">
        <v>9</v>
      </c>
      <c r="I8" s="129" t="s">
        <v>9</v>
      </c>
      <c r="J8" s="129">
        <v>1</v>
      </c>
      <c r="K8" s="129">
        <v>241</v>
      </c>
      <c r="L8" s="129">
        <v>114</v>
      </c>
      <c r="M8" s="129">
        <v>127</v>
      </c>
      <c r="N8" s="129">
        <v>113</v>
      </c>
      <c r="O8" s="129">
        <v>99</v>
      </c>
      <c r="P8" s="129">
        <v>14</v>
      </c>
      <c r="Q8" s="129">
        <v>802</v>
      </c>
      <c r="R8" s="129">
        <v>307</v>
      </c>
      <c r="S8" s="129">
        <v>495</v>
      </c>
    </row>
    <row r="9" spans="1:19">
      <c r="A9" s="194">
        <v>1999</v>
      </c>
      <c r="B9" s="129" t="s">
        <v>9</v>
      </c>
      <c r="C9" s="129" t="s">
        <v>9</v>
      </c>
      <c r="D9" s="129" t="s">
        <v>9</v>
      </c>
      <c r="E9" s="129" t="s">
        <v>9</v>
      </c>
      <c r="F9" s="129" t="s">
        <v>9</v>
      </c>
      <c r="G9" s="129" t="s">
        <v>9</v>
      </c>
      <c r="H9" s="129">
        <v>24</v>
      </c>
      <c r="I9" s="129" t="s">
        <v>9</v>
      </c>
      <c r="J9" s="129" t="s">
        <v>9</v>
      </c>
      <c r="K9" s="129">
        <v>321</v>
      </c>
      <c r="L9" s="129">
        <v>120</v>
      </c>
      <c r="M9" s="129">
        <v>201</v>
      </c>
      <c r="N9" s="129">
        <v>81</v>
      </c>
      <c r="O9" s="129" t="s">
        <v>9</v>
      </c>
      <c r="P9" s="129" t="s">
        <v>9</v>
      </c>
      <c r="Q9" s="129">
        <v>727</v>
      </c>
      <c r="R9" s="129">
        <v>296</v>
      </c>
      <c r="S9" s="129">
        <v>431</v>
      </c>
    </row>
    <row r="10" spans="1:19">
      <c r="A10" s="194">
        <v>2000</v>
      </c>
      <c r="B10" s="129" t="s">
        <v>9</v>
      </c>
      <c r="C10" s="129" t="s">
        <v>9</v>
      </c>
      <c r="D10" s="129" t="s">
        <v>9</v>
      </c>
      <c r="E10" s="129" t="s">
        <v>9</v>
      </c>
      <c r="F10" s="129" t="s">
        <v>9</v>
      </c>
      <c r="G10" s="129" t="s">
        <v>9</v>
      </c>
      <c r="H10" s="129" t="s">
        <v>9</v>
      </c>
      <c r="I10" s="129" t="s">
        <v>9</v>
      </c>
      <c r="J10" s="129">
        <v>0</v>
      </c>
      <c r="K10" s="129">
        <v>267</v>
      </c>
      <c r="L10" s="129">
        <v>123</v>
      </c>
      <c r="M10" s="129">
        <v>144</v>
      </c>
      <c r="N10" s="129">
        <v>157</v>
      </c>
      <c r="O10" s="129">
        <v>150</v>
      </c>
      <c r="P10" s="129">
        <v>7</v>
      </c>
      <c r="Q10" s="129">
        <v>778</v>
      </c>
      <c r="R10" s="129">
        <v>357</v>
      </c>
      <c r="S10" s="129">
        <v>421</v>
      </c>
    </row>
    <row r="11" spans="1:19">
      <c r="A11" s="194">
        <v>2001</v>
      </c>
      <c r="B11" s="129" t="s">
        <v>9</v>
      </c>
      <c r="C11" s="129" t="s">
        <v>9</v>
      </c>
      <c r="D11" s="129" t="s">
        <v>9</v>
      </c>
      <c r="E11" s="129">
        <v>91</v>
      </c>
      <c r="F11" s="129" t="s">
        <v>9</v>
      </c>
      <c r="G11" s="129" t="s">
        <v>9</v>
      </c>
      <c r="H11" s="129">
        <v>23</v>
      </c>
      <c r="I11" s="129" t="s">
        <v>9</v>
      </c>
      <c r="J11" s="129" t="s">
        <v>9</v>
      </c>
      <c r="K11" s="129">
        <v>295</v>
      </c>
      <c r="L11" s="129">
        <v>115</v>
      </c>
      <c r="M11" s="129">
        <v>180</v>
      </c>
      <c r="N11" s="129">
        <v>229</v>
      </c>
      <c r="O11" s="129">
        <v>225</v>
      </c>
      <c r="P11" s="129">
        <v>4</v>
      </c>
      <c r="Q11" s="129">
        <v>984</v>
      </c>
      <c r="R11" s="129">
        <v>361</v>
      </c>
      <c r="S11" s="129">
        <v>623</v>
      </c>
    </row>
    <row r="12" spans="1:19">
      <c r="A12" s="194">
        <v>2002</v>
      </c>
      <c r="B12" s="129" t="s">
        <v>9</v>
      </c>
      <c r="C12" s="129">
        <v>8</v>
      </c>
      <c r="D12" s="129" t="s">
        <v>9</v>
      </c>
      <c r="E12" s="129">
        <v>118</v>
      </c>
      <c r="F12" s="129">
        <v>66</v>
      </c>
      <c r="G12" s="129">
        <v>52</v>
      </c>
      <c r="H12" s="129" t="s">
        <v>9</v>
      </c>
      <c r="I12" s="129">
        <v>29</v>
      </c>
      <c r="J12" s="129" t="s">
        <v>9</v>
      </c>
      <c r="K12" s="129">
        <v>393</v>
      </c>
      <c r="L12" s="129">
        <v>140</v>
      </c>
      <c r="M12" s="129">
        <v>253</v>
      </c>
      <c r="N12" s="129">
        <v>252</v>
      </c>
      <c r="O12" s="129">
        <v>248</v>
      </c>
      <c r="P12" s="129">
        <v>4</v>
      </c>
      <c r="Q12" s="129">
        <v>985</v>
      </c>
      <c r="R12" s="129">
        <v>390</v>
      </c>
      <c r="S12" s="129">
        <v>595</v>
      </c>
    </row>
    <row r="13" spans="1:19">
      <c r="A13" s="194">
        <v>2003</v>
      </c>
      <c r="B13" s="129" t="s">
        <v>9</v>
      </c>
      <c r="C13" s="129">
        <v>10</v>
      </c>
      <c r="D13" s="129" t="s">
        <v>9</v>
      </c>
      <c r="E13" s="129">
        <v>147</v>
      </c>
      <c r="F13" s="129" t="s">
        <v>9</v>
      </c>
      <c r="G13" s="129" t="s">
        <v>9</v>
      </c>
      <c r="H13" s="129">
        <v>34</v>
      </c>
      <c r="I13" s="129">
        <v>32</v>
      </c>
      <c r="J13" s="129">
        <v>2</v>
      </c>
      <c r="K13" s="129">
        <v>491</v>
      </c>
      <c r="L13" s="129">
        <v>174</v>
      </c>
      <c r="M13" s="129">
        <v>317</v>
      </c>
      <c r="N13" s="129">
        <v>239</v>
      </c>
      <c r="O13" s="129">
        <v>237</v>
      </c>
      <c r="P13" s="129">
        <v>2</v>
      </c>
      <c r="Q13" s="129">
        <v>968</v>
      </c>
      <c r="R13" s="129">
        <v>378</v>
      </c>
      <c r="S13" s="129">
        <v>590</v>
      </c>
    </row>
    <row r="14" spans="1:19">
      <c r="A14" s="194">
        <v>2004</v>
      </c>
      <c r="B14" s="129" t="s">
        <v>9</v>
      </c>
      <c r="C14" s="129" t="s">
        <v>9</v>
      </c>
      <c r="D14" s="129" t="s">
        <v>9</v>
      </c>
      <c r="E14" s="129">
        <v>134</v>
      </c>
      <c r="F14" s="129" t="s">
        <v>9</v>
      </c>
      <c r="G14" s="129" t="s">
        <v>9</v>
      </c>
      <c r="H14" s="129" t="s">
        <v>9</v>
      </c>
      <c r="I14" s="129">
        <v>33</v>
      </c>
      <c r="J14" s="129" t="s">
        <v>9</v>
      </c>
      <c r="K14" s="129">
        <v>487</v>
      </c>
      <c r="L14" s="129">
        <v>173</v>
      </c>
      <c r="M14" s="129">
        <v>314</v>
      </c>
      <c r="N14" s="129">
        <v>208</v>
      </c>
      <c r="O14" s="129">
        <v>203</v>
      </c>
      <c r="P14" s="129">
        <v>5</v>
      </c>
      <c r="Q14" s="129">
        <v>883</v>
      </c>
      <c r="R14" s="129">
        <v>336</v>
      </c>
      <c r="S14" s="129">
        <v>547</v>
      </c>
    </row>
    <row r="15" spans="1:19">
      <c r="A15" s="194">
        <v>2005</v>
      </c>
      <c r="B15" s="129" t="s">
        <v>9</v>
      </c>
      <c r="C15" s="129" t="s">
        <v>9</v>
      </c>
      <c r="D15" s="129" t="s">
        <v>9</v>
      </c>
      <c r="E15" s="129">
        <v>127</v>
      </c>
      <c r="F15" s="129" t="s">
        <v>9</v>
      </c>
      <c r="G15" s="129" t="s">
        <v>9</v>
      </c>
      <c r="H15" s="129">
        <v>40</v>
      </c>
      <c r="I15" s="129">
        <v>40</v>
      </c>
      <c r="J15" s="129">
        <v>0</v>
      </c>
      <c r="K15" s="129">
        <v>523</v>
      </c>
      <c r="L15" s="129">
        <v>204</v>
      </c>
      <c r="M15" s="129">
        <v>319</v>
      </c>
      <c r="N15" s="129">
        <v>179</v>
      </c>
      <c r="O15" s="129">
        <v>174</v>
      </c>
      <c r="P15" s="129">
        <v>5</v>
      </c>
      <c r="Q15" s="129">
        <v>871</v>
      </c>
      <c r="R15" s="129">
        <v>307</v>
      </c>
      <c r="S15" s="129">
        <v>564</v>
      </c>
    </row>
    <row r="16" spans="1:19">
      <c r="A16" s="194">
        <v>2006</v>
      </c>
      <c r="B16" s="129" t="s">
        <v>9</v>
      </c>
      <c r="C16" s="129">
        <v>11</v>
      </c>
      <c r="D16" s="129" t="s">
        <v>9</v>
      </c>
      <c r="E16" s="129">
        <v>158</v>
      </c>
      <c r="F16" s="129" t="s">
        <v>9</v>
      </c>
      <c r="G16" s="129" t="s">
        <v>9</v>
      </c>
      <c r="H16" s="129">
        <v>51</v>
      </c>
      <c r="I16" s="129" t="s">
        <v>9</v>
      </c>
      <c r="J16" s="129" t="s">
        <v>9</v>
      </c>
      <c r="K16" s="129">
        <v>585</v>
      </c>
      <c r="L16" s="129">
        <v>192</v>
      </c>
      <c r="M16" s="129">
        <v>393</v>
      </c>
      <c r="N16" s="129">
        <v>298</v>
      </c>
      <c r="O16" s="129">
        <v>296</v>
      </c>
      <c r="P16" s="129">
        <v>2</v>
      </c>
      <c r="Q16" s="129">
        <v>872</v>
      </c>
      <c r="R16" s="129">
        <v>324</v>
      </c>
      <c r="S16" s="129">
        <v>548</v>
      </c>
    </row>
    <row r="17" spans="1:19">
      <c r="A17" s="194">
        <v>2007</v>
      </c>
      <c r="B17" s="129">
        <v>10</v>
      </c>
      <c r="C17" s="129" t="s">
        <v>9</v>
      </c>
      <c r="D17" s="129" t="s">
        <v>9</v>
      </c>
      <c r="E17" s="129">
        <v>150</v>
      </c>
      <c r="F17" s="129" t="s">
        <v>9</v>
      </c>
      <c r="G17" s="129" t="s">
        <v>9</v>
      </c>
      <c r="H17" s="129">
        <v>49</v>
      </c>
      <c r="I17" s="129">
        <v>48</v>
      </c>
      <c r="J17" s="129">
        <v>1</v>
      </c>
      <c r="K17" s="129">
        <v>627</v>
      </c>
      <c r="L17" s="129">
        <v>205</v>
      </c>
      <c r="M17" s="129">
        <v>422</v>
      </c>
      <c r="N17" s="129">
        <v>156</v>
      </c>
      <c r="O17" s="129" t="s">
        <v>9</v>
      </c>
      <c r="P17" s="129" t="s">
        <v>9</v>
      </c>
      <c r="Q17" s="129">
        <v>1001</v>
      </c>
      <c r="R17" s="129">
        <v>421</v>
      </c>
      <c r="S17" s="129">
        <v>580</v>
      </c>
    </row>
    <row r="18" spans="1:19">
      <c r="A18" s="194">
        <v>2008</v>
      </c>
      <c r="B18" s="129">
        <v>11</v>
      </c>
      <c r="C18" s="129">
        <v>10</v>
      </c>
      <c r="D18" s="129" t="s">
        <v>76</v>
      </c>
      <c r="E18" s="129">
        <v>190</v>
      </c>
      <c r="F18" s="129" t="s">
        <v>9</v>
      </c>
      <c r="G18" s="129" t="s">
        <v>9</v>
      </c>
      <c r="H18" s="129">
        <v>68</v>
      </c>
      <c r="I18" s="129" t="s">
        <v>9</v>
      </c>
      <c r="J18" s="129" t="s">
        <v>9</v>
      </c>
      <c r="K18" s="129">
        <v>947</v>
      </c>
      <c r="L18" s="129">
        <v>351</v>
      </c>
      <c r="M18" s="129">
        <v>596</v>
      </c>
      <c r="N18" s="129">
        <v>64</v>
      </c>
      <c r="O18" s="129">
        <v>63</v>
      </c>
      <c r="P18" s="129">
        <v>1</v>
      </c>
      <c r="Q18" s="129">
        <v>572</v>
      </c>
      <c r="R18" s="129">
        <v>257</v>
      </c>
      <c r="S18" s="129">
        <v>315</v>
      </c>
    </row>
    <row r="19" spans="1:19">
      <c r="A19" s="194">
        <v>2009</v>
      </c>
      <c r="B19" s="129">
        <v>2</v>
      </c>
      <c r="C19" s="129" t="s">
        <v>9</v>
      </c>
      <c r="D19" s="129" t="s">
        <v>9</v>
      </c>
      <c r="E19" s="129">
        <v>81</v>
      </c>
      <c r="F19" s="129">
        <v>21</v>
      </c>
      <c r="G19" s="129">
        <v>60</v>
      </c>
      <c r="H19" s="129">
        <v>54</v>
      </c>
      <c r="I19" s="129">
        <v>53</v>
      </c>
      <c r="J19" s="129">
        <v>1</v>
      </c>
      <c r="K19" s="129">
        <v>457</v>
      </c>
      <c r="L19" s="129">
        <v>147</v>
      </c>
      <c r="M19" s="129">
        <v>310</v>
      </c>
      <c r="N19" s="129">
        <v>31</v>
      </c>
      <c r="O19" s="129" t="s">
        <v>9</v>
      </c>
      <c r="P19" s="129" t="s">
        <v>9</v>
      </c>
      <c r="Q19" s="129">
        <v>251</v>
      </c>
      <c r="R19" s="129">
        <v>114</v>
      </c>
      <c r="S19" s="129">
        <v>137</v>
      </c>
    </row>
    <row r="20" spans="1:19">
      <c r="A20" s="194">
        <v>2010</v>
      </c>
      <c r="B20" s="129" t="s">
        <v>9</v>
      </c>
      <c r="C20" s="129" t="s">
        <v>9</v>
      </c>
      <c r="D20" s="129" t="s">
        <v>76</v>
      </c>
      <c r="E20" s="129">
        <v>63</v>
      </c>
      <c r="F20" s="129" t="s">
        <v>9</v>
      </c>
      <c r="G20" s="129" t="s">
        <v>9</v>
      </c>
      <c r="H20" s="129">
        <v>43</v>
      </c>
      <c r="I20" s="129" t="s">
        <v>9</v>
      </c>
      <c r="J20" s="129" t="s">
        <v>9</v>
      </c>
      <c r="K20" s="129">
        <v>371</v>
      </c>
      <c r="L20" s="129">
        <v>151</v>
      </c>
      <c r="M20" s="129">
        <v>220</v>
      </c>
      <c r="N20" s="129">
        <v>83</v>
      </c>
      <c r="O20" s="129" t="s">
        <v>9</v>
      </c>
      <c r="P20" s="129" t="s">
        <v>9</v>
      </c>
      <c r="Q20" s="129">
        <v>393</v>
      </c>
      <c r="R20" s="129">
        <v>207</v>
      </c>
      <c r="S20" s="129">
        <v>186</v>
      </c>
    </row>
    <row r="21" spans="1:19">
      <c r="A21" s="194">
        <v>2011</v>
      </c>
      <c r="B21" s="129">
        <v>2</v>
      </c>
      <c r="C21" s="129">
        <v>2</v>
      </c>
      <c r="D21" s="129">
        <v>0</v>
      </c>
      <c r="E21" s="129">
        <v>52</v>
      </c>
      <c r="F21" s="129" t="s">
        <v>9</v>
      </c>
      <c r="G21" s="129" t="s">
        <v>9</v>
      </c>
      <c r="H21" s="129">
        <v>37</v>
      </c>
      <c r="I21" s="129">
        <v>37</v>
      </c>
      <c r="J21" s="129">
        <v>0</v>
      </c>
      <c r="K21" s="129">
        <v>321</v>
      </c>
      <c r="L21" s="129">
        <v>147</v>
      </c>
      <c r="M21" s="129">
        <v>175</v>
      </c>
      <c r="N21" s="129">
        <v>91</v>
      </c>
      <c r="O21" s="129" t="s">
        <v>9</v>
      </c>
      <c r="P21" s="129" t="s">
        <v>9</v>
      </c>
      <c r="Q21" s="129">
        <v>425</v>
      </c>
      <c r="R21" s="129">
        <v>210</v>
      </c>
      <c r="S21" s="129">
        <v>215</v>
      </c>
    </row>
    <row r="22" spans="1:19">
      <c r="A22" s="194">
        <v>2012</v>
      </c>
      <c r="B22" s="129" t="s">
        <v>9</v>
      </c>
      <c r="C22" s="129" t="s">
        <v>9</v>
      </c>
      <c r="D22" s="129" t="s">
        <v>9</v>
      </c>
      <c r="E22" s="129">
        <v>34</v>
      </c>
      <c r="F22" s="129" t="s">
        <v>9</v>
      </c>
      <c r="G22" s="129" t="s">
        <v>9</v>
      </c>
      <c r="H22" s="129">
        <v>15</v>
      </c>
      <c r="I22" s="129">
        <v>15</v>
      </c>
      <c r="J22" s="129">
        <v>0</v>
      </c>
      <c r="K22" s="129">
        <v>241</v>
      </c>
      <c r="L22" s="129" t="s">
        <v>9</v>
      </c>
      <c r="M22" s="129" t="s">
        <v>9</v>
      </c>
      <c r="N22" s="129">
        <v>84</v>
      </c>
      <c r="O22" s="129" t="s">
        <v>9</v>
      </c>
      <c r="P22" s="129" t="s">
        <v>9</v>
      </c>
      <c r="Q22" s="129">
        <v>360</v>
      </c>
      <c r="R22" s="129">
        <v>143</v>
      </c>
      <c r="S22" s="129">
        <v>217</v>
      </c>
    </row>
    <row r="23" spans="1:19">
      <c r="A23" s="194"/>
      <c r="B23" s="95"/>
      <c r="C23" s="95"/>
      <c r="D23" s="95"/>
      <c r="E23" s="95"/>
      <c r="F23" s="95"/>
      <c r="G23" s="95"/>
    </row>
    <row r="24" spans="1:19">
      <c r="A24" s="456" t="s">
        <v>11</v>
      </c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</row>
    <row r="25" spans="1:19">
      <c r="A25" s="193" t="s">
        <v>244</v>
      </c>
      <c r="B25" s="192" t="s">
        <v>10</v>
      </c>
      <c r="C25" s="192" t="s">
        <v>10</v>
      </c>
      <c r="D25" s="192" t="s">
        <v>10</v>
      </c>
      <c r="E25" s="192">
        <f t="shared" ref="E25:K25" si="0">((E17/E7)^(1/10)-1)*100</f>
        <v>6.4878668033606202</v>
      </c>
      <c r="F25" s="192" t="s">
        <v>10</v>
      </c>
      <c r="G25" s="192" t="s">
        <v>10</v>
      </c>
      <c r="H25" s="192" t="s">
        <v>10</v>
      </c>
      <c r="I25" s="192" t="s">
        <v>10</v>
      </c>
      <c r="J25" s="192" t="s">
        <v>10</v>
      </c>
      <c r="K25" s="192">
        <f t="shared" si="0"/>
        <v>18.796857305576143</v>
      </c>
      <c r="L25" s="192" t="s">
        <v>10</v>
      </c>
      <c r="M25" s="192" t="s">
        <v>10</v>
      </c>
      <c r="N25" s="192">
        <f t="shared" ref="N25:S25" si="1">((N17/N7)^(1/10)-1)*100</f>
        <v>4.5472129682976536</v>
      </c>
      <c r="O25" s="192" t="s">
        <v>10</v>
      </c>
      <c r="P25" s="192" t="s">
        <v>10</v>
      </c>
      <c r="Q25" s="192">
        <f t="shared" si="1"/>
        <v>3.8814008689343593</v>
      </c>
      <c r="R25" s="192">
        <f t="shared" si="1"/>
        <v>4.5810460809214915</v>
      </c>
      <c r="S25" s="192">
        <f t="shared" si="1"/>
        <v>3.4041549275826366</v>
      </c>
    </row>
    <row r="26" spans="1:19">
      <c r="A26" s="193" t="s">
        <v>70</v>
      </c>
      <c r="B26" s="192" t="s">
        <v>10</v>
      </c>
      <c r="C26" s="192" t="s">
        <v>10</v>
      </c>
      <c r="D26" s="192" t="s">
        <v>10</v>
      </c>
      <c r="E26" s="192">
        <f t="shared" ref="E26:K26" si="2">((E22/E17)^(1/5)-1)*100</f>
        <v>-25.684820418238441</v>
      </c>
      <c r="F26" s="192" t="s">
        <v>10</v>
      </c>
      <c r="G26" s="192" t="s">
        <v>10</v>
      </c>
      <c r="H26" s="192">
        <f t="shared" si="2"/>
        <v>-21.081461156180701</v>
      </c>
      <c r="I26" s="192">
        <f t="shared" si="2"/>
        <v>-20.755340376944332</v>
      </c>
      <c r="J26" s="192">
        <f t="shared" si="2"/>
        <v>-100</v>
      </c>
      <c r="K26" s="192">
        <f t="shared" si="2"/>
        <v>-17.405733559895896</v>
      </c>
      <c r="L26" s="192" t="s">
        <v>10</v>
      </c>
      <c r="M26" s="192" t="s">
        <v>10</v>
      </c>
      <c r="N26" s="192">
        <f t="shared" ref="N26:S26" si="3">((N22/N17)^(1/5)-1)*100</f>
        <v>-11.645039402183743</v>
      </c>
      <c r="O26" s="192" t="s">
        <v>10</v>
      </c>
      <c r="P26" s="192" t="s">
        <v>10</v>
      </c>
      <c r="Q26" s="192">
        <f t="shared" si="3"/>
        <v>-18.496983126450495</v>
      </c>
      <c r="R26" s="192">
        <f t="shared" si="3"/>
        <v>-19.42305670077743</v>
      </c>
      <c r="S26" s="192">
        <f t="shared" si="3"/>
        <v>-17.850230717555615</v>
      </c>
    </row>
    <row r="27" spans="1:19">
      <c r="A27" s="193" t="s">
        <v>33</v>
      </c>
      <c r="B27" s="192" t="s">
        <v>10</v>
      </c>
      <c r="C27" s="192" t="s">
        <v>10</v>
      </c>
      <c r="D27" s="192" t="s">
        <v>10</v>
      </c>
      <c r="E27" s="192">
        <f t="shared" ref="E27:K27" si="4">((E22/E7)^(1/15)-1)*100</f>
        <v>-5.5447876609453051</v>
      </c>
      <c r="F27" s="192" t="s">
        <v>10</v>
      </c>
      <c r="G27" s="192" t="s">
        <v>10</v>
      </c>
      <c r="H27" s="192" t="s">
        <v>10</v>
      </c>
      <c r="I27" s="192" t="s">
        <v>10</v>
      </c>
      <c r="J27" s="192" t="s">
        <v>10</v>
      </c>
      <c r="K27" s="192">
        <f t="shared" si="4"/>
        <v>5.2413962594620944</v>
      </c>
      <c r="L27" s="192" t="s">
        <v>10</v>
      </c>
      <c r="M27" s="192" t="s">
        <v>10</v>
      </c>
      <c r="N27" s="192">
        <f t="shared" ref="N27:S27" si="5">((N22/N7)^(1/15)-1)*100</f>
        <v>-1.1556266558207851</v>
      </c>
      <c r="O27" s="192" t="s">
        <v>10</v>
      </c>
      <c r="P27" s="192" t="s">
        <v>10</v>
      </c>
      <c r="Q27" s="192">
        <f t="shared" si="5"/>
        <v>-4.1887675643640376</v>
      </c>
      <c r="R27" s="192">
        <f t="shared" si="5"/>
        <v>-4.1249543304561325</v>
      </c>
      <c r="S27" s="192">
        <f t="shared" si="5"/>
        <v>-4.2304509471263962</v>
      </c>
    </row>
    <row r="28" spans="1:19">
      <c r="A28" s="142"/>
      <c r="B28" s="186"/>
      <c r="C28" s="186"/>
      <c r="D28" s="186"/>
      <c r="E28" s="186"/>
      <c r="F28" s="186"/>
      <c r="G28" s="186"/>
    </row>
    <row r="29" spans="1:19">
      <c r="A29" s="185" t="s">
        <v>41</v>
      </c>
      <c r="B29" s="95"/>
      <c r="C29" s="95"/>
      <c r="D29" s="95"/>
      <c r="E29" s="95"/>
      <c r="F29" s="95"/>
      <c r="G29" s="95"/>
    </row>
    <row r="30" spans="1:19">
      <c r="A30" s="191" t="s">
        <v>245</v>
      </c>
      <c r="B30" s="191"/>
      <c r="C30" s="191"/>
      <c r="D30" s="191"/>
      <c r="E30" s="191"/>
      <c r="F30" s="191"/>
      <c r="G30" s="191"/>
    </row>
  </sheetData>
  <mergeCells count="17">
    <mergeCell ref="A24:M24"/>
    <mergeCell ref="N3:P3"/>
    <mergeCell ref="Q3:S3"/>
    <mergeCell ref="N5:P5"/>
    <mergeCell ref="Q5:S5"/>
    <mergeCell ref="B5:D5"/>
    <mergeCell ref="E5:G5"/>
    <mergeCell ref="H5:J5"/>
    <mergeCell ref="K5:M5"/>
    <mergeCell ref="A1:S1"/>
    <mergeCell ref="B2:G2"/>
    <mergeCell ref="H2:M2"/>
    <mergeCell ref="N2:S2"/>
    <mergeCell ref="B3:D3"/>
    <mergeCell ref="E3:G3"/>
    <mergeCell ref="H3:J3"/>
    <mergeCell ref="K3:M3"/>
  </mergeCells>
  <printOptions gridLines="1"/>
  <pageMargins left="0.7" right="0.7" top="0.75" bottom="0.75" header="0.3" footer="0.3"/>
  <pageSetup scale="35"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0"/>
  <sheetViews>
    <sheetView view="pageBreakPreview" zoomScaleNormal="100" zoomScaleSheetLayoutView="100" workbookViewId="0">
      <selection activeCell="A24" sqref="A24:M24"/>
    </sheetView>
  </sheetViews>
  <sheetFormatPr defaultRowHeight="15"/>
  <cols>
    <col min="1" max="1" width="11.42578125" style="132" customWidth="1"/>
    <col min="2" max="2" width="13.85546875" style="132" customWidth="1"/>
    <col min="3" max="3" width="14.85546875" style="132" customWidth="1"/>
    <col min="4" max="4" width="15.5703125" style="132" customWidth="1"/>
    <col min="5" max="5" width="13.28515625" style="132" customWidth="1"/>
    <col min="6" max="6" width="14.140625" style="132" customWidth="1"/>
    <col min="7" max="7" width="15.5703125" style="132" customWidth="1"/>
    <col min="8" max="8" width="14" style="132" customWidth="1"/>
    <col min="9" max="9" width="14.7109375" style="132" customWidth="1"/>
    <col min="10" max="10" width="13.85546875" style="132" customWidth="1"/>
    <col min="11" max="11" width="12.7109375" style="132" customWidth="1"/>
    <col min="12" max="12" width="14.140625" style="132" customWidth="1"/>
    <col min="13" max="13" width="18" style="132" customWidth="1"/>
    <col min="14" max="16384" width="9.140625" style="132"/>
  </cols>
  <sheetData>
    <row r="1" spans="1:13">
      <c r="A1" s="456" t="s">
        <v>250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</row>
    <row r="2" spans="1:13">
      <c r="A2" s="194"/>
      <c r="B2" s="456" t="s">
        <v>246</v>
      </c>
      <c r="C2" s="456"/>
      <c r="D2" s="456"/>
      <c r="E2" s="456"/>
      <c r="F2" s="456"/>
      <c r="G2" s="456"/>
      <c r="H2" s="456" t="s">
        <v>8</v>
      </c>
      <c r="I2" s="456"/>
      <c r="J2" s="456"/>
      <c r="K2" s="456"/>
      <c r="L2" s="456"/>
      <c r="M2" s="456"/>
    </row>
    <row r="3" spans="1:13" ht="45" customHeight="1">
      <c r="A3" s="95"/>
      <c r="B3" s="469" t="s">
        <v>606</v>
      </c>
      <c r="C3" s="469"/>
      <c r="D3" s="469"/>
      <c r="E3" s="469" t="s">
        <v>607</v>
      </c>
      <c r="F3" s="469"/>
      <c r="G3" s="469"/>
      <c r="H3" s="469" t="s">
        <v>606</v>
      </c>
      <c r="I3" s="469"/>
      <c r="J3" s="469"/>
      <c r="K3" s="469" t="s">
        <v>607</v>
      </c>
      <c r="L3" s="469"/>
      <c r="M3" s="469"/>
    </row>
    <row r="4" spans="1:13" ht="60">
      <c r="A4" s="95"/>
      <c r="B4" s="435" t="s">
        <v>551</v>
      </c>
      <c r="C4" s="435" t="s">
        <v>552</v>
      </c>
      <c r="D4" s="435" t="s">
        <v>553</v>
      </c>
      <c r="E4" s="435" t="s">
        <v>554</v>
      </c>
      <c r="F4" s="435" t="s">
        <v>608</v>
      </c>
      <c r="G4" s="435" t="s">
        <v>609</v>
      </c>
      <c r="H4" s="435" t="s">
        <v>610</v>
      </c>
      <c r="I4" s="435" t="s">
        <v>552</v>
      </c>
      <c r="J4" s="435" t="s">
        <v>553</v>
      </c>
      <c r="K4" s="435" t="s">
        <v>554</v>
      </c>
      <c r="L4" s="435" t="s">
        <v>608</v>
      </c>
      <c r="M4" s="435" t="s">
        <v>609</v>
      </c>
    </row>
    <row r="5" spans="1:13">
      <c r="A5" s="95"/>
      <c r="B5" s="470" t="s">
        <v>226</v>
      </c>
      <c r="C5" s="470"/>
      <c r="D5" s="470"/>
      <c r="E5" s="470" t="s">
        <v>243</v>
      </c>
      <c r="F5" s="470"/>
      <c r="G5" s="470"/>
      <c r="H5" s="470" t="s">
        <v>226</v>
      </c>
      <c r="I5" s="470"/>
      <c r="J5" s="470"/>
      <c r="K5" s="470" t="s">
        <v>243</v>
      </c>
      <c r="L5" s="470"/>
      <c r="M5" s="470"/>
    </row>
    <row r="6" spans="1:13">
      <c r="A6" s="95"/>
      <c r="B6" s="193"/>
      <c r="C6" s="193"/>
      <c r="D6" s="193"/>
      <c r="E6" s="193"/>
      <c r="F6" s="193"/>
      <c r="G6" s="193"/>
    </row>
    <row r="7" spans="1:13">
      <c r="A7" s="194">
        <v>1997</v>
      </c>
      <c r="B7" s="129">
        <v>4833</v>
      </c>
      <c r="C7" s="129">
        <v>4434</v>
      </c>
      <c r="D7" s="129">
        <v>399</v>
      </c>
      <c r="E7" s="129">
        <v>41902</v>
      </c>
      <c r="F7" s="129">
        <v>28286</v>
      </c>
      <c r="G7" s="129">
        <v>13616</v>
      </c>
      <c r="H7" s="129" t="s">
        <v>10</v>
      </c>
      <c r="I7" s="129" t="s">
        <v>10</v>
      </c>
      <c r="J7" s="129" t="s">
        <v>10</v>
      </c>
      <c r="K7" s="129" t="s">
        <v>10</v>
      </c>
      <c r="L7" s="129" t="s">
        <v>10</v>
      </c>
      <c r="M7" s="129" t="s">
        <v>10</v>
      </c>
    </row>
    <row r="8" spans="1:13">
      <c r="A8" s="194">
        <v>1998</v>
      </c>
      <c r="B8" s="129">
        <v>5394</v>
      </c>
      <c r="C8" s="129">
        <v>4957</v>
      </c>
      <c r="D8" s="129">
        <v>437</v>
      </c>
      <c r="E8" s="129">
        <v>42922</v>
      </c>
      <c r="F8" s="129">
        <v>29378</v>
      </c>
      <c r="G8" s="129">
        <v>13544</v>
      </c>
      <c r="H8" s="129" t="s">
        <v>10</v>
      </c>
      <c r="I8" s="129" t="s">
        <v>10</v>
      </c>
      <c r="J8" s="129" t="s">
        <v>10</v>
      </c>
      <c r="K8" s="129" t="s">
        <v>10</v>
      </c>
      <c r="L8" s="129" t="s">
        <v>10</v>
      </c>
      <c r="M8" s="129" t="s">
        <v>10</v>
      </c>
    </row>
    <row r="9" spans="1:13">
      <c r="A9" s="194">
        <v>1999</v>
      </c>
      <c r="B9" s="129">
        <v>5799</v>
      </c>
      <c r="C9" s="129">
        <v>5184</v>
      </c>
      <c r="D9" s="129">
        <v>615</v>
      </c>
      <c r="E9" s="129">
        <v>45213</v>
      </c>
      <c r="F9" s="129">
        <v>30553</v>
      </c>
      <c r="G9" s="129">
        <v>14660</v>
      </c>
      <c r="H9" s="129" t="s">
        <v>10</v>
      </c>
      <c r="I9" s="129" t="s">
        <v>10</v>
      </c>
      <c r="J9" s="129" t="s">
        <v>10</v>
      </c>
      <c r="K9" s="129" t="s">
        <v>10</v>
      </c>
      <c r="L9" s="129" t="s">
        <v>10</v>
      </c>
      <c r="M9" s="129" t="s">
        <v>10</v>
      </c>
    </row>
    <row r="10" spans="1:13">
      <c r="A10" s="194">
        <v>2000</v>
      </c>
      <c r="B10" s="129">
        <v>6857</v>
      </c>
      <c r="C10" s="129">
        <v>6183</v>
      </c>
      <c r="D10" s="129">
        <v>674</v>
      </c>
      <c r="E10" s="129">
        <v>51739</v>
      </c>
      <c r="F10" s="129">
        <v>35157</v>
      </c>
      <c r="G10" s="129">
        <v>16582</v>
      </c>
      <c r="H10" s="129" t="s">
        <v>10</v>
      </c>
      <c r="I10" s="129" t="s">
        <v>10</v>
      </c>
      <c r="J10" s="129" t="s">
        <v>10</v>
      </c>
      <c r="K10" s="129" t="s">
        <v>10</v>
      </c>
      <c r="L10" s="129" t="s">
        <v>10</v>
      </c>
      <c r="M10" s="129" t="s">
        <v>10</v>
      </c>
    </row>
    <row r="11" spans="1:13">
      <c r="A11" s="194">
        <v>2001</v>
      </c>
      <c r="B11" s="129">
        <v>7899</v>
      </c>
      <c r="C11" s="129">
        <v>7044</v>
      </c>
      <c r="D11" s="129">
        <v>855</v>
      </c>
      <c r="E11" s="129">
        <v>57249</v>
      </c>
      <c r="F11" s="129">
        <v>39252</v>
      </c>
      <c r="G11" s="129">
        <v>17997</v>
      </c>
      <c r="H11" s="129" t="s">
        <v>10</v>
      </c>
      <c r="I11" s="129" t="s">
        <v>10</v>
      </c>
      <c r="J11" s="129" t="s">
        <v>10</v>
      </c>
      <c r="K11" s="129" t="s">
        <v>10</v>
      </c>
      <c r="L11" s="129" t="s">
        <v>10</v>
      </c>
      <c r="M11" s="129" t="s">
        <v>10</v>
      </c>
    </row>
    <row r="12" spans="1:13">
      <c r="A12" s="194">
        <v>2002</v>
      </c>
      <c r="B12" s="129">
        <v>7063</v>
      </c>
      <c r="C12" s="129">
        <v>6540</v>
      </c>
      <c r="D12" s="129">
        <v>523</v>
      </c>
      <c r="E12" s="129">
        <v>57941</v>
      </c>
      <c r="F12" s="129">
        <v>38438</v>
      </c>
      <c r="G12" s="129">
        <v>19503</v>
      </c>
      <c r="H12" s="129" t="s">
        <v>10</v>
      </c>
      <c r="I12" s="129" t="s">
        <v>10</v>
      </c>
      <c r="J12" s="129" t="s">
        <v>10</v>
      </c>
      <c r="K12" s="129" t="s">
        <v>10</v>
      </c>
      <c r="L12" s="129" t="s">
        <v>10</v>
      </c>
      <c r="M12" s="129" t="s">
        <v>10</v>
      </c>
    </row>
    <row r="13" spans="1:13">
      <c r="A13" s="194">
        <v>2003</v>
      </c>
      <c r="B13" s="129">
        <v>7447</v>
      </c>
      <c r="C13" s="129">
        <v>6954</v>
      </c>
      <c r="D13" s="129">
        <v>493</v>
      </c>
      <c r="E13" s="129">
        <v>61877</v>
      </c>
      <c r="F13" s="129">
        <v>39351</v>
      </c>
      <c r="G13" s="129">
        <v>22526</v>
      </c>
      <c r="H13" s="129" t="s">
        <v>10</v>
      </c>
      <c r="I13" s="129" t="s">
        <v>10</v>
      </c>
      <c r="J13" s="129" t="s">
        <v>10</v>
      </c>
      <c r="K13" s="129" t="s">
        <v>10</v>
      </c>
      <c r="L13" s="129" t="s">
        <v>10</v>
      </c>
      <c r="M13" s="129" t="s">
        <v>10</v>
      </c>
    </row>
    <row r="14" spans="1:13">
      <c r="A14" s="194">
        <v>2004</v>
      </c>
      <c r="B14" s="129">
        <v>7833</v>
      </c>
      <c r="C14" s="129">
        <v>7430</v>
      </c>
      <c r="D14" s="129">
        <v>404</v>
      </c>
      <c r="E14" s="129">
        <v>66206</v>
      </c>
      <c r="F14" s="129">
        <v>40886</v>
      </c>
      <c r="G14" s="129">
        <v>25320</v>
      </c>
      <c r="H14" s="129">
        <f>'9D'!B14+'9D'!H14+'9D'!N14</f>
        <v>140</v>
      </c>
      <c r="I14" s="129" t="s">
        <v>10</v>
      </c>
      <c r="J14" s="129" t="s">
        <v>10</v>
      </c>
      <c r="K14" s="129" t="s">
        <v>10</v>
      </c>
      <c r="L14" s="129" t="s">
        <v>10</v>
      </c>
      <c r="M14" s="129" t="s">
        <v>10</v>
      </c>
    </row>
    <row r="15" spans="1:13">
      <c r="A15" s="194">
        <v>2005</v>
      </c>
      <c r="B15" s="129">
        <v>8204</v>
      </c>
      <c r="C15" s="129">
        <v>7772</v>
      </c>
      <c r="D15" s="129">
        <v>432</v>
      </c>
      <c r="E15" s="129">
        <v>69098</v>
      </c>
      <c r="F15" s="129">
        <v>42964</v>
      </c>
      <c r="G15" s="129">
        <v>26134</v>
      </c>
      <c r="H15" s="129" t="s">
        <v>10</v>
      </c>
      <c r="I15" s="129" t="s">
        <v>10</v>
      </c>
      <c r="J15" s="129" t="s">
        <v>10</v>
      </c>
      <c r="K15" s="129">
        <f>'9D'!E15+'9D'!K15+'9D'!Q15</f>
        <v>677</v>
      </c>
      <c r="L15" s="129" t="s">
        <v>10</v>
      </c>
      <c r="M15" s="129" t="s">
        <v>10</v>
      </c>
    </row>
    <row r="16" spans="1:13">
      <c r="A16" s="194">
        <v>2006</v>
      </c>
      <c r="B16" s="129">
        <v>8153</v>
      </c>
      <c r="C16" s="129">
        <v>7678</v>
      </c>
      <c r="D16" s="129">
        <v>475</v>
      </c>
      <c r="E16" s="129">
        <v>74049</v>
      </c>
      <c r="F16" s="129">
        <v>44497</v>
      </c>
      <c r="G16" s="129">
        <v>29552</v>
      </c>
      <c r="H16" s="129">
        <f>'9D'!B16+'9D'!H16+'9D'!N16</f>
        <v>182</v>
      </c>
      <c r="I16" s="129" t="s">
        <v>10</v>
      </c>
      <c r="J16" s="129" t="s">
        <v>10</v>
      </c>
      <c r="K16" s="129">
        <f>'9D'!E16+'9D'!K16+'9D'!Q16</f>
        <v>950</v>
      </c>
      <c r="L16" s="129" t="s">
        <v>10</v>
      </c>
      <c r="M16" s="129" t="s">
        <v>10</v>
      </c>
    </row>
    <row r="17" spans="1:13">
      <c r="A17" s="194">
        <v>2007</v>
      </c>
      <c r="B17" s="129">
        <v>8065</v>
      </c>
      <c r="C17" s="129">
        <v>7572</v>
      </c>
      <c r="D17" s="129">
        <v>493</v>
      </c>
      <c r="E17" s="129">
        <v>80545</v>
      </c>
      <c r="F17" s="129">
        <v>47036</v>
      </c>
      <c r="G17" s="129">
        <v>33509</v>
      </c>
      <c r="H17" s="129" t="s">
        <v>10</v>
      </c>
      <c r="I17" s="129" t="s">
        <v>10</v>
      </c>
      <c r="J17" s="129" t="s">
        <v>10</v>
      </c>
      <c r="K17" s="129" t="s">
        <v>10</v>
      </c>
      <c r="L17" s="129" t="s">
        <v>10</v>
      </c>
      <c r="M17" s="129" t="s">
        <v>10</v>
      </c>
    </row>
    <row r="18" spans="1:13">
      <c r="A18" s="194">
        <v>2008</v>
      </c>
      <c r="B18" s="129">
        <v>7883</v>
      </c>
      <c r="C18" s="129">
        <v>7433</v>
      </c>
      <c r="D18" s="129">
        <v>450</v>
      </c>
      <c r="E18" s="129">
        <v>80086</v>
      </c>
      <c r="F18" s="129">
        <v>48338</v>
      </c>
      <c r="G18" s="129">
        <v>31748</v>
      </c>
      <c r="H18" s="129" t="s">
        <v>10</v>
      </c>
      <c r="I18" s="129" t="s">
        <v>10</v>
      </c>
      <c r="J18" s="129" t="s">
        <v>10</v>
      </c>
      <c r="K18" s="129">
        <f>'9D'!E18+'9D'!K18+'9D'!Q18</f>
        <v>856</v>
      </c>
      <c r="L18" s="129" t="s">
        <v>10</v>
      </c>
      <c r="M18" s="129" t="s">
        <v>10</v>
      </c>
    </row>
    <row r="19" spans="1:13">
      <c r="A19" s="194">
        <v>2009</v>
      </c>
      <c r="B19" s="129">
        <v>7384</v>
      </c>
      <c r="C19" s="129">
        <v>6903</v>
      </c>
      <c r="D19" s="129">
        <v>481</v>
      </c>
      <c r="E19" s="129">
        <v>71647</v>
      </c>
      <c r="F19" s="129">
        <v>45992</v>
      </c>
      <c r="G19" s="129">
        <v>25655</v>
      </c>
      <c r="H19" s="129">
        <f>'9D'!B19+'9D'!H19+'9D'!N19</f>
        <v>42</v>
      </c>
      <c r="I19" s="129" t="s">
        <v>10</v>
      </c>
      <c r="J19" s="129" t="s">
        <v>10</v>
      </c>
      <c r="K19" s="129">
        <f>'9D'!E19+'9D'!K19+'9D'!Q19</f>
        <v>718</v>
      </c>
      <c r="L19" s="129">
        <f>'9D'!F19+'9D'!L19+'9D'!R19</f>
        <v>264</v>
      </c>
      <c r="M19" s="129">
        <f>'9D'!G19+'9D'!M19+'9D'!S19</f>
        <v>454</v>
      </c>
    </row>
    <row r="20" spans="1:13">
      <c r="A20" s="194">
        <v>2010</v>
      </c>
      <c r="B20" s="129">
        <v>7193</v>
      </c>
      <c r="C20" s="129">
        <v>6796</v>
      </c>
      <c r="D20" s="129">
        <v>397</v>
      </c>
      <c r="E20" s="129">
        <v>68197</v>
      </c>
      <c r="F20" s="129">
        <v>46342</v>
      </c>
      <c r="G20" s="129">
        <v>21855</v>
      </c>
      <c r="H20" s="129">
        <f>'9D'!B20+'9D'!H20+'9D'!N20</f>
        <v>68</v>
      </c>
      <c r="I20" s="129" t="s">
        <v>10</v>
      </c>
      <c r="J20" s="129" t="s">
        <v>10</v>
      </c>
      <c r="K20" s="129">
        <f>'9D'!E20+'9D'!K20+'9D'!Q20</f>
        <v>671</v>
      </c>
      <c r="L20" s="129">
        <f>'9D'!F20+'9D'!L20+'9D'!R20</f>
        <v>325</v>
      </c>
      <c r="M20" s="129">
        <f>'9D'!G20+'9D'!M20+'9D'!S20</f>
        <v>345</v>
      </c>
    </row>
    <row r="21" spans="1:13">
      <c r="A21" s="194">
        <v>2011</v>
      </c>
      <c r="B21" s="129">
        <v>7569</v>
      </c>
      <c r="C21" s="129">
        <v>7139</v>
      </c>
      <c r="D21" s="129">
        <v>429</v>
      </c>
      <c r="E21" s="129">
        <v>66526</v>
      </c>
      <c r="F21" s="129">
        <v>47104</v>
      </c>
      <c r="G21" s="129">
        <v>19422</v>
      </c>
      <c r="H21" s="129">
        <f>'9D'!B21+'9D'!H21+'9D'!N21</f>
        <v>48</v>
      </c>
      <c r="I21" s="129" t="s">
        <v>10</v>
      </c>
      <c r="J21" s="129" t="s">
        <v>10</v>
      </c>
      <c r="K21" s="129">
        <f>'9D'!E21+'9D'!K21+'9D'!Q21</f>
        <v>529</v>
      </c>
      <c r="L21" s="129" t="s">
        <v>10</v>
      </c>
      <c r="M21" s="129" t="s">
        <v>10</v>
      </c>
    </row>
    <row r="22" spans="1:13">
      <c r="A22" s="194">
        <v>2012</v>
      </c>
      <c r="B22" s="129">
        <v>7268</v>
      </c>
      <c r="C22" s="129">
        <v>6894</v>
      </c>
      <c r="D22" s="129">
        <v>374</v>
      </c>
      <c r="E22" s="129">
        <v>61200</v>
      </c>
      <c r="F22" s="129">
        <v>43939</v>
      </c>
      <c r="G22" s="129">
        <v>17261</v>
      </c>
      <c r="H22" s="129" t="s">
        <v>10</v>
      </c>
      <c r="I22" s="129" t="s">
        <v>10</v>
      </c>
      <c r="J22" s="129" t="s">
        <v>10</v>
      </c>
      <c r="K22" s="129" t="s">
        <v>10</v>
      </c>
      <c r="L22" s="129" t="s">
        <v>10</v>
      </c>
      <c r="M22" s="129" t="s">
        <v>10</v>
      </c>
    </row>
    <row r="23" spans="1:13">
      <c r="A23" s="194"/>
      <c r="B23" s="95"/>
      <c r="C23" s="95"/>
      <c r="D23" s="95"/>
      <c r="E23" s="95"/>
      <c r="F23" s="95"/>
      <c r="G23" s="95"/>
    </row>
    <row r="24" spans="1:13">
      <c r="A24" s="456" t="s">
        <v>11</v>
      </c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</row>
    <row r="25" spans="1:13">
      <c r="A25" s="193" t="s">
        <v>244</v>
      </c>
      <c r="B25" s="192">
        <f>((B17/B7)^(1/10)-1)*100</f>
        <v>5.2540359198904651</v>
      </c>
      <c r="C25" s="192">
        <f t="shared" ref="C25:G25" si="0">((C17/C7)^(1/10)-1)*100</f>
        <v>5.4973356614502311</v>
      </c>
      <c r="D25" s="192">
        <f t="shared" si="0"/>
        <v>2.1380124243618015</v>
      </c>
      <c r="E25" s="192">
        <f t="shared" si="0"/>
        <v>6.7530724667531183</v>
      </c>
      <c r="F25" s="192">
        <f t="shared" si="0"/>
        <v>5.2169926472232397</v>
      </c>
      <c r="G25" s="192">
        <f t="shared" si="0"/>
        <v>9.4236487928355928</v>
      </c>
      <c r="H25" s="192" t="s">
        <v>10</v>
      </c>
      <c r="I25" s="192" t="s">
        <v>10</v>
      </c>
      <c r="J25" s="192" t="s">
        <v>10</v>
      </c>
      <c r="K25" s="192" t="s">
        <v>10</v>
      </c>
      <c r="L25" s="192" t="s">
        <v>10</v>
      </c>
      <c r="M25" s="192" t="s">
        <v>10</v>
      </c>
    </row>
    <row r="26" spans="1:13">
      <c r="A26" s="193" t="s">
        <v>70</v>
      </c>
      <c r="B26" s="192">
        <f>((B22/B17)^(1/5)-1)*100</f>
        <v>-2.0595467810851642</v>
      </c>
      <c r="C26" s="192">
        <f t="shared" ref="C26:G26" si="1">((C22/C17)^(1/5)-1)*100</f>
        <v>-1.858625807026848</v>
      </c>
      <c r="D26" s="192">
        <f t="shared" si="1"/>
        <v>-5.3752082783996453</v>
      </c>
      <c r="E26" s="192">
        <f t="shared" si="1"/>
        <v>-5.3452163299796629</v>
      </c>
      <c r="F26" s="192">
        <f t="shared" si="1"/>
        <v>-1.3529829330706011</v>
      </c>
      <c r="G26" s="192">
        <f t="shared" si="1"/>
        <v>-12.424848557094636</v>
      </c>
      <c r="H26" s="192" t="s">
        <v>10</v>
      </c>
      <c r="I26" s="192" t="s">
        <v>10</v>
      </c>
      <c r="J26" s="192" t="s">
        <v>10</v>
      </c>
      <c r="K26" s="192" t="s">
        <v>10</v>
      </c>
      <c r="L26" s="192" t="s">
        <v>10</v>
      </c>
      <c r="M26" s="192" t="s">
        <v>10</v>
      </c>
    </row>
    <row r="27" spans="1:13">
      <c r="A27" s="193" t="s">
        <v>33</v>
      </c>
      <c r="B27" s="192">
        <f>((B22/B7)^(1/15)-1)*100</f>
        <v>2.7574239340888429</v>
      </c>
      <c r="C27" s="192">
        <f t="shared" ref="C27:G27" si="2">((C22/C7)^(1/15)-1)*100</f>
        <v>2.9860432321793251</v>
      </c>
      <c r="D27" s="192">
        <f t="shared" si="2"/>
        <v>-0.43044172907045208</v>
      </c>
      <c r="E27" s="192">
        <f t="shared" si="2"/>
        <v>2.5575831902370005</v>
      </c>
      <c r="F27" s="192">
        <f t="shared" si="2"/>
        <v>2.9797679268940724</v>
      </c>
      <c r="G27" s="192">
        <f t="shared" si="2"/>
        <v>1.593930002829369</v>
      </c>
      <c r="H27" s="192" t="s">
        <v>10</v>
      </c>
      <c r="I27" s="192" t="s">
        <v>10</v>
      </c>
      <c r="J27" s="192" t="s">
        <v>10</v>
      </c>
      <c r="K27" s="192" t="s">
        <v>10</v>
      </c>
      <c r="L27" s="192" t="s">
        <v>10</v>
      </c>
      <c r="M27" s="192" t="s">
        <v>10</v>
      </c>
    </row>
    <row r="28" spans="1:13">
      <c r="A28" s="142"/>
      <c r="B28" s="186"/>
      <c r="C28" s="186"/>
      <c r="D28" s="186"/>
      <c r="E28" s="186"/>
      <c r="F28" s="186"/>
      <c r="G28" s="186"/>
    </row>
    <row r="29" spans="1:13">
      <c r="A29" s="185" t="s">
        <v>41</v>
      </c>
      <c r="B29" s="95"/>
      <c r="C29" s="95"/>
      <c r="D29" s="95"/>
      <c r="E29" s="95"/>
      <c r="F29" s="95"/>
      <c r="G29" s="95"/>
    </row>
    <row r="30" spans="1:13">
      <c r="A30" s="191" t="s">
        <v>245</v>
      </c>
      <c r="B30" s="191"/>
      <c r="C30" s="191"/>
      <c r="D30" s="191"/>
      <c r="E30" s="191"/>
      <c r="F30" s="191"/>
      <c r="G30" s="191"/>
    </row>
  </sheetData>
  <mergeCells count="12">
    <mergeCell ref="B5:D5"/>
    <mergeCell ref="E5:G5"/>
    <mergeCell ref="H5:J5"/>
    <mergeCell ref="K5:M5"/>
    <mergeCell ref="A24:M24"/>
    <mergeCell ref="A1:M1"/>
    <mergeCell ref="B2:G2"/>
    <mergeCell ref="H2:M2"/>
    <mergeCell ref="B3:D3"/>
    <mergeCell ref="E3:G3"/>
    <mergeCell ref="H3:J3"/>
    <mergeCell ref="K3:M3"/>
  </mergeCells>
  <printOptions gridLines="1"/>
  <pageMargins left="0.7" right="0.7" top="0.75" bottom="0.75" header="0.3" footer="0.3"/>
  <pageSetup scale="48"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0"/>
  <sheetViews>
    <sheetView view="pageBreakPreview" topLeftCell="F1" zoomScaleNormal="100" zoomScaleSheetLayoutView="100" workbookViewId="0">
      <selection activeCell="A24" sqref="A24:M24"/>
    </sheetView>
  </sheetViews>
  <sheetFormatPr defaultRowHeight="15"/>
  <cols>
    <col min="1" max="1" width="11.42578125" style="132" customWidth="1"/>
    <col min="2" max="3" width="12.85546875" style="132" bestFit="1" customWidth="1"/>
    <col min="4" max="4" width="16.140625" style="132" bestFit="1" customWidth="1"/>
    <col min="5" max="5" width="10" style="132" bestFit="1" customWidth="1"/>
    <col min="6" max="6" width="12.85546875" style="132" bestFit="1" customWidth="1"/>
    <col min="7" max="7" width="16.140625" style="132" customWidth="1"/>
    <col min="8" max="8" width="12.85546875" style="132" bestFit="1" customWidth="1"/>
    <col min="9" max="9" width="16.7109375" style="132" bestFit="1" customWidth="1"/>
    <col min="10" max="10" width="16.140625" style="132" bestFit="1" customWidth="1"/>
    <col min="11" max="11" width="10" style="132" bestFit="1" customWidth="1"/>
    <col min="12" max="12" width="12.85546875" style="132" bestFit="1" customWidth="1"/>
    <col min="13" max="13" width="13.42578125" style="132" bestFit="1" customWidth="1"/>
    <col min="14" max="14" width="19.7109375" style="132" bestFit="1" customWidth="1"/>
    <col min="15" max="16" width="12.85546875" style="132" bestFit="1" customWidth="1"/>
    <col min="17" max="17" width="10" style="132" bestFit="1" customWidth="1"/>
    <col min="18" max="18" width="12.85546875" style="132" bestFit="1" customWidth="1"/>
    <col min="19" max="19" width="17.28515625" style="132" bestFit="1" customWidth="1"/>
    <col min="20" max="16384" width="9.140625" style="132"/>
  </cols>
  <sheetData>
    <row r="1" spans="1:19">
      <c r="A1" s="456" t="s">
        <v>251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</row>
    <row r="2" spans="1:19">
      <c r="A2" s="194"/>
      <c r="B2" s="456" t="s">
        <v>247</v>
      </c>
      <c r="C2" s="456"/>
      <c r="D2" s="456"/>
      <c r="E2" s="456"/>
      <c r="F2" s="456"/>
      <c r="G2" s="456"/>
      <c r="H2" s="456" t="s">
        <v>248</v>
      </c>
      <c r="I2" s="456"/>
      <c r="J2" s="456"/>
      <c r="K2" s="456"/>
      <c r="L2" s="456"/>
      <c r="M2" s="456"/>
      <c r="N2" s="456" t="s">
        <v>249</v>
      </c>
      <c r="O2" s="456"/>
      <c r="P2" s="456"/>
      <c r="Q2" s="456"/>
      <c r="R2" s="456"/>
      <c r="S2" s="456"/>
    </row>
    <row r="3" spans="1:19" ht="45" customHeight="1">
      <c r="A3" s="95"/>
      <c r="B3" s="469" t="s">
        <v>606</v>
      </c>
      <c r="C3" s="469"/>
      <c r="D3" s="469"/>
      <c r="E3" s="469" t="s">
        <v>607</v>
      </c>
      <c r="F3" s="469"/>
      <c r="G3" s="469"/>
      <c r="H3" s="469" t="s">
        <v>606</v>
      </c>
      <c r="I3" s="469"/>
      <c r="J3" s="469"/>
      <c r="K3" s="469" t="s">
        <v>607</v>
      </c>
      <c r="L3" s="469"/>
      <c r="M3" s="469"/>
      <c r="N3" s="469" t="s">
        <v>606</v>
      </c>
      <c r="O3" s="469"/>
      <c r="P3" s="469"/>
      <c r="Q3" s="469" t="s">
        <v>607</v>
      </c>
      <c r="R3" s="469"/>
      <c r="S3" s="469"/>
    </row>
    <row r="4" spans="1:19" ht="60">
      <c r="A4" s="95"/>
      <c r="B4" s="435" t="s">
        <v>610</v>
      </c>
      <c r="C4" s="435" t="s">
        <v>552</v>
      </c>
      <c r="D4" s="435" t="s">
        <v>612</v>
      </c>
      <c r="E4" s="435" t="s">
        <v>554</v>
      </c>
      <c r="F4" s="435" t="s">
        <v>608</v>
      </c>
      <c r="G4" s="435" t="s">
        <v>609</v>
      </c>
      <c r="H4" s="435" t="s">
        <v>610</v>
      </c>
      <c r="I4" s="435" t="s">
        <v>552</v>
      </c>
      <c r="J4" s="435" t="s">
        <v>612</v>
      </c>
      <c r="K4" s="435" t="s">
        <v>554</v>
      </c>
      <c r="L4" s="435" t="s">
        <v>608</v>
      </c>
      <c r="M4" s="435" t="s">
        <v>609</v>
      </c>
      <c r="N4" s="435" t="s">
        <v>610</v>
      </c>
      <c r="O4" s="435" t="s">
        <v>552</v>
      </c>
      <c r="P4" s="435" t="s">
        <v>612</v>
      </c>
      <c r="Q4" s="435" t="s">
        <v>554</v>
      </c>
      <c r="R4" s="435" t="s">
        <v>608</v>
      </c>
      <c r="S4" s="435" t="s">
        <v>609</v>
      </c>
    </row>
    <row r="5" spans="1:19">
      <c r="A5" s="95"/>
      <c r="B5" s="470" t="s">
        <v>226</v>
      </c>
      <c r="C5" s="470"/>
      <c r="D5" s="470"/>
      <c r="E5" s="470" t="s">
        <v>243</v>
      </c>
      <c r="F5" s="470"/>
      <c r="G5" s="470"/>
      <c r="H5" s="470" t="s">
        <v>226</v>
      </c>
      <c r="I5" s="470"/>
      <c r="J5" s="470"/>
      <c r="K5" s="470" t="s">
        <v>243</v>
      </c>
      <c r="L5" s="470"/>
      <c r="M5" s="470"/>
      <c r="N5" s="470" t="s">
        <v>226</v>
      </c>
      <c r="O5" s="470"/>
      <c r="P5" s="470"/>
      <c r="Q5" s="470" t="s">
        <v>243</v>
      </c>
      <c r="R5" s="470"/>
      <c r="S5" s="470"/>
    </row>
    <row r="6" spans="1:19">
      <c r="A6" s="95"/>
      <c r="B6" s="193"/>
      <c r="C6" s="193"/>
      <c r="D6" s="193"/>
      <c r="E6" s="193"/>
      <c r="F6" s="193"/>
      <c r="G6" s="193"/>
    </row>
    <row r="7" spans="1:19">
      <c r="A7" s="194">
        <v>1997</v>
      </c>
      <c r="B7" s="129" t="s">
        <v>9</v>
      </c>
      <c r="C7" s="129" t="s">
        <v>9</v>
      </c>
      <c r="D7" s="129" t="s">
        <v>9</v>
      </c>
      <c r="E7" s="129" t="s">
        <v>9</v>
      </c>
      <c r="F7" s="129" t="s">
        <v>9</v>
      </c>
      <c r="G7" s="129">
        <v>6</v>
      </c>
      <c r="H7" s="129" t="s">
        <v>9</v>
      </c>
      <c r="I7" s="129" t="s">
        <v>9</v>
      </c>
      <c r="J7" s="129" t="s">
        <v>9</v>
      </c>
      <c r="K7" s="129" t="s">
        <v>9</v>
      </c>
      <c r="L7" s="129" t="s">
        <v>9</v>
      </c>
      <c r="M7" s="129">
        <v>93</v>
      </c>
      <c r="N7" s="129" t="s">
        <v>9</v>
      </c>
      <c r="O7" s="129" t="s">
        <v>9</v>
      </c>
      <c r="P7" s="129" t="s">
        <v>9</v>
      </c>
      <c r="Q7" s="129" t="s">
        <v>9</v>
      </c>
      <c r="R7" s="129" t="s">
        <v>9</v>
      </c>
      <c r="S7" s="129" t="s">
        <v>9</v>
      </c>
    </row>
    <row r="8" spans="1:19">
      <c r="A8" s="194">
        <v>1998</v>
      </c>
      <c r="B8" s="129" t="s">
        <v>9</v>
      </c>
      <c r="C8" s="129" t="s">
        <v>9</v>
      </c>
      <c r="D8" s="129">
        <v>0</v>
      </c>
      <c r="E8" s="129" t="s">
        <v>9</v>
      </c>
      <c r="F8" s="129" t="s">
        <v>9</v>
      </c>
      <c r="G8" s="129" t="s">
        <v>9</v>
      </c>
      <c r="H8" s="129" t="s">
        <v>9</v>
      </c>
      <c r="I8" s="129" t="s">
        <v>9</v>
      </c>
      <c r="J8" s="129" t="s">
        <v>9</v>
      </c>
      <c r="K8" s="129" t="s">
        <v>9</v>
      </c>
      <c r="L8" s="129" t="s">
        <v>9</v>
      </c>
      <c r="M8" s="129" t="s">
        <v>9</v>
      </c>
      <c r="N8" s="129" t="s">
        <v>9</v>
      </c>
      <c r="O8" s="129" t="s">
        <v>9</v>
      </c>
      <c r="P8" s="129" t="s">
        <v>9</v>
      </c>
      <c r="Q8" s="129" t="s">
        <v>9</v>
      </c>
      <c r="R8" s="129" t="s">
        <v>9</v>
      </c>
      <c r="S8" s="129" t="s">
        <v>9</v>
      </c>
    </row>
    <row r="9" spans="1:19">
      <c r="A9" s="194">
        <v>1999</v>
      </c>
      <c r="B9" s="129">
        <v>0</v>
      </c>
      <c r="C9" s="129">
        <v>0</v>
      </c>
      <c r="D9" s="129">
        <v>0</v>
      </c>
      <c r="E9" s="129" t="s">
        <v>9</v>
      </c>
      <c r="F9" s="129" t="s">
        <v>9</v>
      </c>
      <c r="G9" s="129" t="s">
        <v>9</v>
      </c>
      <c r="H9" s="129" t="s">
        <v>9</v>
      </c>
      <c r="I9" s="129" t="s">
        <v>9</v>
      </c>
      <c r="J9" s="129" t="s">
        <v>9</v>
      </c>
      <c r="K9" s="129">
        <v>69</v>
      </c>
      <c r="L9" s="129" t="s">
        <v>9</v>
      </c>
      <c r="M9" s="129" t="s">
        <v>9</v>
      </c>
      <c r="N9" s="129" t="s">
        <v>9</v>
      </c>
      <c r="O9" s="129" t="s">
        <v>9</v>
      </c>
      <c r="P9" s="129" t="s">
        <v>9</v>
      </c>
      <c r="Q9" s="129">
        <v>114</v>
      </c>
      <c r="R9" s="129" t="s">
        <v>9</v>
      </c>
      <c r="S9" s="129" t="s">
        <v>9</v>
      </c>
    </row>
    <row r="10" spans="1:19">
      <c r="A10" s="194">
        <v>2000</v>
      </c>
      <c r="B10" s="129" t="s">
        <v>9</v>
      </c>
      <c r="C10" s="129" t="s">
        <v>9</v>
      </c>
      <c r="D10" s="129">
        <v>0</v>
      </c>
      <c r="E10" s="129" t="s">
        <v>9</v>
      </c>
      <c r="F10" s="129" t="s">
        <v>9</v>
      </c>
      <c r="G10" s="129" t="s">
        <v>9</v>
      </c>
      <c r="H10" s="129" t="s">
        <v>9</v>
      </c>
      <c r="I10" s="129" t="s">
        <v>9</v>
      </c>
      <c r="J10" s="129">
        <v>0</v>
      </c>
      <c r="K10" s="129" t="s">
        <v>9</v>
      </c>
      <c r="L10" s="129" t="s">
        <v>9</v>
      </c>
      <c r="M10" s="129" t="s">
        <v>9</v>
      </c>
      <c r="N10" s="129" t="s">
        <v>9</v>
      </c>
      <c r="O10" s="129" t="s">
        <v>9</v>
      </c>
      <c r="P10" s="129" t="s">
        <v>9</v>
      </c>
      <c r="Q10" s="129" t="s">
        <v>9</v>
      </c>
      <c r="R10" s="129" t="s">
        <v>9</v>
      </c>
      <c r="S10" s="129">
        <v>119</v>
      </c>
    </row>
    <row r="11" spans="1:19">
      <c r="A11" s="194">
        <v>2001</v>
      </c>
      <c r="B11" s="129" t="s">
        <v>9</v>
      </c>
      <c r="C11" s="129" t="s">
        <v>9</v>
      </c>
      <c r="D11" s="129">
        <v>0</v>
      </c>
      <c r="E11" s="129" t="s">
        <v>9</v>
      </c>
      <c r="F11" s="129">
        <v>0</v>
      </c>
      <c r="G11" s="129" t="s">
        <v>9</v>
      </c>
      <c r="H11" s="129" t="s">
        <v>9</v>
      </c>
      <c r="I11" s="129" t="s">
        <v>9</v>
      </c>
      <c r="J11" s="129" t="s">
        <v>9</v>
      </c>
      <c r="K11" s="129">
        <v>77</v>
      </c>
      <c r="L11" s="129" t="s">
        <v>9</v>
      </c>
      <c r="M11" s="129" t="s">
        <v>9</v>
      </c>
      <c r="N11" s="129">
        <v>98</v>
      </c>
      <c r="O11" s="129">
        <v>96</v>
      </c>
      <c r="P11" s="129">
        <v>2</v>
      </c>
      <c r="Q11" s="129">
        <v>304</v>
      </c>
      <c r="R11" s="129">
        <v>103</v>
      </c>
      <c r="S11" s="129">
        <v>201</v>
      </c>
    </row>
    <row r="12" spans="1:19">
      <c r="A12" s="194">
        <v>2002</v>
      </c>
      <c r="B12" s="129" t="s">
        <v>9</v>
      </c>
      <c r="C12" s="129" t="s">
        <v>9</v>
      </c>
      <c r="D12" s="129" t="s">
        <v>9</v>
      </c>
      <c r="E12" s="129" t="s">
        <v>9</v>
      </c>
      <c r="F12" s="129" t="s">
        <v>9</v>
      </c>
      <c r="G12" s="129" t="s">
        <v>9</v>
      </c>
      <c r="H12" s="129" t="s">
        <v>9</v>
      </c>
      <c r="I12" s="129">
        <v>8</v>
      </c>
      <c r="J12" s="129" t="s">
        <v>9</v>
      </c>
      <c r="K12" s="129" t="s">
        <v>9</v>
      </c>
      <c r="L12" s="129" t="s">
        <v>9</v>
      </c>
      <c r="M12" s="129" t="s">
        <v>9</v>
      </c>
      <c r="N12" s="129">
        <v>82</v>
      </c>
      <c r="O12" s="129">
        <v>81</v>
      </c>
      <c r="P12" s="129">
        <v>1</v>
      </c>
      <c r="Q12" s="129">
        <v>390</v>
      </c>
      <c r="R12" s="129">
        <v>141</v>
      </c>
      <c r="S12" s="129">
        <v>249</v>
      </c>
    </row>
    <row r="13" spans="1:19">
      <c r="A13" s="194">
        <v>2003</v>
      </c>
      <c r="B13" s="129">
        <v>0</v>
      </c>
      <c r="C13" s="129">
        <v>0</v>
      </c>
      <c r="D13" s="129">
        <v>0</v>
      </c>
      <c r="E13" s="129">
        <v>11</v>
      </c>
      <c r="F13" s="129" t="s">
        <v>9</v>
      </c>
      <c r="G13" s="129" t="s">
        <v>9</v>
      </c>
      <c r="H13" s="129" t="s">
        <v>9</v>
      </c>
      <c r="I13" s="129">
        <v>8</v>
      </c>
      <c r="J13" s="129" t="s">
        <v>9</v>
      </c>
      <c r="K13" s="129" t="s">
        <v>9</v>
      </c>
      <c r="L13" s="129">
        <v>35</v>
      </c>
      <c r="M13" s="129" t="s">
        <v>9</v>
      </c>
      <c r="N13" s="129">
        <v>119</v>
      </c>
      <c r="O13" s="129" t="s">
        <v>9</v>
      </c>
      <c r="P13" s="129" t="s">
        <v>9</v>
      </c>
      <c r="Q13" s="129">
        <v>455</v>
      </c>
      <c r="R13" s="129">
        <v>199</v>
      </c>
      <c r="S13" s="129">
        <v>256</v>
      </c>
    </row>
    <row r="14" spans="1:19">
      <c r="A14" s="194">
        <v>2004</v>
      </c>
      <c r="B14" s="129">
        <v>0</v>
      </c>
      <c r="C14" s="129">
        <v>0</v>
      </c>
      <c r="D14" s="129">
        <v>0</v>
      </c>
      <c r="E14" s="129" t="s">
        <v>9</v>
      </c>
      <c r="F14" s="129" t="s">
        <v>9</v>
      </c>
      <c r="G14" s="129" t="s">
        <v>9</v>
      </c>
      <c r="H14" s="129">
        <v>14</v>
      </c>
      <c r="I14" s="129" t="s">
        <v>9</v>
      </c>
      <c r="J14" s="129" t="s">
        <v>9</v>
      </c>
      <c r="K14" s="129">
        <v>106</v>
      </c>
      <c r="L14" s="129">
        <v>41</v>
      </c>
      <c r="M14" s="129">
        <v>65</v>
      </c>
      <c r="N14" s="129">
        <v>126</v>
      </c>
      <c r="O14" s="129" t="s">
        <v>9</v>
      </c>
      <c r="P14" s="129" t="s">
        <v>9</v>
      </c>
      <c r="Q14" s="129">
        <v>556</v>
      </c>
      <c r="R14" s="129">
        <v>232</v>
      </c>
      <c r="S14" s="129">
        <v>324</v>
      </c>
    </row>
    <row r="15" spans="1:19">
      <c r="A15" s="194">
        <v>2005</v>
      </c>
      <c r="B15" s="129" t="s">
        <v>9</v>
      </c>
      <c r="C15" s="129" t="s">
        <v>9</v>
      </c>
      <c r="D15" s="129">
        <v>0</v>
      </c>
      <c r="E15" s="129">
        <v>6</v>
      </c>
      <c r="F15" s="129" t="s">
        <v>9</v>
      </c>
      <c r="G15" s="129" t="s">
        <v>9</v>
      </c>
      <c r="H15" s="129">
        <v>10</v>
      </c>
      <c r="I15" s="129" t="s">
        <v>9</v>
      </c>
      <c r="J15" s="129" t="s">
        <v>9</v>
      </c>
      <c r="K15" s="129">
        <v>152</v>
      </c>
      <c r="L15" s="129">
        <v>59</v>
      </c>
      <c r="M15" s="129">
        <v>93</v>
      </c>
      <c r="N15" s="129">
        <v>80</v>
      </c>
      <c r="O15" s="129" t="s">
        <v>9</v>
      </c>
      <c r="P15" s="129" t="s">
        <v>9</v>
      </c>
      <c r="Q15" s="129">
        <v>519</v>
      </c>
      <c r="R15" s="129">
        <v>219</v>
      </c>
      <c r="S15" s="129">
        <v>300</v>
      </c>
    </row>
    <row r="16" spans="1:19">
      <c r="A16" s="194">
        <v>2006</v>
      </c>
      <c r="B16" s="129">
        <v>1</v>
      </c>
      <c r="C16" s="129">
        <v>1</v>
      </c>
      <c r="D16" s="129">
        <v>0</v>
      </c>
      <c r="E16" s="129">
        <v>12</v>
      </c>
      <c r="F16" s="129" t="s">
        <v>9</v>
      </c>
      <c r="G16" s="129" t="s">
        <v>9</v>
      </c>
      <c r="H16" s="129">
        <v>10</v>
      </c>
      <c r="I16" s="129" t="s">
        <v>9</v>
      </c>
      <c r="J16" s="129" t="s">
        <v>9</v>
      </c>
      <c r="K16" s="129">
        <v>294</v>
      </c>
      <c r="L16" s="129">
        <v>71</v>
      </c>
      <c r="M16" s="129">
        <v>223</v>
      </c>
      <c r="N16" s="129">
        <v>171</v>
      </c>
      <c r="O16" s="129" t="s">
        <v>9</v>
      </c>
      <c r="P16" s="129" t="s">
        <v>9</v>
      </c>
      <c r="Q16" s="129">
        <v>644</v>
      </c>
      <c r="R16" s="129">
        <v>287</v>
      </c>
      <c r="S16" s="129">
        <v>357</v>
      </c>
    </row>
    <row r="17" spans="1:19">
      <c r="A17" s="194">
        <v>2007</v>
      </c>
      <c r="B17" s="129" t="s">
        <v>9</v>
      </c>
      <c r="C17" s="129" t="s">
        <v>9</v>
      </c>
      <c r="D17" s="129" t="s">
        <v>9</v>
      </c>
      <c r="E17" s="129" t="s">
        <v>9</v>
      </c>
      <c r="F17" s="129" t="s">
        <v>9</v>
      </c>
      <c r="G17" s="129" t="s">
        <v>9</v>
      </c>
      <c r="H17" s="129">
        <v>11</v>
      </c>
      <c r="I17" s="129" t="s">
        <v>9</v>
      </c>
      <c r="J17" s="129" t="s">
        <v>9</v>
      </c>
      <c r="K17" s="129">
        <v>228</v>
      </c>
      <c r="L17" s="129">
        <v>64</v>
      </c>
      <c r="M17" s="129">
        <v>164</v>
      </c>
      <c r="N17" s="129">
        <v>54</v>
      </c>
      <c r="O17" s="129" t="s">
        <v>9</v>
      </c>
      <c r="P17" s="129" t="s">
        <v>9</v>
      </c>
      <c r="Q17" s="129">
        <v>482</v>
      </c>
      <c r="R17" s="129">
        <v>170</v>
      </c>
      <c r="S17" s="129">
        <v>312</v>
      </c>
    </row>
    <row r="18" spans="1:19">
      <c r="A18" s="194">
        <v>2008</v>
      </c>
      <c r="B18" s="129">
        <v>4</v>
      </c>
      <c r="C18" s="129" t="s">
        <v>9</v>
      </c>
      <c r="D18" s="129" t="s">
        <v>9</v>
      </c>
      <c r="E18" s="129">
        <v>46</v>
      </c>
      <c r="F18" s="129" t="s">
        <v>9</v>
      </c>
      <c r="G18" s="129" t="s">
        <v>9</v>
      </c>
      <c r="H18" s="129" t="s">
        <v>9</v>
      </c>
      <c r="I18" s="129" t="s">
        <v>9</v>
      </c>
      <c r="J18" s="129" t="s">
        <v>9</v>
      </c>
      <c r="K18" s="129">
        <v>306</v>
      </c>
      <c r="L18" s="129">
        <v>105</v>
      </c>
      <c r="M18" s="129">
        <v>201</v>
      </c>
      <c r="N18" s="129">
        <v>50</v>
      </c>
      <c r="O18" s="129" t="s">
        <v>9</v>
      </c>
      <c r="P18" s="129" t="s">
        <v>9</v>
      </c>
      <c r="Q18" s="129">
        <v>504</v>
      </c>
      <c r="R18" s="129">
        <v>203</v>
      </c>
      <c r="S18" s="129">
        <v>301</v>
      </c>
    </row>
    <row r="19" spans="1:19">
      <c r="A19" s="194">
        <v>2009</v>
      </c>
      <c r="B19" s="129">
        <v>1</v>
      </c>
      <c r="C19" s="129" t="s">
        <v>9</v>
      </c>
      <c r="D19" s="129" t="s">
        <v>9</v>
      </c>
      <c r="E19" s="129">
        <v>18</v>
      </c>
      <c r="F19" s="129">
        <v>7</v>
      </c>
      <c r="G19" s="129">
        <v>11</v>
      </c>
      <c r="H19" s="129">
        <v>17</v>
      </c>
      <c r="I19" s="129" t="s">
        <v>9</v>
      </c>
      <c r="J19" s="129" t="s">
        <v>9</v>
      </c>
      <c r="K19" s="129">
        <v>290</v>
      </c>
      <c r="L19" s="129">
        <v>97</v>
      </c>
      <c r="M19" s="129">
        <v>193</v>
      </c>
      <c r="N19" s="129">
        <v>24</v>
      </c>
      <c r="O19" s="129" t="s">
        <v>9</v>
      </c>
      <c r="P19" s="129" t="s">
        <v>9</v>
      </c>
      <c r="Q19" s="129">
        <v>410</v>
      </c>
      <c r="R19" s="129">
        <v>160</v>
      </c>
      <c r="S19" s="129">
        <v>250</v>
      </c>
    </row>
    <row r="20" spans="1:19">
      <c r="A20" s="194">
        <v>2010</v>
      </c>
      <c r="B20" s="129">
        <v>1</v>
      </c>
      <c r="C20" s="129">
        <v>1</v>
      </c>
      <c r="D20" s="129" t="s">
        <v>76</v>
      </c>
      <c r="E20" s="129">
        <v>24</v>
      </c>
      <c r="F20" s="129">
        <v>15</v>
      </c>
      <c r="G20" s="129">
        <v>9</v>
      </c>
      <c r="H20" s="129">
        <v>18</v>
      </c>
      <c r="I20" s="129">
        <v>18</v>
      </c>
      <c r="J20" s="129">
        <v>0</v>
      </c>
      <c r="K20" s="129">
        <v>260</v>
      </c>
      <c r="L20" s="129">
        <v>135</v>
      </c>
      <c r="M20" s="129">
        <v>125</v>
      </c>
      <c r="N20" s="129">
        <v>49</v>
      </c>
      <c r="O20" s="129" t="s">
        <v>9</v>
      </c>
      <c r="P20" s="129" t="s">
        <v>9</v>
      </c>
      <c r="Q20" s="129">
        <v>387</v>
      </c>
      <c r="R20" s="129">
        <v>175</v>
      </c>
      <c r="S20" s="129">
        <v>211</v>
      </c>
    </row>
    <row r="21" spans="1:19">
      <c r="A21" s="194">
        <v>2011</v>
      </c>
      <c r="B21" s="129">
        <v>1</v>
      </c>
      <c r="C21" s="129" t="s">
        <v>9</v>
      </c>
      <c r="D21" s="129" t="s">
        <v>9</v>
      </c>
      <c r="E21" s="129">
        <v>15</v>
      </c>
      <c r="F21" s="129" t="s">
        <v>9</v>
      </c>
      <c r="G21" s="129" t="s">
        <v>9</v>
      </c>
      <c r="H21" s="129">
        <v>16</v>
      </c>
      <c r="I21" s="129" t="s">
        <v>9</v>
      </c>
      <c r="J21" s="129" t="s">
        <v>9</v>
      </c>
      <c r="K21" s="129">
        <v>208</v>
      </c>
      <c r="L21" s="129">
        <v>108</v>
      </c>
      <c r="M21" s="129">
        <v>100</v>
      </c>
      <c r="N21" s="129">
        <v>31</v>
      </c>
      <c r="O21" s="129" t="s">
        <v>9</v>
      </c>
      <c r="P21" s="129" t="s">
        <v>9</v>
      </c>
      <c r="Q21" s="129">
        <v>306</v>
      </c>
      <c r="R21" s="129">
        <v>138</v>
      </c>
      <c r="S21" s="129">
        <v>167</v>
      </c>
    </row>
    <row r="22" spans="1:19">
      <c r="A22" s="194">
        <v>2012</v>
      </c>
      <c r="B22" s="129" t="s">
        <v>9</v>
      </c>
      <c r="C22" s="129" t="s">
        <v>9</v>
      </c>
      <c r="D22" s="129">
        <v>0</v>
      </c>
      <c r="E22" s="129" t="s">
        <v>9</v>
      </c>
      <c r="F22" s="129" t="s">
        <v>9</v>
      </c>
      <c r="G22" s="129" t="s">
        <v>76</v>
      </c>
      <c r="H22" s="129">
        <v>14</v>
      </c>
      <c r="I22" s="129" t="s">
        <v>9</v>
      </c>
      <c r="J22" s="129" t="s">
        <v>9</v>
      </c>
      <c r="K22" s="129">
        <v>153</v>
      </c>
      <c r="L22" s="129">
        <v>70</v>
      </c>
      <c r="M22" s="129">
        <v>83</v>
      </c>
      <c r="N22" s="129">
        <v>26</v>
      </c>
      <c r="O22" s="129" t="s">
        <v>9</v>
      </c>
      <c r="P22" s="129" t="s">
        <v>9</v>
      </c>
      <c r="Q22" s="129">
        <v>268</v>
      </c>
      <c r="R22" s="129">
        <v>123</v>
      </c>
      <c r="S22" s="129">
        <v>144</v>
      </c>
    </row>
    <row r="23" spans="1:19">
      <c r="A23" s="194"/>
      <c r="B23" s="95"/>
      <c r="C23" s="95"/>
      <c r="D23" s="95"/>
      <c r="E23" s="95"/>
      <c r="F23" s="95"/>
      <c r="G23" s="95"/>
    </row>
    <row r="24" spans="1:19">
      <c r="A24" s="456" t="s">
        <v>11</v>
      </c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</row>
    <row r="25" spans="1:19">
      <c r="A25" s="193" t="s">
        <v>244</v>
      </c>
      <c r="B25" s="192" t="s">
        <v>10</v>
      </c>
      <c r="C25" s="192" t="s">
        <v>10</v>
      </c>
      <c r="D25" s="192" t="s">
        <v>10</v>
      </c>
      <c r="E25" s="192" t="s">
        <v>10</v>
      </c>
      <c r="F25" s="192" t="s">
        <v>10</v>
      </c>
      <c r="G25" s="192" t="s">
        <v>10</v>
      </c>
      <c r="H25" s="192" t="s">
        <v>10</v>
      </c>
      <c r="I25" s="192" t="s">
        <v>10</v>
      </c>
      <c r="J25" s="192" t="s">
        <v>10</v>
      </c>
      <c r="K25" s="192" t="s">
        <v>10</v>
      </c>
      <c r="L25" s="192" t="s">
        <v>10</v>
      </c>
      <c r="M25" s="192">
        <f t="shared" ref="M25" si="0">((M17/M7)^(1/10)-1)*100</f>
        <v>5.8366512381739621</v>
      </c>
      <c r="N25" s="192" t="s">
        <v>10</v>
      </c>
      <c r="O25" s="192" t="s">
        <v>10</v>
      </c>
      <c r="P25" s="192" t="s">
        <v>10</v>
      </c>
      <c r="Q25" s="192" t="s">
        <v>10</v>
      </c>
      <c r="R25" s="192" t="s">
        <v>10</v>
      </c>
      <c r="S25" s="192" t="s">
        <v>10</v>
      </c>
    </row>
    <row r="26" spans="1:19">
      <c r="A26" s="193" t="s">
        <v>70</v>
      </c>
      <c r="B26" s="192" t="s">
        <v>10</v>
      </c>
      <c r="C26" s="192" t="s">
        <v>10</v>
      </c>
      <c r="D26" s="192" t="s">
        <v>10</v>
      </c>
      <c r="E26" s="192" t="s">
        <v>10</v>
      </c>
      <c r="F26" s="192" t="s">
        <v>10</v>
      </c>
      <c r="G26" s="192" t="s">
        <v>10</v>
      </c>
      <c r="H26" s="192">
        <f t="shared" ref="H26:S26" si="1">((H22/H17)^(1/5)-1)*100</f>
        <v>4.9414522844583919</v>
      </c>
      <c r="I26" s="192" t="s">
        <v>10</v>
      </c>
      <c r="J26" s="192" t="s">
        <v>10</v>
      </c>
      <c r="K26" s="192">
        <f t="shared" si="1"/>
        <v>-7.6681968983397191</v>
      </c>
      <c r="L26" s="192">
        <f t="shared" si="1"/>
        <v>1.8084002320198911</v>
      </c>
      <c r="M26" s="192">
        <f t="shared" si="1"/>
        <v>-12.733642503324349</v>
      </c>
      <c r="N26" s="192">
        <f t="shared" si="1"/>
        <v>-13.599567267149549</v>
      </c>
      <c r="O26" s="192" t="s">
        <v>10</v>
      </c>
      <c r="P26" s="192" t="s">
        <v>10</v>
      </c>
      <c r="Q26" s="192">
        <f t="shared" si="1"/>
        <v>-11.076294610024062</v>
      </c>
      <c r="R26" s="192">
        <f t="shared" si="1"/>
        <v>-6.267276082813833</v>
      </c>
      <c r="S26" s="192">
        <f t="shared" si="1"/>
        <v>-14.327472495069038</v>
      </c>
    </row>
    <row r="27" spans="1:19">
      <c r="A27" s="193" t="s">
        <v>33</v>
      </c>
      <c r="B27" s="192" t="s">
        <v>10</v>
      </c>
      <c r="C27" s="192" t="s">
        <v>10</v>
      </c>
      <c r="D27" s="192" t="s">
        <v>10</v>
      </c>
      <c r="E27" s="192" t="s">
        <v>10</v>
      </c>
      <c r="F27" s="192" t="s">
        <v>10</v>
      </c>
      <c r="G27" s="192" t="s">
        <v>10</v>
      </c>
      <c r="H27" s="192" t="s">
        <v>10</v>
      </c>
      <c r="I27" s="192" t="s">
        <v>10</v>
      </c>
      <c r="J27" s="192" t="s">
        <v>10</v>
      </c>
      <c r="K27" s="192" t="s">
        <v>10</v>
      </c>
      <c r="L27" s="192" t="s">
        <v>10</v>
      </c>
      <c r="M27" s="192">
        <f t="shared" ref="M27" si="2">((M22/M7)^(1/15)-1)*100</f>
        <v>-0.75552402877986369</v>
      </c>
      <c r="N27" s="192" t="s">
        <v>10</v>
      </c>
      <c r="O27" s="192" t="s">
        <v>10</v>
      </c>
      <c r="P27" s="192" t="s">
        <v>10</v>
      </c>
      <c r="Q27" s="192" t="s">
        <v>10</v>
      </c>
      <c r="R27" s="192" t="s">
        <v>10</v>
      </c>
      <c r="S27" s="192" t="s">
        <v>10</v>
      </c>
    </row>
    <row r="28" spans="1:19">
      <c r="A28" s="142"/>
      <c r="B28" s="186"/>
      <c r="C28" s="186"/>
      <c r="D28" s="186"/>
      <c r="E28" s="186"/>
      <c r="F28" s="186"/>
      <c r="G28" s="186"/>
    </row>
    <row r="29" spans="1:19">
      <c r="A29" s="185" t="s">
        <v>41</v>
      </c>
      <c r="B29" s="95"/>
      <c r="C29" s="95"/>
      <c r="D29" s="95"/>
      <c r="E29" s="95"/>
      <c r="F29" s="95"/>
      <c r="G29" s="95"/>
    </row>
    <row r="30" spans="1:19">
      <c r="A30" s="191" t="s">
        <v>245</v>
      </c>
      <c r="B30" s="191"/>
      <c r="C30" s="191"/>
      <c r="D30" s="191"/>
      <c r="E30" s="191"/>
      <c r="F30" s="191"/>
      <c r="G30" s="191"/>
    </row>
  </sheetData>
  <mergeCells count="17">
    <mergeCell ref="A24:M24"/>
    <mergeCell ref="B5:D5"/>
    <mergeCell ref="E5:G5"/>
    <mergeCell ref="H5:J5"/>
    <mergeCell ref="K5:M5"/>
    <mergeCell ref="N5:P5"/>
    <mergeCell ref="Q5:S5"/>
    <mergeCell ref="A1:S1"/>
    <mergeCell ref="B2:G2"/>
    <mergeCell ref="H2:M2"/>
    <mergeCell ref="N2:S2"/>
    <mergeCell ref="B3:D3"/>
    <mergeCell ref="E3:G3"/>
    <mergeCell ref="H3:J3"/>
    <mergeCell ref="K3:M3"/>
    <mergeCell ref="N3:P3"/>
    <mergeCell ref="Q3:S3"/>
  </mergeCells>
  <printOptions gridLines="1"/>
  <pageMargins left="0.7" right="0.7" top="0.75" bottom="0.75" header="0.3" footer="0.3"/>
  <pageSetup scale="34"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9"/>
  <sheetViews>
    <sheetView view="pageBreakPreview" zoomScaleNormal="100" zoomScaleSheetLayoutView="100" workbookViewId="0">
      <selection activeCell="A24" sqref="A24:M24"/>
    </sheetView>
  </sheetViews>
  <sheetFormatPr defaultRowHeight="15"/>
  <cols>
    <col min="1" max="1" width="11.42578125" style="366" customWidth="1"/>
    <col min="2" max="2" width="12.85546875" style="366" bestFit="1" customWidth="1"/>
    <col min="3" max="3" width="12.85546875" style="366" customWidth="1"/>
    <col min="4" max="4" width="12.85546875" style="366" bestFit="1" customWidth="1"/>
    <col min="5" max="5" width="19.7109375" style="366" bestFit="1" customWidth="1"/>
    <col min="6" max="7" width="12.85546875" style="366" bestFit="1" customWidth="1"/>
    <col min="8" max="16384" width="9.140625" style="366"/>
  </cols>
  <sheetData>
    <row r="1" spans="1:7">
      <c r="A1" s="456" t="s">
        <v>613</v>
      </c>
      <c r="B1" s="456"/>
      <c r="C1" s="456"/>
      <c r="D1" s="456"/>
      <c r="E1" s="456"/>
      <c r="F1" s="456"/>
      <c r="G1" s="456"/>
    </row>
    <row r="2" spans="1:7">
      <c r="A2" s="365"/>
      <c r="B2" s="456" t="s">
        <v>246</v>
      </c>
      <c r="C2" s="456"/>
      <c r="D2" s="456"/>
      <c r="E2" s="456" t="s">
        <v>8</v>
      </c>
      <c r="F2" s="456"/>
      <c r="G2" s="456"/>
    </row>
    <row r="3" spans="1:7" ht="45" customHeight="1">
      <c r="A3" s="95"/>
      <c r="B3" s="469" t="s">
        <v>606</v>
      </c>
      <c r="C3" s="469"/>
      <c r="D3" s="469"/>
      <c r="E3" s="469" t="s">
        <v>606</v>
      </c>
      <c r="F3" s="469"/>
      <c r="G3" s="469"/>
    </row>
    <row r="4" spans="1:7" ht="45">
      <c r="A4" s="95"/>
      <c r="B4" s="435" t="s">
        <v>610</v>
      </c>
      <c r="C4" s="435" t="s">
        <v>552</v>
      </c>
      <c r="D4" s="435" t="s">
        <v>612</v>
      </c>
      <c r="E4" s="435" t="s">
        <v>610</v>
      </c>
      <c r="F4" s="435" t="s">
        <v>552</v>
      </c>
      <c r="G4" s="435" t="s">
        <v>612</v>
      </c>
    </row>
    <row r="5" spans="1:7">
      <c r="A5" s="95"/>
      <c r="B5" s="470" t="s">
        <v>226</v>
      </c>
      <c r="C5" s="470"/>
      <c r="D5" s="470"/>
      <c r="E5" s="470" t="s">
        <v>226</v>
      </c>
      <c r="F5" s="470"/>
      <c r="G5" s="470"/>
    </row>
    <row r="6" spans="1:7">
      <c r="A6" s="95"/>
      <c r="B6" s="367"/>
      <c r="C6" s="367"/>
      <c r="D6" s="367"/>
    </row>
    <row r="7" spans="1:7">
      <c r="A7" s="365">
        <v>1997</v>
      </c>
      <c r="B7" s="71">
        <f>('9A'!B7/'1A'!$B18)*100</f>
        <v>1.4384611035891859</v>
      </c>
      <c r="C7" s="71">
        <f>('9A'!C7/'1A'!$B18)*100</f>
        <v>1.2991262448056362</v>
      </c>
      <c r="D7" s="71">
        <f>('9A'!D7/'1A'!$B18)*100</f>
        <v>0.13933485878354956</v>
      </c>
      <c r="E7" s="71"/>
      <c r="F7" s="71"/>
      <c r="G7" s="71"/>
    </row>
    <row r="8" spans="1:7">
      <c r="A8" s="365">
        <v>1998</v>
      </c>
      <c r="B8" s="71">
        <f>('9A'!B8/'1A'!$B19)*100</f>
        <v>1.5165814366920529</v>
      </c>
      <c r="C8" s="71">
        <f>('9A'!C8/'1A'!$B19)*100</f>
        <v>1.3453898996993174</v>
      </c>
      <c r="D8" s="71">
        <f>('9A'!D8/'1A'!$B19)*100</f>
        <v>0.17119153699273534</v>
      </c>
      <c r="E8" s="71"/>
      <c r="F8" s="71"/>
      <c r="G8" s="71"/>
    </row>
    <row r="9" spans="1:7">
      <c r="A9" s="365">
        <v>1999</v>
      </c>
      <c r="B9" s="71">
        <f>('9A'!B9/'1A'!$B20)*100</f>
        <v>1.5559455919642509</v>
      </c>
      <c r="C9" s="71">
        <f>('9A'!C9/'1A'!$B20)*100</f>
        <v>1.4190468990402787</v>
      </c>
      <c r="D9" s="71">
        <f>('9A'!D9/'1A'!$B20)*100</f>
        <v>0.13689869292397219</v>
      </c>
      <c r="E9" s="71"/>
      <c r="F9" s="71"/>
      <c r="G9" s="71"/>
    </row>
    <row r="10" spans="1:7">
      <c r="A10" s="365">
        <v>2000</v>
      </c>
      <c r="B10" s="71">
        <f>('9A'!B10/'1A'!$B21)*100</f>
        <v>1.7400810126679045</v>
      </c>
      <c r="C10" s="71">
        <f>('9A'!C10/'1A'!$B21)*100</f>
        <v>1.5900575535856085</v>
      </c>
      <c r="D10" s="71">
        <f>('9A'!D10/'1A'!$B21)*100</f>
        <v>0.14954567736547339</v>
      </c>
      <c r="E10" s="71"/>
      <c r="F10" s="71"/>
      <c r="G10" s="71"/>
    </row>
    <row r="11" spans="1:7">
      <c r="A11" s="365">
        <v>2001</v>
      </c>
      <c r="B11" s="71">
        <f>('9A'!B11/'1A'!$B22)*100</f>
        <v>1.9271127659978873</v>
      </c>
      <c r="C11" s="71">
        <f>('9A'!C11/'1A'!$B22)*100</f>
        <v>1.7421433184075197</v>
      </c>
      <c r="D11" s="71">
        <f>('9A'!D11/'1A'!$B22)*100</f>
        <v>0.18496944759036732</v>
      </c>
      <c r="E11" s="71"/>
      <c r="F11" s="71"/>
      <c r="G11" s="71"/>
    </row>
    <row r="12" spans="1:7">
      <c r="A12" s="365">
        <v>2002</v>
      </c>
      <c r="B12" s="71">
        <f>('9A'!B12/'1A'!$B23)*100</f>
        <v>1.8552643628866716</v>
      </c>
      <c r="C12" s="71">
        <f>('9A'!C12/'1A'!$B23)*100</f>
        <v>1.7373279815233</v>
      </c>
      <c r="D12" s="71">
        <f>('9A'!D12/'1A'!$B23)*100</f>
        <v>0.11793638136337137</v>
      </c>
      <c r="E12" s="71"/>
      <c r="F12" s="71">
        <f>('9A'!I12/'1A'!$C23)*100</f>
        <v>3.1279152719091257</v>
      </c>
      <c r="G12" s="71"/>
    </row>
    <row r="13" spans="1:7">
      <c r="A13" s="365">
        <v>2003</v>
      </c>
      <c r="B13" s="71">
        <f>('9A'!B13/'1A'!$B24)*100</f>
        <v>1.7915708608339174</v>
      </c>
      <c r="C13" s="71">
        <f>('9A'!C13/'1A'!$B24)*100</f>
        <v>1.6688134899190874</v>
      </c>
      <c r="D13" s="71">
        <f>('9A'!D13/'1A'!$B24)*100</f>
        <v>0.12275737091482999</v>
      </c>
      <c r="E13" s="71"/>
      <c r="F13" s="71">
        <f>('9A'!I13/'1A'!$C24)*100</f>
        <v>3.4598643336350898</v>
      </c>
      <c r="G13" s="71"/>
    </row>
    <row r="14" spans="1:7">
      <c r="A14" s="365">
        <v>2004</v>
      </c>
      <c r="B14" s="71">
        <f>('9A'!B14/'1A'!$B25)*100</f>
        <v>1.7730336581299289</v>
      </c>
      <c r="C14" s="71">
        <f>('9A'!C14/'1A'!$B25)*100</f>
        <v>1.6480278176931218</v>
      </c>
      <c r="D14" s="71">
        <f>('9A'!D14/'1A'!$B25)*100</f>
        <v>0.12500584043680729</v>
      </c>
      <c r="E14" s="71"/>
      <c r="F14" s="71"/>
      <c r="G14" s="71"/>
    </row>
    <row r="15" spans="1:7">
      <c r="A15" s="365">
        <v>2005</v>
      </c>
      <c r="B15" s="71">
        <f>('9A'!B15/'1A'!$B26)*100</f>
        <v>1.650115389363918</v>
      </c>
      <c r="C15" s="71">
        <f>('9A'!C15/'1A'!$B26)*100</f>
        <v>1.5606846752161374</v>
      </c>
      <c r="D15" s="71">
        <f>('9A'!D15/'1A'!$B26)*100</f>
        <v>8.9430714147780685E-2</v>
      </c>
      <c r="E15" s="71"/>
      <c r="F15" s="71"/>
      <c r="G15" s="71"/>
    </row>
    <row r="16" spans="1:7">
      <c r="A16" s="365">
        <v>2006</v>
      </c>
      <c r="B16" s="71">
        <f>('9A'!B16/'1A'!$B27)*100</f>
        <v>1.8316796388519347</v>
      </c>
      <c r="C16" s="71">
        <f>('9A'!C16/'1A'!$B27)*100</f>
        <v>1.7444567989066044</v>
      </c>
      <c r="D16" s="71">
        <f>('9A'!D16/'1A'!$B27)*100</f>
        <v>8.7222839945330227E-2</v>
      </c>
      <c r="E16" s="71"/>
      <c r="F16" s="71"/>
      <c r="G16" s="71"/>
    </row>
    <row r="17" spans="1:7">
      <c r="A17" s="365">
        <v>2007</v>
      </c>
      <c r="B17" s="71">
        <f>('9A'!B17/'1A'!$B28)*100</f>
        <v>1.7106586193397297</v>
      </c>
      <c r="C17" s="71">
        <f>('9A'!C17/'1A'!$B28)*100</f>
        <v>1.6349564554844991</v>
      </c>
      <c r="D17" s="71">
        <f>('9A'!D17/'1A'!$B28)*100</f>
        <v>7.570216385523082E-2</v>
      </c>
      <c r="E17" s="71">
        <f>('9A'!H17/'1A'!$C28)*100</f>
        <v>3.2821420938539978</v>
      </c>
      <c r="F17" s="71"/>
      <c r="G17" s="71"/>
    </row>
    <row r="18" spans="1:7">
      <c r="A18" s="365">
        <v>2008</v>
      </c>
      <c r="B18" s="71">
        <f>('9A'!B18/'1A'!$B29)*100</f>
        <v>1.6319061133163744</v>
      </c>
      <c r="C18" s="71">
        <f>('9A'!C18/'1A'!$B29)*100</f>
        <v>1.5648461416177248</v>
      </c>
      <c r="D18" s="71">
        <f>('9A'!D18/'1A'!$B29)*100</f>
        <v>6.7059971698649509E-2</v>
      </c>
      <c r="E18" s="71">
        <f>('9A'!H18/'1A'!$C29)*100</f>
        <v>2.3014774519586703</v>
      </c>
      <c r="F18" s="71"/>
      <c r="G18" s="71"/>
    </row>
    <row r="19" spans="1:7">
      <c r="A19" s="365">
        <v>2009</v>
      </c>
      <c r="B19" s="71">
        <f>('9A'!B19/'1A'!$B30)*100</f>
        <v>1.6053780332853553</v>
      </c>
      <c r="C19" s="71">
        <f>('9A'!C19/'1A'!$B30)*100</f>
        <v>1.528770756944011</v>
      </c>
      <c r="D19" s="71">
        <f>('9A'!D19/'1A'!$B30)*100</f>
        <v>7.6607276341344482E-2</v>
      </c>
      <c r="E19" s="71">
        <f>('9A'!H19/'1A'!$C30)*100</f>
        <v>1.6572375564317958</v>
      </c>
      <c r="F19" s="71"/>
      <c r="G19" s="71"/>
    </row>
    <row r="20" spans="1:7">
      <c r="A20" s="365">
        <v>2010</v>
      </c>
      <c r="B20" s="71">
        <f>('9A'!B20/'1A'!$B31)*100</f>
        <v>1.541453250026694</v>
      </c>
      <c r="C20" s="71">
        <f>('9A'!C20/'1A'!$B31)*100</f>
        <v>1.4657395513478009</v>
      </c>
      <c r="D20" s="71">
        <f>('9A'!D20/'1A'!$B31)*100</f>
        <v>7.5713698678893021E-2</v>
      </c>
      <c r="E20" s="71"/>
      <c r="F20" s="71"/>
      <c r="G20" s="71"/>
    </row>
    <row r="21" spans="1:7">
      <c r="A21" s="365">
        <v>2011</v>
      </c>
      <c r="B21" s="71">
        <f>('9A'!B21/'1A'!$B32)*100</f>
        <v>1.5074644101863603</v>
      </c>
      <c r="C21" s="71">
        <f>('9A'!C21/'1A'!$B32)*100</f>
        <v>1.4319209071907817</v>
      </c>
      <c r="D21" s="71">
        <f>('9A'!D21/'1A'!$B32)*100</f>
        <v>7.5233898475104852E-2</v>
      </c>
      <c r="E21" s="71">
        <f>('9A'!H21/'1A'!$C32)*100</f>
        <v>2.4527376325421679</v>
      </c>
      <c r="F21" s="71"/>
      <c r="G21" s="71"/>
    </row>
    <row r="22" spans="1:7">
      <c r="A22" s="365"/>
      <c r="B22" s="95"/>
      <c r="C22" s="95"/>
      <c r="D22" s="95"/>
    </row>
    <row r="23" spans="1:7">
      <c r="A23" s="456" t="s">
        <v>11</v>
      </c>
      <c r="B23" s="456"/>
      <c r="C23" s="456"/>
      <c r="D23" s="456"/>
      <c r="E23" s="456"/>
      <c r="F23" s="456"/>
      <c r="G23" s="456"/>
    </row>
    <row r="24" spans="1:7">
      <c r="A24" s="367" t="s">
        <v>244</v>
      </c>
      <c r="B24" s="192">
        <f>((B17/B7)^(1/10)-1)*100</f>
        <v>1.7481502673573956</v>
      </c>
      <c r="C24" s="192">
        <f t="shared" ref="C24:D24" si="0">((C17/C7)^(1/10)-1)*100</f>
        <v>2.3258788552502407</v>
      </c>
      <c r="D24" s="192">
        <f t="shared" si="0"/>
        <v>-5.9183660888372902</v>
      </c>
      <c r="E24" s="129" t="s">
        <v>10</v>
      </c>
      <c r="F24" s="129" t="s">
        <v>10</v>
      </c>
      <c r="G24" s="129" t="s">
        <v>10</v>
      </c>
    </row>
    <row r="25" spans="1:7">
      <c r="A25" s="367" t="s">
        <v>28</v>
      </c>
      <c r="B25" s="192">
        <f>((B21/B17)^(1/4)-1)*100</f>
        <v>-3.1117906720656507</v>
      </c>
      <c r="C25" s="192">
        <f>((C21/C17)^(1/4)-1)*100</f>
        <v>-3.2606399882683434</v>
      </c>
      <c r="D25" s="192">
        <f>((D21/D17)^(1/4)-1)*100</f>
        <v>-0.15500069134429806</v>
      </c>
      <c r="E25" s="192">
        <f>((E21/E17)^(1/4)-1)*100</f>
        <v>-7.0234496325309976</v>
      </c>
      <c r="F25" s="129" t="s">
        <v>10</v>
      </c>
      <c r="G25" s="129" t="s">
        <v>10</v>
      </c>
    </row>
    <row r="26" spans="1:7">
      <c r="A26" s="367" t="s">
        <v>528</v>
      </c>
      <c r="B26" s="192">
        <f>((B21/B7)^(1/14)-1)*100</f>
        <v>0.33524051226938578</v>
      </c>
      <c r="C26" s="192">
        <f>((C21/C7)^(1/14)-1)*100</f>
        <v>0.69759993890889938</v>
      </c>
      <c r="D26" s="192">
        <f>((D21/D7)^(1/14)-1)*100</f>
        <v>-4.306505735654298</v>
      </c>
      <c r="E26" s="129" t="s">
        <v>10</v>
      </c>
      <c r="F26" s="129" t="s">
        <v>10</v>
      </c>
      <c r="G26" s="129" t="s">
        <v>10</v>
      </c>
    </row>
    <row r="27" spans="1:7">
      <c r="A27" s="142"/>
      <c r="B27" s="186"/>
      <c r="C27" s="186"/>
      <c r="D27" s="186"/>
    </row>
    <row r="28" spans="1:7">
      <c r="A28" s="185" t="s">
        <v>41</v>
      </c>
      <c r="B28" s="95"/>
      <c r="C28" s="95"/>
      <c r="D28" s="95"/>
    </row>
    <row r="29" spans="1:7">
      <c r="A29" s="191" t="s">
        <v>245</v>
      </c>
      <c r="B29" s="191"/>
      <c r="C29" s="191"/>
      <c r="D29" s="191"/>
    </row>
  </sheetData>
  <mergeCells count="8">
    <mergeCell ref="B5:D5"/>
    <mergeCell ref="E5:G5"/>
    <mergeCell ref="A23:G23"/>
    <mergeCell ref="A1:G1"/>
    <mergeCell ref="B2:D2"/>
    <mergeCell ref="E2:G2"/>
    <mergeCell ref="B3:D3"/>
    <mergeCell ref="E3:G3"/>
  </mergeCells>
  <printOptions gridLines="1"/>
  <pageMargins left="0.7" right="0.7" top="0.75" bottom="0.75" header="0.3" footer="0.3"/>
  <pageSetup scale="94"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9"/>
  <sheetViews>
    <sheetView view="pageBreakPreview" topLeftCell="A7" zoomScaleNormal="100" zoomScaleSheetLayoutView="100" workbookViewId="0">
      <selection activeCell="A24" sqref="A24:M24"/>
    </sheetView>
  </sheetViews>
  <sheetFormatPr defaultRowHeight="15"/>
  <cols>
    <col min="1" max="1" width="11.42578125" style="366" customWidth="1"/>
    <col min="2" max="2" width="12.85546875" style="366" bestFit="1" customWidth="1"/>
    <col min="3" max="3" width="16.7109375" style="366" bestFit="1" customWidth="1"/>
    <col min="4" max="4" width="16.140625" style="366" customWidth="1"/>
    <col min="5" max="5" width="12.85546875" style="366" bestFit="1" customWidth="1"/>
    <col min="6" max="6" width="16.7109375" style="366" bestFit="1" customWidth="1"/>
    <col min="7" max="7" width="12.85546875" style="366" bestFit="1" customWidth="1"/>
    <col min="8" max="8" width="14.140625" style="366" customWidth="1"/>
    <col min="9" max="10" width="12.85546875" style="366" bestFit="1" customWidth="1"/>
    <col min="11" max="16384" width="9.140625" style="366"/>
  </cols>
  <sheetData>
    <row r="1" spans="1:10">
      <c r="A1" s="456" t="s">
        <v>529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365"/>
      <c r="B2" s="456" t="s">
        <v>247</v>
      </c>
      <c r="C2" s="456"/>
      <c r="D2" s="456"/>
      <c r="E2" s="456" t="s">
        <v>248</v>
      </c>
      <c r="F2" s="456"/>
      <c r="G2" s="456"/>
      <c r="H2" s="456" t="s">
        <v>249</v>
      </c>
      <c r="I2" s="456"/>
      <c r="J2" s="456"/>
    </row>
    <row r="3" spans="1:10" ht="45" customHeight="1">
      <c r="A3" s="95"/>
      <c r="B3" s="469" t="s">
        <v>606</v>
      </c>
      <c r="C3" s="469"/>
      <c r="D3" s="469"/>
      <c r="E3" s="469" t="s">
        <v>606</v>
      </c>
      <c r="F3" s="469"/>
      <c r="G3" s="469"/>
      <c r="H3" s="469" t="s">
        <v>606</v>
      </c>
      <c r="I3" s="469"/>
      <c r="J3" s="469"/>
    </row>
    <row r="4" spans="1:10" ht="45">
      <c r="A4" s="95"/>
      <c r="B4" s="441" t="s">
        <v>610</v>
      </c>
      <c r="C4" s="441" t="s">
        <v>552</v>
      </c>
      <c r="D4" s="441" t="s">
        <v>612</v>
      </c>
      <c r="E4" s="441" t="s">
        <v>610</v>
      </c>
      <c r="F4" s="441" t="s">
        <v>552</v>
      </c>
      <c r="G4" s="441" t="s">
        <v>612</v>
      </c>
      <c r="H4" s="441" t="s">
        <v>610</v>
      </c>
      <c r="I4" s="441" t="s">
        <v>552</v>
      </c>
      <c r="J4" s="441" t="s">
        <v>612</v>
      </c>
    </row>
    <row r="5" spans="1:10">
      <c r="A5" s="95"/>
      <c r="B5" s="470" t="s">
        <v>226</v>
      </c>
      <c r="C5" s="470"/>
      <c r="D5" s="470"/>
      <c r="E5" s="470" t="s">
        <v>226</v>
      </c>
      <c r="F5" s="470"/>
      <c r="G5" s="470"/>
      <c r="H5" s="470" t="s">
        <v>226</v>
      </c>
      <c r="I5" s="470"/>
      <c r="J5" s="470"/>
    </row>
    <row r="6" spans="1:10">
      <c r="A6" s="95"/>
      <c r="B6" s="367"/>
      <c r="C6" s="367"/>
      <c r="D6" s="367"/>
    </row>
    <row r="7" spans="1:10">
      <c r="A7" s="365">
        <v>1997</v>
      </c>
      <c r="B7" s="71"/>
      <c r="C7" s="71"/>
      <c r="D7" s="71"/>
      <c r="E7" s="71"/>
      <c r="F7" s="71"/>
      <c r="G7" s="71"/>
      <c r="H7" s="71">
        <f>('9B'!N7/'1A'!$I18)*100</f>
        <v>2.556237218813906</v>
      </c>
      <c r="I7" s="71">
        <f>('9B'!O7/'1A'!$I18)*100</f>
        <v>2.223926380368098</v>
      </c>
      <c r="J7" s="71">
        <f>('9B'!P7/'1A'!$I18)*100</f>
        <v>0.33231083844580778</v>
      </c>
    </row>
    <row r="8" spans="1:10">
      <c r="A8" s="365">
        <v>1998</v>
      </c>
      <c r="B8" s="71"/>
      <c r="C8" s="71"/>
      <c r="D8" s="71"/>
      <c r="E8" s="71"/>
      <c r="F8" s="71"/>
      <c r="G8" s="71">
        <f>('9B'!J8/'1A'!$E19)*100</f>
        <v>4.0283596519497263E-2</v>
      </c>
      <c r="H8" s="71">
        <f>('9B'!N8/'1A'!$I19)*100</f>
        <v>2.5032675394873838</v>
      </c>
      <c r="I8" s="71">
        <f>('9B'!O8/'1A'!$I19)*100</f>
        <v>2.1931281983119559</v>
      </c>
      <c r="J8" s="71">
        <f>('9B'!P8/'1A'!$I19)*100</f>
        <v>0.31013934117542807</v>
      </c>
    </row>
    <row r="9" spans="1:10">
      <c r="A9" s="365">
        <v>1999</v>
      </c>
      <c r="B9" s="71"/>
      <c r="C9" s="71"/>
      <c r="D9" s="71"/>
      <c r="E9" s="71">
        <f>('9B'!H9/'1A'!$E20)*100</f>
        <v>0.76982294072363355</v>
      </c>
      <c r="F9" s="71"/>
      <c r="G9" s="71"/>
      <c r="H9" s="71">
        <f>('9B'!N9/'1A'!$I20)*100</f>
        <v>1.9500686135252909</v>
      </c>
      <c r="I9" s="71"/>
      <c r="J9" s="71"/>
    </row>
    <row r="10" spans="1:10">
      <c r="A10" s="365">
        <v>2000</v>
      </c>
      <c r="B10" s="71"/>
      <c r="C10" s="71"/>
      <c r="D10" s="71"/>
      <c r="E10" s="71"/>
      <c r="F10" s="71"/>
      <c r="G10" s="71">
        <f>('9B'!J10/'1A'!$E21)*100</f>
        <v>0</v>
      </c>
      <c r="H10" s="71">
        <f>('9B'!N10/'1A'!$I21)*100</f>
        <v>3.2222313438962322</v>
      </c>
      <c r="I10" s="71">
        <f>('9B'!O10/'1A'!$I21)*100</f>
        <v>3.0785649782448079</v>
      </c>
      <c r="J10" s="71">
        <f>('9B'!P10/'1A'!$I21)*100</f>
        <v>0.14366636565142438</v>
      </c>
    </row>
    <row r="11" spans="1:10">
      <c r="A11" s="365">
        <v>2001</v>
      </c>
      <c r="B11" s="71"/>
      <c r="C11" s="71"/>
      <c r="D11" s="71"/>
      <c r="E11" s="71">
        <f>('9B'!H11/'1A'!$E22)*100</f>
        <v>0.69541029207232263</v>
      </c>
      <c r="F11" s="71"/>
      <c r="G11" s="71"/>
      <c r="H11" s="71">
        <f>('9B'!N11/'1A'!$I22)*100</f>
        <v>4.4895798615876252</v>
      </c>
      <c r="I11" s="71">
        <f>('9B'!O11/'1A'!$I22)*100</f>
        <v>4.411159252651597</v>
      </c>
      <c r="J11" s="71">
        <f>('9B'!P11/'1A'!$I22)*100</f>
        <v>7.8420608936028396E-2</v>
      </c>
    </row>
    <row r="12" spans="1:10">
      <c r="A12" s="365">
        <v>2002</v>
      </c>
      <c r="B12" s="71"/>
      <c r="C12" s="71">
        <f>('9B'!C12/'1A'!$D23)*100</f>
        <v>0.6615944426066821</v>
      </c>
      <c r="D12" s="71"/>
      <c r="E12" s="71"/>
      <c r="F12" s="71">
        <f>('9B'!I12/'1A'!$E23)*100</f>
        <v>0.83018435818161007</v>
      </c>
      <c r="G12" s="71"/>
      <c r="H12" s="71">
        <f>('9B'!N12/'1A'!$I23)*100</f>
        <v>5.7154521330883847</v>
      </c>
      <c r="I12" s="71">
        <f>('9B'!O12/'1A'!$I23)*100</f>
        <v>5.624730670658411</v>
      </c>
      <c r="J12" s="71">
        <f>('9B'!P12/'1A'!$I23)*100</f>
        <v>9.0721462429974364E-2</v>
      </c>
    </row>
    <row r="13" spans="1:10">
      <c r="A13" s="365">
        <v>2003</v>
      </c>
      <c r="B13" s="71"/>
      <c r="C13" s="71">
        <f>('9B'!C13/'1A'!$D24)*100</f>
        <v>0.91024940833788459</v>
      </c>
      <c r="D13" s="71"/>
      <c r="E13" s="71">
        <f>('9B'!H13/'1A'!$E24)*100</f>
        <v>1.0390245393148549</v>
      </c>
      <c r="F13" s="71">
        <f>('9B'!I13/'1A'!$E24)*100</f>
        <v>0.97790544876692231</v>
      </c>
      <c r="G13" s="71">
        <f>('9B'!J13/'1A'!$E24)*100</f>
        <v>6.1119090547932645E-2</v>
      </c>
      <c r="H13" s="71">
        <f>('9B'!N13/'1A'!$I24)*100</f>
        <v>6.4717032223124829</v>
      </c>
      <c r="I13" s="71">
        <f>('9B'!O13/'1A'!$I24)*100</f>
        <v>6.4175467099918766</v>
      </c>
      <c r="J13" s="71">
        <f>('9B'!P13/'1A'!$I24)*100</f>
        <v>5.4156512320606552E-2</v>
      </c>
    </row>
    <row r="14" spans="1:10">
      <c r="A14" s="365">
        <v>2004</v>
      </c>
      <c r="B14" s="71"/>
      <c r="C14" s="71"/>
      <c r="D14" s="71"/>
      <c r="E14" s="71"/>
      <c r="F14" s="71">
        <f>('9B'!I14/'1A'!$E25)*100</f>
        <v>0.93734022609782419</v>
      </c>
      <c r="G14" s="71"/>
      <c r="H14" s="71">
        <f>('9B'!N14/'1A'!$I25)*100</f>
        <v>6.0169516040383009</v>
      </c>
      <c r="I14" s="71">
        <f>('9B'!O14/'1A'!$I25)*100</f>
        <v>5.8723133443258417</v>
      </c>
      <c r="J14" s="71">
        <f>('9B'!P14/'1A'!$I25)*100</f>
        <v>0.14463825971245914</v>
      </c>
    </row>
    <row r="15" spans="1:10">
      <c r="A15" s="365">
        <v>2005</v>
      </c>
      <c r="B15" s="71"/>
      <c r="C15" s="71"/>
      <c r="D15" s="71"/>
      <c r="E15" s="71">
        <f>('9B'!H15/'1A'!$E26)*100</f>
        <v>1.1820330969267139</v>
      </c>
      <c r="F15" s="71">
        <f>('9B'!I15/'1A'!$E26)*100</f>
        <v>1.1820330969267139</v>
      </c>
      <c r="G15" s="71">
        <f>('9B'!J15/'1A'!$E26)*100</f>
        <v>0</v>
      </c>
      <c r="H15" s="71">
        <f>('9B'!N15/'1A'!$I26)*100</f>
        <v>4.5395754609317542</v>
      </c>
      <c r="I15" s="71">
        <f>('9B'!O15/'1A'!$I26)*100</f>
        <v>4.4127716771068446</v>
      </c>
      <c r="J15" s="71">
        <f>('9B'!P15/'1A'!$I26)*100</f>
        <v>0.12680378382490934</v>
      </c>
    </row>
    <row r="16" spans="1:10">
      <c r="A16" s="365">
        <v>2006</v>
      </c>
      <c r="B16" s="71"/>
      <c r="C16" s="71">
        <f>('9B'!C16/'1A'!$D27)*100</f>
        <v>0.78481735159817367</v>
      </c>
      <c r="D16" s="71"/>
      <c r="E16" s="71">
        <f>('9B'!H16/'1A'!$E27)*100</f>
        <v>1.7605026062342501</v>
      </c>
      <c r="F16" s="71"/>
      <c r="G16" s="71"/>
      <c r="H16" s="71">
        <f>('9B'!N16/'1A'!$I27)*100</f>
        <v>7.8967591488459608</v>
      </c>
      <c r="I16" s="71">
        <f>('9B'!O16/'1A'!$I27)*100</f>
        <v>7.8437607652966594</v>
      </c>
      <c r="J16" s="71">
        <f>('9B'!P16/'1A'!$I27)*100</f>
        <v>5.2998383549301746E-2</v>
      </c>
    </row>
    <row r="17" spans="1:10">
      <c r="A17" s="365">
        <v>2007</v>
      </c>
      <c r="B17" s="71">
        <f>('9B'!B17/'1A'!$D28)*100</f>
        <v>1.1487650775416427</v>
      </c>
      <c r="C17" s="71"/>
      <c r="D17" s="71"/>
      <c r="E17" s="71">
        <f>('9B'!H17/'1A'!$E28)*100</f>
        <v>1.9118966795427055</v>
      </c>
      <c r="F17" s="71">
        <f>('9B'!I17/'1A'!$E28)*100</f>
        <v>1.8728783799602011</v>
      </c>
      <c r="G17" s="71">
        <f>('9B'!J17/'1A'!$E28)*100</f>
        <v>3.901829958250419E-2</v>
      </c>
      <c r="H17" s="71">
        <f>('9B'!N17/'1A'!$I28)*100</f>
        <v>5.0044912100603103</v>
      </c>
      <c r="I17" s="71"/>
      <c r="J17" s="71"/>
    </row>
    <row r="18" spans="1:10">
      <c r="A18" s="365">
        <v>2008</v>
      </c>
      <c r="B18" s="71">
        <f>('9B'!B18/'1A'!$D29)*100</f>
        <v>1.2985479872506196</v>
      </c>
      <c r="C18" s="71">
        <f>('9B'!C18/'1A'!$D29)*100</f>
        <v>1.1804981702278361</v>
      </c>
      <c r="D18" s="71"/>
      <c r="E18" s="71">
        <f>('9B'!H18/'1A'!$E29)*100</f>
        <v>2.9352095653299952</v>
      </c>
      <c r="F18" s="71"/>
      <c r="G18" s="71"/>
      <c r="H18" s="71">
        <f>('9B'!N18/'1A'!$I29)*100</f>
        <v>2.0986358866736623</v>
      </c>
      <c r="I18" s="71">
        <f>('9B'!O18/'1A'!$I29)*100</f>
        <v>2.0658447009443863</v>
      </c>
      <c r="J18" s="71">
        <f>('9B'!P18/'1A'!$I29)*100</f>
        <v>3.2791185729275973E-2</v>
      </c>
    </row>
    <row r="19" spans="1:10">
      <c r="A19" s="365">
        <v>2009</v>
      </c>
      <c r="B19" s="71">
        <f>('9B'!B19/'1A'!$D30)*100</f>
        <v>0.23786869647954328</v>
      </c>
      <c r="C19" s="71"/>
      <c r="D19" s="71"/>
      <c r="E19" s="71">
        <f>('9B'!H19/'1A'!$E30)*100</f>
        <v>3.1477703293500436</v>
      </c>
      <c r="F19" s="71">
        <f>('9B'!I19/'1A'!$E30)*100</f>
        <v>3.0894782862139318</v>
      </c>
      <c r="G19" s="71">
        <f>('9B'!J19/'1A'!$E30)*100</f>
        <v>5.8292043136111922E-2</v>
      </c>
      <c r="H19" s="71">
        <f>('9B'!N19/'1A'!$I30)*100</f>
        <v>1.1509616098611419</v>
      </c>
      <c r="I19" s="71"/>
      <c r="J19" s="71"/>
    </row>
    <row r="20" spans="1:10">
      <c r="A20" s="365">
        <v>2010</v>
      </c>
      <c r="B20" s="71"/>
      <c r="C20" s="71"/>
      <c r="D20" s="71"/>
      <c r="E20" s="71">
        <f>('9B'!H20/'1A'!$E31)*100</f>
        <v>2.3051356277474002</v>
      </c>
      <c r="F20" s="71"/>
      <c r="G20" s="71"/>
      <c r="H20" s="71">
        <f>('9B'!N20/'1A'!$I31)*100</f>
        <v>2.8504704993474825</v>
      </c>
      <c r="I20" s="71"/>
      <c r="J20" s="71"/>
    </row>
    <row r="21" spans="1:10">
      <c r="A21" s="365">
        <v>2011</v>
      </c>
      <c r="B21" s="71">
        <f>('9B'!B21/'1A'!$D32)*100</f>
        <v>0.23166917641607784</v>
      </c>
      <c r="C21" s="71">
        <f>('9B'!C21/'1A'!$D32)*100</f>
        <v>0.23166917641607784</v>
      </c>
      <c r="D21" s="71">
        <f>('9B'!D21/'1A'!$D32)*100</f>
        <v>0</v>
      </c>
      <c r="E21" s="71">
        <f>('9B'!H21/'1A'!$E32)*100</f>
        <v>2.0641562064156207</v>
      </c>
      <c r="F21" s="71">
        <f>('9B'!I21/'1A'!$E32)*100</f>
        <v>2.0641562064156207</v>
      </c>
      <c r="G21" s="71">
        <f>('9B'!J21/'1A'!$E32)*100</f>
        <v>0</v>
      </c>
      <c r="H21" s="71">
        <f>('9B'!N21/'1A'!$I32)*100</f>
        <v>3.4412343064589317</v>
      </c>
      <c r="I21" s="71"/>
      <c r="J21" s="71"/>
    </row>
    <row r="22" spans="1:10">
      <c r="A22" s="365"/>
      <c r="B22" s="95"/>
      <c r="C22" s="95"/>
      <c r="D22" s="95"/>
    </row>
    <row r="23" spans="1:10">
      <c r="A23" s="456" t="s">
        <v>11</v>
      </c>
      <c r="B23" s="456"/>
      <c r="C23" s="456"/>
      <c r="D23" s="456"/>
      <c r="E23" s="456"/>
      <c r="F23" s="456"/>
      <c r="G23" s="456"/>
    </row>
    <row r="24" spans="1:10">
      <c r="A24" s="367" t="s">
        <v>244</v>
      </c>
      <c r="B24" s="192" t="s">
        <v>10</v>
      </c>
      <c r="C24" s="192" t="s">
        <v>10</v>
      </c>
      <c r="D24" s="192" t="s">
        <v>10</v>
      </c>
      <c r="E24" s="192" t="s">
        <v>10</v>
      </c>
      <c r="F24" s="192" t="s">
        <v>10</v>
      </c>
      <c r="G24" s="192" t="s">
        <v>10</v>
      </c>
      <c r="H24" s="192">
        <f>((H17/H7)^(1/10)-1)*100</f>
        <v>6.9487905632288571</v>
      </c>
      <c r="I24" s="192" t="s">
        <v>10</v>
      </c>
      <c r="J24" s="192" t="s">
        <v>10</v>
      </c>
    </row>
    <row r="25" spans="1:10">
      <c r="A25" s="367" t="s">
        <v>28</v>
      </c>
      <c r="B25" s="192"/>
      <c r="C25" s="192"/>
      <c r="D25" s="192"/>
      <c r="E25" s="192"/>
      <c r="F25" s="192"/>
      <c r="G25" s="192"/>
      <c r="H25" s="192">
        <f>((H17/H10)^(1/7)-1)*100</f>
        <v>6.4914510347641174</v>
      </c>
      <c r="I25" s="192"/>
      <c r="J25" s="192"/>
    </row>
    <row r="26" spans="1:10">
      <c r="A26" s="367" t="s">
        <v>364</v>
      </c>
      <c r="B26" s="192" t="s">
        <v>10</v>
      </c>
      <c r="C26" s="192" t="s">
        <v>10</v>
      </c>
      <c r="D26" s="192" t="s">
        <v>10</v>
      </c>
      <c r="E26" s="192" t="s">
        <v>10</v>
      </c>
      <c r="F26" s="192" t="s">
        <v>10</v>
      </c>
      <c r="G26" s="192" t="s">
        <v>10</v>
      </c>
      <c r="H26" s="192">
        <f>((H21/H10)^(1/11)-1)*100</f>
        <v>0.59957332047204659</v>
      </c>
      <c r="I26" s="192" t="s">
        <v>10</v>
      </c>
      <c r="J26" s="192" t="s">
        <v>10</v>
      </c>
    </row>
    <row r="27" spans="1:10">
      <c r="A27" s="142"/>
      <c r="B27" s="186"/>
      <c r="C27" s="186"/>
      <c r="D27" s="186"/>
    </row>
    <row r="28" spans="1:10">
      <c r="A28" s="185" t="s">
        <v>41</v>
      </c>
      <c r="B28" s="95"/>
      <c r="C28" s="95"/>
      <c r="D28" s="95"/>
    </row>
    <row r="29" spans="1:10">
      <c r="A29" s="191" t="s">
        <v>245</v>
      </c>
      <c r="B29" s="191"/>
      <c r="C29" s="191"/>
      <c r="D29" s="191"/>
    </row>
  </sheetData>
  <mergeCells count="11">
    <mergeCell ref="A23:G23"/>
    <mergeCell ref="B5:D5"/>
    <mergeCell ref="E5:G5"/>
    <mergeCell ref="H5:J5"/>
    <mergeCell ref="A1:J1"/>
    <mergeCell ref="B2:D2"/>
    <mergeCell ref="E2:G2"/>
    <mergeCell ref="H2:J2"/>
    <mergeCell ref="B3:D3"/>
    <mergeCell ref="E3:G3"/>
    <mergeCell ref="H3:J3"/>
  </mergeCells>
  <printOptions gridLines="1"/>
  <pageMargins left="0.7" right="0.7" top="0.75" bottom="0.75" header="0.3" footer="0.3"/>
  <pageSetup scale="64"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0"/>
  <sheetViews>
    <sheetView view="pageBreakPreview" zoomScaleNormal="100" zoomScaleSheetLayoutView="100" workbookViewId="0">
      <selection activeCell="A24" sqref="A24:M24"/>
    </sheetView>
  </sheetViews>
  <sheetFormatPr defaultRowHeight="15"/>
  <cols>
    <col min="1" max="1" width="11.42578125" style="366" customWidth="1"/>
    <col min="2" max="2" width="13.85546875" style="366" customWidth="1"/>
    <col min="3" max="3" width="13.28515625" style="366" customWidth="1"/>
    <col min="4" max="4" width="21" style="366" customWidth="1"/>
    <col min="5" max="5" width="17.28515625" style="366" customWidth="1"/>
    <col min="6" max="6" width="13.85546875" style="366" customWidth="1"/>
    <col min="7" max="7" width="21.5703125" style="366" customWidth="1"/>
    <col min="8" max="16384" width="9.140625" style="366"/>
  </cols>
  <sheetData>
    <row r="1" spans="1:7">
      <c r="A1" s="456" t="s">
        <v>530</v>
      </c>
      <c r="B1" s="456"/>
      <c r="C1" s="456"/>
      <c r="D1" s="456"/>
      <c r="E1" s="456"/>
      <c r="F1" s="456"/>
      <c r="G1" s="456"/>
    </row>
    <row r="2" spans="1:7">
      <c r="A2" s="365"/>
      <c r="B2" s="456" t="s">
        <v>246</v>
      </c>
      <c r="C2" s="456"/>
      <c r="D2" s="456"/>
      <c r="E2" s="456" t="s">
        <v>8</v>
      </c>
      <c r="F2" s="456"/>
      <c r="G2" s="456"/>
    </row>
    <row r="3" spans="1:7" ht="45" customHeight="1">
      <c r="A3" s="95"/>
      <c r="B3" s="469" t="s">
        <v>606</v>
      </c>
      <c r="C3" s="469"/>
      <c r="D3" s="469"/>
      <c r="E3" s="469" t="s">
        <v>606</v>
      </c>
      <c r="F3" s="469"/>
      <c r="G3" s="469"/>
    </row>
    <row r="4" spans="1:7" ht="45">
      <c r="A4" s="95"/>
      <c r="B4" s="435" t="s">
        <v>610</v>
      </c>
      <c r="C4" s="435" t="s">
        <v>552</v>
      </c>
      <c r="D4" s="435" t="s">
        <v>612</v>
      </c>
      <c r="E4" s="435" t="s">
        <v>610</v>
      </c>
      <c r="F4" s="435" t="s">
        <v>552</v>
      </c>
      <c r="G4" s="435" t="s">
        <v>612</v>
      </c>
    </row>
    <row r="5" spans="1:7">
      <c r="A5" s="95"/>
      <c r="B5" s="470" t="s">
        <v>226</v>
      </c>
      <c r="C5" s="470"/>
      <c r="D5" s="470"/>
      <c r="E5" s="470" t="s">
        <v>226</v>
      </c>
      <c r="F5" s="470"/>
      <c r="G5" s="470"/>
    </row>
    <row r="6" spans="1:7">
      <c r="A6" s="95"/>
      <c r="B6" s="367"/>
      <c r="C6" s="367"/>
      <c r="D6" s="367"/>
    </row>
    <row r="7" spans="1:7">
      <c r="A7" s="365">
        <v>1997</v>
      </c>
      <c r="B7" s="236">
        <f>'9A'!E7/'4A'!$B4</f>
        <v>8.374862183020948</v>
      </c>
      <c r="C7" s="236">
        <f>'9A'!F7/'4A'!$B4</f>
        <v>4.8417073554890537</v>
      </c>
      <c r="D7" s="236">
        <f>'9A'!G7/'4A'!$B4</f>
        <v>3.5331548275318947</v>
      </c>
      <c r="E7" s="236">
        <f>'9A'!K7/'4A'!$C4</f>
        <v>9.0683229813664603</v>
      </c>
      <c r="F7" s="236"/>
      <c r="G7" s="236"/>
    </row>
    <row r="8" spans="1:7">
      <c r="A8" s="365">
        <v>1998</v>
      </c>
      <c r="B8" s="236">
        <f>'9A'!E8/'4A'!$B5</f>
        <v>8.5925653068115544</v>
      </c>
      <c r="C8" s="236">
        <f>'9A'!F8/'4A'!$B5</f>
        <v>5.065844000368358</v>
      </c>
      <c r="D8" s="236">
        <f>'9A'!G8/'4A'!$B5</f>
        <v>3.5267213064431964</v>
      </c>
      <c r="E8" s="236"/>
      <c r="F8" s="236"/>
      <c r="G8" s="236">
        <f>'9A'!M8/'4A'!$C5</f>
        <v>6.4728682170542644</v>
      </c>
    </row>
    <row r="9" spans="1:7">
      <c r="A9" s="365">
        <v>1999</v>
      </c>
      <c r="B9" s="236">
        <f>'9A'!E9/'4A'!$B6</f>
        <v>9.1724283051764566</v>
      </c>
      <c r="C9" s="236">
        <f>'9A'!F9/'4A'!$B6</f>
        <v>5.3760596404737573</v>
      </c>
      <c r="D9" s="236">
        <f>'9A'!G9/'4A'!$B6</f>
        <v>3.7963686647026997</v>
      </c>
      <c r="E9" s="236"/>
      <c r="F9" s="236"/>
      <c r="G9" s="236"/>
    </row>
    <row r="10" spans="1:7">
      <c r="A10" s="365">
        <v>2000</v>
      </c>
      <c r="B10" s="236">
        <f>'9A'!E10/'4A'!$B7</f>
        <v>10.319270909892694</v>
      </c>
      <c r="C10" s="236">
        <f>'9A'!F10/'4A'!$B7</f>
        <v>6.1096575040423344</v>
      </c>
      <c r="D10" s="236">
        <f>'9A'!G10/'4A'!$B7</f>
        <v>4.2096134058503605</v>
      </c>
      <c r="E10" s="236"/>
      <c r="F10" s="236"/>
      <c r="G10" s="236"/>
    </row>
    <row r="11" spans="1:7">
      <c r="A11" s="365">
        <v>2001</v>
      </c>
      <c r="B11" s="236">
        <f>'9A'!E11/'4A'!$B8</f>
        <v>11.2033484478549</v>
      </c>
      <c r="C11" s="236">
        <f>'9A'!F11/'4A'!$B8</f>
        <v>6.3559469829089643</v>
      </c>
      <c r="D11" s="236">
        <f>'9A'!G11/'4A'!$B8</f>
        <v>4.8474014649459365</v>
      </c>
      <c r="E11" s="236">
        <f>'9A'!K11/'4A'!$C8</f>
        <v>13.198458574181117</v>
      </c>
      <c r="F11" s="236"/>
      <c r="G11" s="236"/>
    </row>
    <row r="12" spans="1:7">
      <c r="A12" s="365">
        <v>2002</v>
      </c>
      <c r="B12" s="236">
        <f>'9A'!E12/'4A'!$B9</f>
        <v>11.364771228995428</v>
      </c>
      <c r="C12" s="236">
        <f>'9A'!F12/'4A'!$B9</f>
        <v>6.4210171963980143</v>
      </c>
      <c r="D12" s="236">
        <f>'9A'!G12/'4A'!$B9</f>
        <v>4.9437540325974139</v>
      </c>
      <c r="E12" s="236">
        <f>'9A'!K12/'4A'!$C9</f>
        <v>12.73191489361702</v>
      </c>
      <c r="F12" s="236">
        <f>'9A'!L12/'4A'!$C9</f>
        <v>5.0723404255319142</v>
      </c>
      <c r="G12" s="236">
        <f>'9A'!M12/'4A'!$C9</f>
        <v>7.6595744680851059</v>
      </c>
    </row>
    <row r="13" spans="1:7">
      <c r="A13" s="365">
        <v>2003</v>
      </c>
      <c r="B13" s="236">
        <f>'9A'!E13/'4A'!$B10</f>
        <v>11.812757258487803</v>
      </c>
      <c r="C13" s="236">
        <f>'9A'!F13/'4A'!$B10</f>
        <v>6.4211718555761204</v>
      </c>
      <c r="D13" s="236">
        <f>'9A'!G13/'4A'!$B10</f>
        <v>5.3915854029116828</v>
      </c>
      <c r="E13" s="236">
        <f>'9A'!K13/'4A'!$C10</f>
        <v>14.32649420160571</v>
      </c>
      <c r="F13" s="236"/>
      <c r="G13" s="236"/>
    </row>
    <row r="14" spans="1:7">
      <c r="A14" s="365">
        <v>2004</v>
      </c>
      <c r="B14" s="236">
        <f>'9A'!E14/'4A'!$B11</f>
        <v>12.331146380638662</v>
      </c>
      <c r="C14" s="236">
        <f>'9A'!F14/'4A'!$B11</f>
        <v>6.5320011978330106</v>
      </c>
      <c r="D14" s="236">
        <f>'9A'!G14/'4A'!$B11</f>
        <v>5.7991451828056517</v>
      </c>
      <c r="E14" s="236">
        <f>'9A'!K14/'4A'!$C11</f>
        <v>13.513027852650493</v>
      </c>
      <c r="F14" s="236"/>
      <c r="G14" s="236"/>
    </row>
    <row r="15" spans="1:7">
      <c r="A15" s="365">
        <v>2005</v>
      </c>
      <c r="B15" s="236">
        <f>'9A'!E15/'4A'!$B12</f>
        <v>12.141081752850273</v>
      </c>
      <c r="C15" s="236">
        <f>'9A'!F15/'4A'!$B12</f>
        <v>6.4813313881234125</v>
      </c>
      <c r="D15" s="236">
        <f>'9A'!G15/'4A'!$B12</f>
        <v>5.6597503647268601</v>
      </c>
      <c r="E15" s="236">
        <f>'9A'!K15/'4A'!$C12</f>
        <v>13.96694214876033</v>
      </c>
      <c r="F15" s="236"/>
      <c r="G15" s="236"/>
    </row>
    <row r="16" spans="1:7">
      <c r="A16" s="365">
        <v>2006</v>
      </c>
      <c r="B16" s="236">
        <f>'9A'!E16/'4A'!$B13</f>
        <v>13.076820307281229</v>
      </c>
      <c r="C16" s="236">
        <f>'9A'!F16/'4A'!$B13</f>
        <v>6.9715430861723444</v>
      </c>
      <c r="D16" s="236">
        <f>'9A'!G16/'4A'!$B13</f>
        <v>6.1052772211088842</v>
      </c>
      <c r="E16" s="236">
        <f>'9A'!K16/'4A'!$C13</f>
        <v>16.198595787362084</v>
      </c>
      <c r="F16" s="236"/>
      <c r="G16" s="236"/>
    </row>
    <row r="17" spans="1:7">
      <c r="A17" s="365">
        <v>2007</v>
      </c>
      <c r="B17" s="236">
        <f>'9A'!E17/'4A'!$B14</f>
        <v>13.903132416994863</v>
      </c>
      <c r="C17" s="236">
        <f>'9A'!F17/'4A'!$B14</f>
        <v>7.2319449153647533</v>
      </c>
      <c r="D17" s="236">
        <f>'9A'!G17/'4A'!$B14</f>
        <v>6.6711875016301088</v>
      </c>
      <c r="E17" s="236">
        <f>'9A'!K17/'4A'!$C14</f>
        <v>22.794871794871796</v>
      </c>
      <c r="F17" s="236"/>
      <c r="G17" s="236"/>
    </row>
    <row r="18" spans="1:7">
      <c r="A18" s="365">
        <v>2008</v>
      </c>
      <c r="B18" s="236">
        <f>'9A'!E18/'4A'!$B15</f>
        <v>14.969075353056386</v>
      </c>
      <c r="C18" s="236">
        <f>'9A'!F18/'4A'!$B15</f>
        <v>7.6082362643026489</v>
      </c>
      <c r="D18" s="236">
        <f>'9A'!G18/'4A'!$B15</f>
        <v>7.3608390887537363</v>
      </c>
      <c r="E18" s="236">
        <f>'9A'!K18/'4A'!$C15</f>
        <v>21.072749691738597</v>
      </c>
      <c r="F18" s="236"/>
      <c r="G18" s="236"/>
    </row>
    <row r="19" spans="1:7">
      <c r="A19" s="365">
        <v>2009</v>
      </c>
      <c r="B19" s="236">
        <f>'9A'!E19/'4A'!$B16</f>
        <v>12.865606485812286</v>
      </c>
      <c r="C19" s="236">
        <f>'9A'!F19/'4A'!$B16</f>
        <v>7.1798669576967047</v>
      </c>
      <c r="D19" s="236">
        <f>'9A'!G19/'4A'!$B16</f>
        <v>5.6857395281155805</v>
      </c>
      <c r="E19" s="236">
        <f>'9A'!K19/'4A'!$C16</f>
        <v>10.47808764940239</v>
      </c>
      <c r="F19" s="236">
        <f>'9A'!L19/'4A'!$C16</f>
        <v>3.7450199203187253</v>
      </c>
      <c r="G19" s="236">
        <f>'9A'!M19/'4A'!$C16</f>
        <v>6.7330677290836656</v>
      </c>
    </row>
    <row r="20" spans="1:7">
      <c r="A20" s="365">
        <v>2010</v>
      </c>
      <c r="B20" s="236">
        <f>'9A'!E20/'4A'!$B17</f>
        <v>11.838522643099793</v>
      </c>
      <c r="C20" s="236">
        <f>'9A'!F20/'4A'!$B17</f>
        <v>7.2580521570330259</v>
      </c>
      <c r="D20" s="236">
        <f>'9A'!G20/'4A'!$B17</f>
        <v>4.5804704860667673</v>
      </c>
      <c r="E20" s="236">
        <f>'9A'!K20/'4A'!$C17</f>
        <v>11.056149732620321</v>
      </c>
      <c r="F20" s="236"/>
      <c r="G20" s="236"/>
    </row>
    <row r="21" spans="1:7">
      <c r="A21" s="365">
        <v>2011</v>
      </c>
      <c r="B21" s="236">
        <f>'9A'!E21/'4A'!$B18</f>
        <v>11.848441926345609</v>
      </c>
      <c r="C21" s="236">
        <f>'9A'!F21/'4A'!$B18</f>
        <v>7.1972379603399439</v>
      </c>
      <c r="D21" s="236">
        <f>'9A'!G21/'4A'!$B18</f>
        <v>4.6512039660056654</v>
      </c>
      <c r="E21" s="236">
        <f>'9A'!K21/'4A'!$C18</f>
        <v>11.129707112970713</v>
      </c>
      <c r="F21" s="236"/>
      <c r="G21" s="236"/>
    </row>
    <row r="22" spans="1:7">
      <c r="A22" s="365">
        <v>2012</v>
      </c>
      <c r="B22" s="236">
        <f>'9A'!E22/'4A'!$B19</f>
        <v>10.779791185623933</v>
      </c>
      <c r="C22" s="236">
        <f>'9A'!F22/'4A'!$B19</f>
        <v>6.5126493323963457</v>
      </c>
      <c r="D22" s="236">
        <f>'9A'!G22/'4A'!$B19</f>
        <v>4.2671418532275878</v>
      </c>
      <c r="E22" s="236">
        <f>'9A'!K22/'4A'!$C19</f>
        <v>8.8563458856345889</v>
      </c>
      <c r="F22" s="236"/>
      <c r="G22" s="236"/>
    </row>
    <row r="23" spans="1:7">
      <c r="A23" s="365"/>
      <c r="B23" s="95"/>
      <c r="C23" s="95"/>
      <c r="D23" s="95"/>
    </row>
    <row r="24" spans="1:7">
      <c r="A24" s="456" t="s">
        <v>11</v>
      </c>
      <c r="B24" s="456"/>
      <c r="C24" s="456"/>
      <c r="D24" s="456"/>
      <c r="E24" s="456"/>
      <c r="F24" s="456"/>
      <c r="G24" s="456"/>
    </row>
    <row r="25" spans="1:7">
      <c r="A25" s="367" t="s">
        <v>244</v>
      </c>
      <c r="B25" s="192">
        <f t="shared" ref="B25:E25" si="0">((B17/B7)^(1/10)-1)*100</f>
        <v>5.1994572063962297</v>
      </c>
      <c r="C25" s="192">
        <f t="shared" si="0"/>
        <v>4.0939903973893799</v>
      </c>
      <c r="D25" s="192">
        <f t="shared" si="0"/>
        <v>6.5624134152978186</v>
      </c>
      <c r="E25" s="192">
        <f t="shared" si="0"/>
        <v>9.655650968319641</v>
      </c>
      <c r="F25" s="129" t="s">
        <v>10</v>
      </c>
      <c r="G25" s="129" t="s">
        <v>10</v>
      </c>
    </row>
    <row r="26" spans="1:7">
      <c r="A26" s="367" t="s">
        <v>70</v>
      </c>
      <c r="B26" s="192">
        <f t="shared" ref="B26:E26" si="1">((B22/B17)^(1/5)-1)*100</f>
        <v>-4.9615077380071648</v>
      </c>
      <c r="C26" s="192">
        <f t="shared" si="1"/>
        <v>-2.0734358736592351</v>
      </c>
      <c r="D26" s="192">
        <f t="shared" si="1"/>
        <v>-8.5493521045418177</v>
      </c>
      <c r="E26" s="192">
        <f t="shared" si="1"/>
        <v>-17.227993509095583</v>
      </c>
      <c r="F26" s="129" t="s">
        <v>10</v>
      </c>
      <c r="G26" s="129" t="s">
        <v>10</v>
      </c>
    </row>
    <row r="27" spans="1:7">
      <c r="A27" s="367" t="s">
        <v>33</v>
      </c>
      <c r="B27" s="192">
        <f t="shared" ref="B27:E27" si="2">((B22/B7)^(1/15)-1)*100</f>
        <v>1.6971647584024696</v>
      </c>
      <c r="C27" s="192">
        <f t="shared" si="2"/>
        <v>1.9961887362837105</v>
      </c>
      <c r="D27" s="192">
        <f t="shared" si="2"/>
        <v>1.2663042991331475</v>
      </c>
      <c r="E27" s="192">
        <f t="shared" si="2"/>
        <v>-0.15756306173630996</v>
      </c>
      <c r="F27" s="129" t="s">
        <v>10</v>
      </c>
      <c r="G27" s="129" t="s">
        <v>10</v>
      </c>
    </row>
    <row r="28" spans="1:7">
      <c r="A28" s="142"/>
      <c r="B28" s="186"/>
      <c r="C28" s="186"/>
      <c r="D28" s="186"/>
    </row>
    <row r="29" spans="1:7">
      <c r="A29" s="185" t="s">
        <v>41</v>
      </c>
      <c r="B29" s="95"/>
      <c r="C29" s="95"/>
      <c r="D29" s="95"/>
    </row>
    <row r="30" spans="1:7">
      <c r="A30" s="191" t="s">
        <v>245</v>
      </c>
      <c r="B30" s="191"/>
      <c r="C30" s="191"/>
      <c r="D30" s="191"/>
    </row>
  </sheetData>
  <mergeCells count="8">
    <mergeCell ref="B5:D5"/>
    <mergeCell ref="E5:G5"/>
    <mergeCell ref="A24:G24"/>
    <mergeCell ref="A1:G1"/>
    <mergeCell ref="B2:D2"/>
    <mergeCell ref="E2:G2"/>
    <mergeCell ref="B3:D3"/>
    <mergeCell ref="E3:G3"/>
  </mergeCells>
  <printOptions gridLines="1"/>
  <pageMargins left="0.7" right="0.7" top="0.75" bottom="0.75" header="0.3" footer="0.3"/>
  <pageSetup scale="80"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0"/>
  <sheetViews>
    <sheetView view="pageBreakPreview" zoomScaleNormal="100" zoomScaleSheetLayoutView="100" workbookViewId="0">
      <selection activeCell="K19" sqref="K19"/>
    </sheetView>
  </sheetViews>
  <sheetFormatPr defaultRowHeight="15"/>
  <cols>
    <col min="1" max="1" width="11.42578125" style="366" customWidth="1"/>
    <col min="2" max="2" width="13.28515625" style="366" customWidth="1"/>
    <col min="3" max="3" width="13" style="366" customWidth="1"/>
    <col min="4" max="4" width="16.7109375" style="366" customWidth="1"/>
    <col min="5" max="5" width="14.28515625" style="366" customWidth="1"/>
    <col min="6" max="6" width="13.85546875" style="366" customWidth="1"/>
    <col min="7" max="7" width="17.5703125" style="366" customWidth="1"/>
    <col min="8" max="8" width="17.85546875" style="366" customWidth="1"/>
    <col min="9" max="9" width="13.28515625" style="366" customWidth="1"/>
    <col min="10" max="10" width="17.28515625" style="366" customWidth="1"/>
    <col min="11" max="16384" width="9.140625" style="366"/>
  </cols>
  <sheetData>
    <row r="1" spans="1:10">
      <c r="A1" s="456" t="s">
        <v>531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365"/>
      <c r="B2" s="456" t="s">
        <v>247</v>
      </c>
      <c r="C2" s="456"/>
      <c r="D2" s="456"/>
      <c r="E2" s="456" t="s">
        <v>248</v>
      </c>
      <c r="F2" s="456"/>
      <c r="G2" s="456"/>
      <c r="H2" s="456" t="s">
        <v>249</v>
      </c>
      <c r="I2" s="456"/>
      <c r="J2" s="456"/>
    </row>
    <row r="3" spans="1:10" ht="45" customHeight="1">
      <c r="A3" s="95"/>
      <c r="B3" s="469" t="s">
        <v>607</v>
      </c>
      <c r="C3" s="469"/>
      <c r="D3" s="469"/>
      <c r="E3" s="469" t="s">
        <v>607</v>
      </c>
      <c r="F3" s="469"/>
      <c r="G3" s="469"/>
      <c r="H3" s="469" t="s">
        <v>607</v>
      </c>
      <c r="I3" s="469"/>
      <c r="J3" s="469"/>
    </row>
    <row r="4" spans="1:10" ht="60">
      <c r="A4" s="95"/>
      <c r="B4" s="441" t="s">
        <v>554</v>
      </c>
      <c r="C4" s="441" t="s">
        <v>608</v>
      </c>
      <c r="D4" s="441" t="s">
        <v>609</v>
      </c>
      <c r="E4" s="441" t="s">
        <v>554</v>
      </c>
      <c r="F4" s="441" t="s">
        <v>608</v>
      </c>
      <c r="G4" s="441" t="s">
        <v>609</v>
      </c>
      <c r="H4" s="441" t="s">
        <v>554</v>
      </c>
      <c r="I4" s="441" t="s">
        <v>608</v>
      </c>
      <c r="J4" s="441" t="s">
        <v>609</v>
      </c>
    </row>
    <row r="5" spans="1:10">
      <c r="A5" s="95"/>
      <c r="B5" s="470" t="s">
        <v>243</v>
      </c>
      <c r="C5" s="470"/>
      <c r="D5" s="470"/>
      <c r="E5" s="470" t="s">
        <v>243</v>
      </c>
      <c r="F5" s="470"/>
      <c r="G5" s="470"/>
      <c r="H5" s="470" t="s">
        <v>243</v>
      </c>
      <c r="I5" s="470"/>
      <c r="J5" s="470"/>
    </row>
    <row r="6" spans="1:10">
      <c r="A6" s="95"/>
      <c r="B6" s="367"/>
      <c r="C6" s="367"/>
      <c r="D6" s="367"/>
    </row>
    <row r="7" spans="1:10">
      <c r="A7" s="365">
        <v>1997</v>
      </c>
      <c r="B7" s="236">
        <f>'9B'!E7/'4A'!$D4</f>
        <v>3.7037037037037033</v>
      </c>
      <c r="C7" s="236"/>
      <c r="D7" s="236"/>
      <c r="E7" s="236">
        <f>'9B'!K7/'4A'!$H4</f>
        <v>2.6730310262529833</v>
      </c>
      <c r="F7" s="236"/>
      <c r="G7" s="236"/>
      <c r="H7" s="236">
        <f>'9B'!Q7/'4A'!$L4</f>
        <v>20.664652567975828</v>
      </c>
      <c r="I7" s="236">
        <f>'9B'!R7/'4A'!$L4</f>
        <v>8.1268882175226587</v>
      </c>
      <c r="J7" s="236">
        <f>'9B'!S7/'4A'!$L4</f>
        <v>12.537764350453172</v>
      </c>
    </row>
    <row r="8" spans="1:10">
      <c r="A8" s="365">
        <v>1998</v>
      </c>
      <c r="B8" s="236"/>
      <c r="C8" s="236"/>
      <c r="D8" s="236">
        <f>'9B'!G8/'4A'!$D5</f>
        <v>2.200956937799043</v>
      </c>
      <c r="E8" s="236">
        <f>'9B'!K8/'4A'!$H5</f>
        <v>5.331858407079646</v>
      </c>
      <c r="F8" s="236">
        <f>'9B'!L8/'4A'!$H5</f>
        <v>2.5221238938053094</v>
      </c>
      <c r="G8" s="236">
        <f>'9B'!M8/'4A'!$H5</f>
        <v>2.8097345132743361</v>
      </c>
      <c r="H8" s="236">
        <f>'9B'!Q8/'4A'!$L5</f>
        <v>21.617250673854446</v>
      </c>
      <c r="I8" s="236">
        <f>'9B'!R8/'4A'!$L5</f>
        <v>8.2749326145552562</v>
      </c>
      <c r="J8" s="236">
        <f>'9B'!S8/'4A'!$L5</f>
        <v>13.34231805929919</v>
      </c>
    </row>
    <row r="9" spans="1:10">
      <c r="A9" s="365">
        <v>1999</v>
      </c>
      <c r="B9" s="236"/>
      <c r="C9" s="236"/>
      <c r="D9" s="236"/>
      <c r="E9" s="236">
        <f>'9B'!K9/'4A'!$H6</f>
        <v>6.5111561866125767</v>
      </c>
      <c r="F9" s="236">
        <f>'9B'!L9/'4A'!$H6</f>
        <v>2.4340770791075053</v>
      </c>
      <c r="G9" s="236">
        <f>'9B'!M9/'4A'!$H6</f>
        <v>4.077079107505071</v>
      </c>
      <c r="H9" s="236">
        <f>'9B'!Q9/'4A'!$L6</f>
        <v>19.386666666666667</v>
      </c>
      <c r="I9" s="236">
        <f>'9B'!R9/'4A'!$L6</f>
        <v>7.8933333333333335</v>
      </c>
      <c r="J9" s="236">
        <f>'9B'!S9/'4A'!$L6</f>
        <v>11.493333333333334</v>
      </c>
    </row>
    <row r="10" spans="1:10">
      <c r="A10" s="365">
        <v>2000</v>
      </c>
      <c r="B10" s="236"/>
      <c r="C10" s="236"/>
      <c r="D10" s="236"/>
      <c r="E10" s="236">
        <f>'9B'!K10/'4A'!$H7</f>
        <v>5.1945525291828796</v>
      </c>
      <c r="F10" s="236">
        <f>'9B'!L10/'4A'!$H7</f>
        <v>2.3929961089494163</v>
      </c>
      <c r="G10" s="236">
        <f>'9B'!M10/'4A'!$H7</f>
        <v>2.8015564202334633</v>
      </c>
      <c r="H10" s="236">
        <f>'9B'!Q10/'4A'!$L7</f>
        <v>21.91549295774648</v>
      </c>
      <c r="I10" s="236">
        <f>'9B'!R10/'4A'!$L7</f>
        <v>10.056338028169014</v>
      </c>
      <c r="J10" s="236">
        <f>'9B'!S10/'4A'!$L7</f>
        <v>11.859154929577464</v>
      </c>
    </row>
    <row r="11" spans="1:10">
      <c r="A11" s="365">
        <v>2001</v>
      </c>
      <c r="B11" s="236">
        <f>'9B'!E11/'4A'!$D8</f>
        <v>4.9456521739130439</v>
      </c>
      <c r="C11" s="236"/>
      <c r="D11" s="236"/>
      <c r="E11" s="236">
        <f>'9B'!K11/'4A'!$H8</f>
        <v>5.6840077071290942</v>
      </c>
      <c r="F11" s="236">
        <f>'9B'!L11/'4A'!$H8</f>
        <v>2.2157996146435455</v>
      </c>
      <c r="G11" s="236">
        <f>'9B'!M11/'4A'!$H8</f>
        <v>3.4682080924855492</v>
      </c>
      <c r="H11" s="236">
        <f>'9B'!Q11/'4A'!$L8</f>
        <v>29.373134328358208</v>
      </c>
      <c r="I11" s="236">
        <f>'9B'!R11/'4A'!$L8</f>
        <v>10.776119402985074</v>
      </c>
      <c r="J11" s="236">
        <f>'9B'!S11/'4A'!$L8</f>
        <v>18.597014925373134</v>
      </c>
    </row>
    <row r="12" spans="1:10">
      <c r="A12" s="365">
        <v>2002</v>
      </c>
      <c r="B12" s="236">
        <f>'9B'!E12/'4A'!$D9</f>
        <v>6.0204081632653059</v>
      </c>
      <c r="C12" s="236">
        <f>'9B'!F12/'4A'!$D9</f>
        <v>3.3673469387755102</v>
      </c>
      <c r="D12" s="236">
        <f>'9B'!G12/'4A'!$D9</f>
        <v>2.6530612244897958</v>
      </c>
      <c r="E12" s="236">
        <f>'9B'!K12/'4A'!$H9</f>
        <v>5.9817351598173509</v>
      </c>
      <c r="F12" s="236">
        <f>'9B'!L12/'4A'!$H9</f>
        <v>2.1308980213089801</v>
      </c>
      <c r="G12" s="236">
        <f>'9B'!M12/'4A'!$H9</f>
        <v>3.8508371385083713</v>
      </c>
      <c r="H12" s="236">
        <f>'9B'!Q12/'4A'!$L9</f>
        <v>30.590062111801238</v>
      </c>
      <c r="I12" s="236">
        <f>'9B'!R12/'4A'!$L9</f>
        <v>12.111801242236023</v>
      </c>
      <c r="J12" s="236">
        <f>'9B'!S12/'4A'!$L9</f>
        <v>18.478260869565215</v>
      </c>
    </row>
    <row r="13" spans="1:10">
      <c r="A13" s="365">
        <v>2003</v>
      </c>
      <c r="B13" s="236">
        <f>'9B'!E13/'4A'!$D10</f>
        <v>8.3050847457627128</v>
      </c>
      <c r="C13" s="236"/>
      <c r="D13" s="236"/>
      <c r="E13" s="236">
        <f>'9B'!K13/'4A'!$H10</f>
        <v>8.1969949916527547</v>
      </c>
      <c r="F13" s="236">
        <f>'9B'!L13/'4A'!$H10</f>
        <v>2.9048414023372287</v>
      </c>
      <c r="G13" s="236">
        <f>'9B'!M13/'4A'!$H10</f>
        <v>5.292153589315526</v>
      </c>
      <c r="H13" s="236">
        <f>'9B'!Q13/'4A'!$L10</f>
        <v>28.057971014492754</v>
      </c>
      <c r="I13" s="236">
        <f>'9B'!R13/'4A'!$L10</f>
        <v>10.956521739130435</v>
      </c>
      <c r="J13" s="236">
        <f>'9B'!S13/'4A'!$L10</f>
        <v>17.10144927536232</v>
      </c>
    </row>
    <row r="14" spans="1:10">
      <c r="A14" s="365">
        <v>2004</v>
      </c>
      <c r="B14" s="236">
        <f>'9B'!E14/'4A'!$D11</f>
        <v>8.5350318471337587</v>
      </c>
      <c r="C14" s="236"/>
      <c r="D14" s="236"/>
      <c r="E14" s="236">
        <f>'9B'!K14/'4A'!$H11</f>
        <v>8.1574539363484089</v>
      </c>
      <c r="F14" s="236">
        <f>'9B'!L14/'4A'!$H11</f>
        <v>2.8978224455611388</v>
      </c>
      <c r="G14" s="236">
        <f>'9B'!M14/'4A'!$H11</f>
        <v>5.2596314907872692</v>
      </c>
      <c r="H14" s="236">
        <f>'9B'!Q14/'4A'!$L11</f>
        <v>24.596100278551532</v>
      </c>
      <c r="I14" s="236">
        <f>'9B'!R14/'4A'!$L11</f>
        <v>9.3593314763231206</v>
      </c>
      <c r="J14" s="236">
        <f>'9B'!S14/'4A'!$L11</f>
        <v>15.236768802228413</v>
      </c>
    </row>
    <row r="15" spans="1:10">
      <c r="A15" s="365">
        <v>2005</v>
      </c>
      <c r="B15" s="236">
        <f>'9B'!E15/'4A'!$D12</f>
        <v>8.5810810810810807</v>
      </c>
      <c r="C15" s="236"/>
      <c r="D15" s="236"/>
      <c r="E15" s="236">
        <f>'9B'!K15/'4A'!$H12</f>
        <v>9.6494464944649447</v>
      </c>
      <c r="F15" s="236">
        <f>'9B'!L15/'4A'!$H12</f>
        <v>3.7638376383763834</v>
      </c>
      <c r="G15" s="236">
        <f>'9B'!M15/'4A'!$H12</f>
        <v>5.8856088560885604</v>
      </c>
      <c r="H15" s="236">
        <f>'9B'!Q15/'4A'!$L12</f>
        <v>21.829573934837093</v>
      </c>
      <c r="I15" s="236">
        <f>'9B'!R15/'4A'!$L12</f>
        <v>7.6942355889724316</v>
      </c>
      <c r="J15" s="236">
        <f>'9B'!S15/'4A'!$L12</f>
        <v>14.135338345864662</v>
      </c>
    </row>
    <row r="16" spans="1:10">
      <c r="A16" s="365">
        <v>2006</v>
      </c>
      <c r="B16" s="236">
        <f>'9B'!E16/'4A'!$D13</f>
        <v>11.703703703703704</v>
      </c>
      <c r="C16" s="236"/>
      <c r="D16" s="236"/>
      <c r="E16" s="236">
        <f>'9B'!K16/'4A'!$H13</f>
        <v>11.100569259962048</v>
      </c>
      <c r="F16" s="236">
        <f>'9B'!L16/'4A'!$H13</f>
        <v>3.6432637571157493</v>
      </c>
      <c r="G16" s="236">
        <f>'9B'!M16/'4A'!$H13</f>
        <v>7.4573055028462996</v>
      </c>
      <c r="H16" s="236">
        <f>'9B'!Q16/'4A'!$L13</f>
        <v>26.029850746268657</v>
      </c>
      <c r="I16" s="236">
        <f>'9B'!R16/'4A'!$L13</f>
        <v>9.6716417910447756</v>
      </c>
      <c r="J16" s="236">
        <f>'9B'!S16/'4A'!$L13</f>
        <v>16.35820895522388</v>
      </c>
    </row>
    <row r="17" spans="1:10">
      <c r="A17" s="365">
        <v>2007</v>
      </c>
      <c r="B17" s="236">
        <f>'9B'!E17/'4A'!$D14</f>
        <v>14.423076923076923</v>
      </c>
      <c r="C17" s="236"/>
      <c r="D17" s="236"/>
      <c r="E17" s="236">
        <f>'9B'!K17/'4A'!$H14</f>
        <v>15.675000000000001</v>
      </c>
      <c r="F17" s="236">
        <f>'9B'!L17/'4A'!$H14</f>
        <v>5.125</v>
      </c>
      <c r="G17" s="236">
        <f>'9B'!M17/'4A'!$H14</f>
        <v>10.55</v>
      </c>
      <c r="H17" s="236">
        <f>'9B'!Q17/'4A'!$L14</f>
        <v>36.268115942028984</v>
      </c>
      <c r="I17" s="236">
        <f>'9B'!R17/'4A'!$L14</f>
        <v>15.253623188405797</v>
      </c>
      <c r="J17" s="236">
        <f>'9B'!S17/'4A'!$L14</f>
        <v>21.014492753623188</v>
      </c>
    </row>
    <row r="18" spans="1:10">
      <c r="A18" s="365">
        <v>2008</v>
      </c>
      <c r="B18" s="236">
        <f>'9B'!E18/'4A'!$D15</f>
        <v>18.627450980392158</v>
      </c>
      <c r="C18" s="236"/>
      <c r="D18" s="236"/>
      <c r="E18" s="236">
        <f>'9B'!K18/'4A'!$H15</f>
        <v>23.793969849246231</v>
      </c>
      <c r="F18" s="236">
        <f>'9B'!L18/'4A'!$H15</f>
        <v>8.8190954773869361</v>
      </c>
      <c r="G18" s="236">
        <f>'9B'!M18/'4A'!$H15</f>
        <v>14.974874371859297</v>
      </c>
      <c r="H18" s="236">
        <f>'9B'!Q18/'4A'!$L15</f>
        <v>18.392282958199356</v>
      </c>
      <c r="I18" s="236">
        <f>'9B'!R18/'4A'!$L15</f>
        <v>8.2636655948553059</v>
      </c>
      <c r="J18" s="236">
        <f>'9B'!S18/'4A'!$L15</f>
        <v>10.12861736334405</v>
      </c>
    </row>
    <row r="19" spans="1:10">
      <c r="A19" s="365">
        <v>2009</v>
      </c>
      <c r="B19" s="236">
        <f>'9B'!E19/'4A'!$D16</f>
        <v>10.8</v>
      </c>
      <c r="C19" s="236">
        <f>'9B'!F19/'4A'!$D16</f>
        <v>2.8</v>
      </c>
      <c r="D19" s="236">
        <f>'9B'!G19/'4A'!$D16</f>
        <v>8</v>
      </c>
      <c r="E19" s="236">
        <f>'9B'!K19/'4A'!$H16</f>
        <v>11.012048192771084</v>
      </c>
      <c r="F19" s="236">
        <f>'9B'!L19/'4A'!$H16</f>
        <v>3.5421686746987953</v>
      </c>
      <c r="G19" s="236">
        <f>'9B'!M19/'4A'!$H16</f>
        <v>7.4698795180722888</v>
      </c>
      <c r="H19" s="236">
        <f>'9B'!Q19/'4A'!$L16</f>
        <v>9.5437262357414454</v>
      </c>
      <c r="I19" s="236">
        <f>'9B'!R19/'4A'!$L16</f>
        <v>4.334600760456274</v>
      </c>
      <c r="J19" s="236">
        <f>'9B'!S19/'4A'!$L16</f>
        <v>5.2091254752851706</v>
      </c>
    </row>
    <row r="20" spans="1:10">
      <c r="A20" s="365">
        <v>2010</v>
      </c>
      <c r="B20" s="236">
        <f>'9B'!E20/'4A'!$D17</f>
        <v>6.2376237623762378</v>
      </c>
      <c r="C20" s="236"/>
      <c r="D20" s="236"/>
      <c r="E20" s="236">
        <f>'9B'!K20/'4A'!$H17</f>
        <v>9.440203562340967</v>
      </c>
      <c r="F20" s="236">
        <f>'9B'!L20/'4A'!$H17</f>
        <v>3.8422391857506364</v>
      </c>
      <c r="G20" s="236">
        <f>'9B'!M20/'4A'!$H17</f>
        <v>5.5979643765903315</v>
      </c>
      <c r="H20" s="236">
        <f>'9B'!Q20/'4A'!$L17</f>
        <v>15.472440944881891</v>
      </c>
      <c r="I20" s="236">
        <f>'9B'!R20/'4A'!$L17</f>
        <v>8.1496062992125982</v>
      </c>
      <c r="J20" s="236">
        <f>'9B'!S20/'4A'!$L17</f>
        <v>7.3228346456692917</v>
      </c>
    </row>
    <row r="21" spans="1:10">
      <c r="A21" s="365">
        <v>2011</v>
      </c>
      <c r="B21" s="236">
        <f>'9B'!E21/'4A'!$D18</f>
        <v>5.6521739130434785</v>
      </c>
      <c r="C21" s="236"/>
      <c r="D21" s="236"/>
      <c r="E21" s="236">
        <f>'9B'!K21/'4A'!$H18</f>
        <v>9.3313953488372103</v>
      </c>
      <c r="F21" s="236">
        <f>'9B'!L21/'4A'!$H18</f>
        <v>4.2732558139534884</v>
      </c>
      <c r="G21" s="236">
        <f>'9B'!M21/'4A'!$H18</f>
        <v>5.087209302325582</v>
      </c>
      <c r="H21" s="236">
        <f>'9B'!Q21/'4A'!$L18</f>
        <v>15.124555160142348</v>
      </c>
      <c r="I21" s="236">
        <f>'9B'!R21/'4A'!$L18</f>
        <v>7.4733096085409247</v>
      </c>
      <c r="J21" s="236">
        <f>'9B'!S21/'4A'!$L18</f>
        <v>7.6512455516014235</v>
      </c>
    </row>
    <row r="22" spans="1:10">
      <c r="A22" s="365">
        <v>2012</v>
      </c>
      <c r="B22" s="236">
        <f>'9B'!E22/'4A'!$D19</f>
        <v>4</v>
      </c>
      <c r="C22" s="236"/>
      <c r="D22" s="236"/>
      <c r="E22" s="236">
        <f>'9B'!K22/'4A'!$H19</f>
        <v>6.4266666666666667</v>
      </c>
      <c r="F22" s="236"/>
      <c r="G22" s="236"/>
      <c r="H22" s="236">
        <f>'9B'!Q22/'4A'!$L19</f>
        <v>14.007782101167315</v>
      </c>
      <c r="I22" s="236">
        <f>'9B'!R22/'4A'!$L19</f>
        <v>5.56420233463035</v>
      </c>
      <c r="J22" s="236">
        <f>'9B'!S22/'4A'!$L19</f>
        <v>8.4435797665369652</v>
      </c>
    </row>
    <row r="23" spans="1:10">
      <c r="A23" s="365"/>
      <c r="B23" s="95"/>
      <c r="C23" s="95"/>
      <c r="D23" s="95"/>
    </row>
    <row r="24" spans="1:10">
      <c r="A24" s="456" t="s">
        <v>11</v>
      </c>
      <c r="B24" s="456"/>
      <c r="C24" s="456"/>
      <c r="D24" s="456"/>
      <c r="E24" s="456"/>
      <c r="F24" s="456"/>
      <c r="G24" s="456"/>
    </row>
    <row r="25" spans="1:10">
      <c r="A25" s="367" t="s">
        <v>244</v>
      </c>
      <c r="B25" s="192">
        <f t="shared" ref="B25:E25" si="0">((B17/B7)^(1/10)-1)*100</f>
        <v>14.562417192500309</v>
      </c>
      <c r="C25" s="192" t="s">
        <v>10</v>
      </c>
      <c r="D25" s="192" t="s">
        <v>10</v>
      </c>
      <c r="E25" s="192">
        <f t="shared" si="0"/>
        <v>19.349431587245626</v>
      </c>
      <c r="F25" s="192" t="s">
        <v>10</v>
      </c>
      <c r="G25" s="192" t="s">
        <v>10</v>
      </c>
      <c r="H25" s="192">
        <f t="shared" ref="H25:J25" si="1">((H17/H7)^(1/10)-1)*100</f>
        <v>5.7863636502265337</v>
      </c>
      <c r="I25" s="192">
        <f t="shared" si="1"/>
        <v>6.4988388594778179</v>
      </c>
      <c r="J25" s="192">
        <f t="shared" si="1"/>
        <v>5.3003660387183293</v>
      </c>
    </row>
    <row r="26" spans="1:10">
      <c r="A26" s="367" t="s">
        <v>70</v>
      </c>
      <c r="B26" s="192">
        <f t="shared" ref="B26:E26" si="2">((B22/B17)^(1/5)-1)*100</f>
        <v>-22.625044133331528</v>
      </c>
      <c r="C26" s="192" t="s">
        <v>10</v>
      </c>
      <c r="D26" s="192" t="s">
        <v>10</v>
      </c>
      <c r="E26" s="192">
        <f t="shared" si="2"/>
        <v>-16.332721031361807</v>
      </c>
      <c r="F26" s="192" t="s">
        <v>10</v>
      </c>
      <c r="G26" s="192" t="s">
        <v>10</v>
      </c>
      <c r="H26" s="192">
        <f t="shared" ref="H26:J26" si="3">((H22/H17)^(1/5)-1)*100</f>
        <v>-17.326014109173126</v>
      </c>
      <c r="I26" s="192">
        <f t="shared" si="3"/>
        <v>-18.265392754954512</v>
      </c>
      <c r="J26" s="192">
        <f t="shared" si="3"/>
        <v>-16.669969688010276</v>
      </c>
    </row>
    <row r="27" spans="1:10">
      <c r="A27" s="367" t="s">
        <v>33</v>
      </c>
      <c r="B27" s="192">
        <f t="shared" ref="B27:E27" si="4">((B22/B7)^(1/15)-1)*100</f>
        <v>0.51439208416215187</v>
      </c>
      <c r="C27" s="192" t="s">
        <v>10</v>
      </c>
      <c r="D27" s="192" t="s">
        <v>10</v>
      </c>
      <c r="E27" s="192">
        <f t="shared" si="4"/>
        <v>6.0226817219871442</v>
      </c>
      <c r="F27" s="192" t="s">
        <v>10</v>
      </c>
      <c r="G27" s="192" t="s">
        <v>10</v>
      </c>
      <c r="H27" s="192">
        <f t="shared" ref="H27:J27" si="5">((H22/H7)^(1/15)-1)*100</f>
        <v>-2.5587713731973771</v>
      </c>
      <c r="I27" s="192">
        <f t="shared" si="5"/>
        <v>-2.4938725115862037</v>
      </c>
      <c r="J27" s="192">
        <f t="shared" si="5"/>
        <v>-2.6011638978151286</v>
      </c>
    </row>
    <row r="28" spans="1:10">
      <c r="A28" s="142"/>
      <c r="B28" s="186"/>
      <c r="C28" s="186"/>
      <c r="D28" s="186"/>
    </row>
    <row r="29" spans="1:10">
      <c r="A29" s="185" t="s">
        <v>41</v>
      </c>
      <c r="B29" s="95"/>
      <c r="C29" s="95"/>
      <c r="D29" s="95"/>
    </row>
    <row r="30" spans="1:10">
      <c r="A30" s="191" t="s">
        <v>245</v>
      </c>
      <c r="B30" s="191"/>
      <c r="C30" s="191"/>
      <c r="D30" s="191"/>
    </row>
  </sheetData>
  <mergeCells count="11">
    <mergeCell ref="A24:G24"/>
    <mergeCell ref="B5:D5"/>
    <mergeCell ref="E5:G5"/>
    <mergeCell ref="H5:J5"/>
    <mergeCell ref="A1:J1"/>
    <mergeCell ref="B2:D2"/>
    <mergeCell ref="E2:G2"/>
    <mergeCell ref="H2:J2"/>
    <mergeCell ref="B3:D3"/>
    <mergeCell ref="E3:G3"/>
    <mergeCell ref="H3:J3"/>
  </mergeCells>
  <printOptions gridLines="1"/>
  <pageMargins left="0.7" right="0.7" top="0.75" bottom="0.75" header="0.3" footer="0.3"/>
  <pageSetup scale="60"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G29"/>
  <sheetViews>
    <sheetView view="pageBreakPreview" zoomScaleNormal="100" zoomScaleSheetLayoutView="100" workbookViewId="0">
      <selection activeCell="H13" sqref="H13"/>
    </sheetView>
  </sheetViews>
  <sheetFormatPr defaultRowHeight="15"/>
  <cols>
    <col min="1" max="1" width="14.85546875" customWidth="1"/>
    <col min="2" max="2" width="13.5703125" customWidth="1"/>
    <col min="3" max="3" width="16.5703125" customWidth="1"/>
    <col min="4" max="4" width="15" customWidth="1"/>
    <col min="5" max="5" width="14.5703125" customWidth="1"/>
    <col min="6" max="6" width="12.85546875" customWidth="1"/>
    <col min="7" max="7" width="16.28515625" customWidth="1"/>
  </cols>
  <sheetData>
    <row r="1" spans="1:7">
      <c r="A1" s="456" t="s">
        <v>543</v>
      </c>
      <c r="B1" s="456"/>
      <c r="C1" s="456"/>
      <c r="D1" s="456"/>
      <c r="E1" s="456"/>
      <c r="F1" s="456"/>
      <c r="G1" s="456"/>
    </row>
    <row r="2" spans="1:7">
      <c r="A2" s="394"/>
      <c r="B2" s="456" t="s">
        <v>246</v>
      </c>
      <c r="C2" s="456"/>
      <c r="D2" s="456"/>
      <c r="E2" s="456" t="s">
        <v>8</v>
      </c>
      <c r="F2" s="456"/>
      <c r="G2" s="456"/>
    </row>
    <row r="3" spans="1:7">
      <c r="A3" s="391"/>
      <c r="B3" s="469" t="s">
        <v>606</v>
      </c>
      <c r="C3" s="469"/>
      <c r="D3" s="469"/>
      <c r="E3" s="469" t="s">
        <v>606</v>
      </c>
      <c r="F3" s="469"/>
      <c r="G3" s="469"/>
    </row>
    <row r="4" spans="1:7" ht="45">
      <c r="A4" s="391"/>
      <c r="B4" s="441" t="s">
        <v>610</v>
      </c>
      <c r="C4" s="441" t="s">
        <v>552</v>
      </c>
      <c r="D4" s="441" t="s">
        <v>612</v>
      </c>
      <c r="E4" s="441" t="s">
        <v>610</v>
      </c>
      <c r="F4" s="441" t="s">
        <v>552</v>
      </c>
      <c r="G4" s="441" t="s">
        <v>612</v>
      </c>
    </row>
    <row r="5" spans="1:7">
      <c r="A5" s="391"/>
      <c r="B5" s="470" t="s">
        <v>226</v>
      </c>
      <c r="C5" s="470"/>
      <c r="D5" s="470"/>
      <c r="E5" s="470" t="s">
        <v>226</v>
      </c>
      <c r="F5" s="470"/>
      <c r="G5" s="470"/>
    </row>
    <row r="6" spans="1:7">
      <c r="A6" s="391"/>
      <c r="B6" s="393"/>
      <c r="C6" s="393"/>
      <c r="D6" s="393"/>
      <c r="E6" s="388"/>
      <c r="F6" s="388"/>
      <c r="G6" s="388"/>
    </row>
    <row r="7" spans="1:7">
      <c r="A7" s="394">
        <v>1997</v>
      </c>
      <c r="B7" s="390">
        <v>1.4586278455767934</v>
      </c>
      <c r="C7" s="390">
        <v>1.3382072971834267</v>
      </c>
      <c r="D7" s="390">
        <v>0.12042054839336655</v>
      </c>
      <c r="E7" s="390"/>
      <c r="F7" s="390"/>
      <c r="G7" s="390"/>
    </row>
    <row r="8" spans="1:7">
      <c r="A8" s="394">
        <v>1998</v>
      </c>
      <c r="B8" s="390">
        <v>1.5488392606919872</v>
      </c>
      <c r="C8" s="390">
        <v>1.4233585864386691</v>
      </c>
      <c r="D8" s="390">
        <v>0.12548067425331821</v>
      </c>
      <c r="E8" s="390"/>
      <c r="F8" s="390"/>
      <c r="G8" s="390"/>
    </row>
    <row r="9" spans="1:7">
      <c r="A9" s="394">
        <v>1999</v>
      </c>
      <c r="B9" s="390">
        <v>1.5386987103746605</v>
      </c>
      <c r="C9" s="390">
        <v>1.3755154534544303</v>
      </c>
      <c r="D9" s="390">
        <v>0.16318325692023045</v>
      </c>
      <c r="E9" s="390"/>
      <c r="F9" s="390"/>
      <c r="G9" s="390"/>
    </row>
    <row r="10" spans="1:7">
      <c r="A10" s="394">
        <v>2000</v>
      </c>
      <c r="B10" s="390">
        <v>1.6879217958286643</v>
      </c>
      <c r="C10" s="390">
        <v>1.5220096928115256</v>
      </c>
      <c r="D10" s="390">
        <v>0.16591210301713866</v>
      </c>
      <c r="E10" s="390"/>
      <c r="F10" s="390"/>
      <c r="G10" s="390"/>
    </row>
    <row r="11" spans="1:7">
      <c r="A11" s="394">
        <v>2001</v>
      </c>
      <c r="B11" s="390">
        <v>1.8901085753596745</v>
      </c>
      <c r="C11" s="390">
        <v>1.6855202943199834</v>
      </c>
      <c r="D11" s="390">
        <v>0.20458828103969134</v>
      </c>
      <c r="E11" s="390"/>
      <c r="F11" s="390"/>
      <c r="G11" s="390"/>
    </row>
    <row r="12" spans="1:7">
      <c r="A12" s="394">
        <v>2002</v>
      </c>
      <c r="B12" s="390">
        <v>1.6044221445238389</v>
      </c>
      <c r="C12" s="390">
        <v>1.4856181261766823</v>
      </c>
      <c r="D12" s="390">
        <v>0.11880401834715669</v>
      </c>
      <c r="E12" s="390"/>
      <c r="F12" s="390"/>
      <c r="G12" s="390"/>
    </row>
    <row r="13" spans="1:7">
      <c r="A13" s="394">
        <v>2003</v>
      </c>
      <c r="B13" s="390">
        <v>1.6294484906541382</v>
      </c>
      <c r="C13" s="390">
        <v>1.5215771188409932</v>
      </c>
      <c r="D13" s="390">
        <v>0.10787137181314491</v>
      </c>
      <c r="E13" s="390"/>
      <c r="F13" s="390"/>
      <c r="G13" s="390"/>
    </row>
    <row r="14" spans="1:7">
      <c r="A14" s="394">
        <v>2004</v>
      </c>
      <c r="B14" s="390">
        <v>1.6414618209769309</v>
      </c>
      <c r="C14" s="390">
        <v>1.5570102553119616</v>
      </c>
      <c r="D14" s="390">
        <v>8.4661122899869781E-2</v>
      </c>
      <c r="E14" s="390">
        <v>1.9579324233609312</v>
      </c>
      <c r="F14" s="390"/>
      <c r="G14" s="390"/>
    </row>
    <row r="15" spans="1:7">
      <c r="A15" s="394">
        <v>2005</v>
      </c>
      <c r="B15" s="390">
        <v>1.6489093361150138</v>
      </c>
      <c r="C15" s="390">
        <v>1.5620823208539598</v>
      </c>
      <c r="D15" s="390">
        <v>8.6827015261053866E-2</v>
      </c>
      <c r="E15" s="390"/>
      <c r="F15" s="390"/>
      <c r="G15" s="390"/>
    </row>
    <row r="16" spans="1:7">
      <c r="A16" s="394">
        <v>2006</v>
      </c>
      <c r="B16" s="390">
        <v>1.5693102734099209</v>
      </c>
      <c r="C16" s="390">
        <v>1.4778810596395651</v>
      </c>
      <c r="D16" s="390">
        <v>9.1429213770355997E-2</v>
      </c>
      <c r="E16" s="390"/>
      <c r="F16" s="390"/>
      <c r="G16" s="390"/>
    </row>
    <row r="17" spans="1:7">
      <c r="A17" s="394">
        <v>2007</v>
      </c>
      <c r="B17" s="390">
        <v>1.4476567525962689</v>
      </c>
      <c r="C17" s="390">
        <v>1.3591639095671355</v>
      </c>
      <c r="D17" s="390">
        <v>8.8492843029133364E-2</v>
      </c>
      <c r="E17" s="390"/>
      <c r="F17" s="390"/>
      <c r="G17" s="390"/>
    </row>
    <row r="18" spans="1:7">
      <c r="A18" s="394">
        <v>2008</v>
      </c>
      <c r="B18" s="390">
        <v>1.3918335407341282</v>
      </c>
      <c r="C18" s="390">
        <v>1.312380909333601</v>
      </c>
      <c r="D18" s="390">
        <v>7.9452631400527426E-2</v>
      </c>
      <c r="E18" s="390"/>
      <c r="F18" s="390"/>
      <c r="G18" s="390"/>
    </row>
    <row r="19" spans="1:7">
      <c r="A19" s="394">
        <v>2009</v>
      </c>
      <c r="B19" s="390">
        <v>1.3254360036453081</v>
      </c>
      <c r="C19" s="390">
        <v>1.239095982281089</v>
      </c>
      <c r="D19" s="390">
        <v>8.6340021364219019E-2</v>
      </c>
      <c r="E19" s="390">
        <v>1.0223206679161696</v>
      </c>
      <c r="F19" s="390"/>
      <c r="G19" s="390"/>
    </row>
    <row r="20" spans="1:7">
      <c r="A20" s="394">
        <v>2010</v>
      </c>
      <c r="B20" s="390">
        <v>1.2208851646582515</v>
      </c>
      <c r="C20" s="390">
        <v>1.1535014012258415</v>
      </c>
      <c r="D20" s="390">
        <v>6.7383763432410093E-2</v>
      </c>
      <c r="E20" s="390">
        <v>1.5510241321107614</v>
      </c>
      <c r="F20" s="390"/>
      <c r="G20" s="390"/>
    </row>
    <row r="21" spans="1:7">
      <c r="A21" s="394">
        <v>2011</v>
      </c>
      <c r="B21" s="390">
        <v>1.2252374636143808</v>
      </c>
      <c r="C21" s="390">
        <v>1.1556308961214248</v>
      </c>
      <c r="D21" s="390">
        <v>6.944469175460026E-2</v>
      </c>
      <c r="E21" s="390">
        <v>1.2026759539976448</v>
      </c>
      <c r="F21" s="390"/>
      <c r="G21" s="390"/>
    </row>
    <row r="22" spans="1:7">
      <c r="A22" s="394"/>
      <c r="B22" s="391"/>
      <c r="C22" s="391"/>
      <c r="D22" s="391"/>
      <c r="E22" s="388"/>
      <c r="F22" s="388"/>
      <c r="G22" s="388"/>
    </row>
    <row r="23" spans="1:7">
      <c r="A23" s="456" t="s">
        <v>11</v>
      </c>
      <c r="B23" s="456"/>
      <c r="C23" s="456"/>
      <c r="D23" s="456"/>
      <c r="E23" s="456"/>
      <c r="F23" s="456"/>
      <c r="G23" s="456"/>
    </row>
    <row r="24" spans="1:7">
      <c r="A24" s="393" t="s">
        <v>244</v>
      </c>
      <c r="B24" s="397">
        <v>-7.5470960871037995E-2</v>
      </c>
      <c r="C24" s="397">
        <v>0.15550937045998303</v>
      </c>
      <c r="D24" s="397">
        <v>-3.0337155312031849</v>
      </c>
      <c r="E24" s="389" t="s">
        <v>10</v>
      </c>
      <c r="F24" s="389" t="s">
        <v>10</v>
      </c>
      <c r="G24" s="389" t="s">
        <v>10</v>
      </c>
    </row>
    <row r="25" spans="1:7">
      <c r="A25" s="393" t="s">
        <v>28</v>
      </c>
      <c r="B25" s="397">
        <v>-4.0845283342540899</v>
      </c>
      <c r="C25" s="397">
        <v>-3.974444638861574</v>
      </c>
      <c r="D25" s="397">
        <v>-5.8798248622973448</v>
      </c>
      <c r="E25" s="397" t="e">
        <v>#DIV/0!</v>
      </c>
      <c r="F25" s="389" t="s">
        <v>10</v>
      </c>
      <c r="G25" s="389" t="s">
        <v>10</v>
      </c>
    </row>
    <row r="26" spans="1:7">
      <c r="A26" s="393" t="s">
        <v>528</v>
      </c>
      <c r="B26" s="397">
        <v>-1.2377157097361091</v>
      </c>
      <c r="C26" s="397">
        <v>-1.0422763678709646</v>
      </c>
      <c r="D26" s="397">
        <v>-3.8555597612493053</v>
      </c>
      <c r="E26" s="389" t="s">
        <v>10</v>
      </c>
      <c r="F26" s="389" t="s">
        <v>10</v>
      </c>
      <c r="G26" s="389" t="s">
        <v>10</v>
      </c>
    </row>
    <row r="27" spans="1:7">
      <c r="A27" s="392"/>
      <c r="B27" s="395"/>
      <c r="C27" s="395"/>
      <c r="D27" s="395"/>
      <c r="E27" s="388"/>
      <c r="F27" s="388"/>
      <c r="G27" s="388"/>
    </row>
    <row r="28" spans="1:7">
      <c r="A28" s="422" t="s">
        <v>616</v>
      </c>
      <c r="B28" s="391"/>
      <c r="C28" s="391"/>
      <c r="D28" s="391"/>
      <c r="E28" s="388"/>
      <c r="F28" s="388"/>
      <c r="G28" s="388"/>
    </row>
    <row r="29" spans="1:7">
      <c r="A29" s="396"/>
      <c r="B29" s="396"/>
      <c r="C29" s="396"/>
      <c r="D29" s="396"/>
      <c r="E29" s="388"/>
      <c r="F29" s="388"/>
      <c r="G29" s="388"/>
    </row>
  </sheetData>
  <mergeCells count="8">
    <mergeCell ref="A23:G23"/>
    <mergeCell ref="A1:G1"/>
    <mergeCell ref="B2:D2"/>
    <mergeCell ref="E2:G2"/>
    <mergeCell ref="B3:D3"/>
    <mergeCell ref="E3:G3"/>
    <mergeCell ref="B5:D5"/>
    <mergeCell ref="E5:G5"/>
  </mergeCells>
  <pageMargins left="0.7" right="0.7" top="0.75" bottom="0.75" header="0.3" footer="0.3"/>
  <pageSetup scale="87"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J29"/>
  <sheetViews>
    <sheetView view="pageBreakPreview" zoomScaleNormal="100" zoomScaleSheetLayoutView="100" workbookViewId="0">
      <selection activeCell="E16" sqref="E16"/>
    </sheetView>
  </sheetViews>
  <sheetFormatPr defaultRowHeight="15"/>
  <cols>
    <col min="1" max="1" width="13" style="380" customWidth="1"/>
    <col min="2" max="2" width="17.42578125" style="380" customWidth="1"/>
    <col min="3" max="3" width="15" style="380" customWidth="1"/>
    <col min="4" max="4" width="13.5703125" style="380" customWidth="1"/>
    <col min="5" max="5" width="13.85546875" style="380" customWidth="1"/>
    <col min="6" max="6" width="17.28515625" style="380" customWidth="1"/>
    <col min="7" max="7" width="13.7109375" style="380" customWidth="1"/>
    <col min="8" max="8" width="15.7109375" style="380" customWidth="1"/>
    <col min="9" max="9" width="15" style="380" customWidth="1"/>
    <col min="10" max="10" width="16.7109375" style="380" customWidth="1"/>
    <col min="11" max="16384" width="9.140625" style="380"/>
  </cols>
  <sheetData>
    <row r="1" spans="1:10">
      <c r="A1" s="456" t="s">
        <v>544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403"/>
      <c r="B2" s="456" t="s">
        <v>247</v>
      </c>
      <c r="C2" s="456"/>
      <c r="D2" s="456"/>
      <c r="E2" s="456" t="s">
        <v>248</v>
      </c>
      <c r="F2" s="456"/>
      <c r="G2" s="456"/>
      <c r="H2" s="456" t="s">
        <v>249</v>
      </c>
      <c r="I2" s="456"/>
      <c r="J2" s="456"/>
    </row>
    <row r="3" spans="1:10" ht="15" customHeight="1">
      <c r="A3" s="400"/>
      <c r="B3" s="469" t="s">
        <v>606</v>
      </c>
      <c r="C3" s="469"/>
      <c r="D3" s="469"/>
      <c r="E3" s="469" t="s">
        <v>606</v>
      </c>
      <c r="F3" s="469"/>
      <c r="G3" s="469"/>
      <c r="H3" s="469" t="s">
        <v>606</v>
      </c>
      <c r="I3" s="469"/>
      <c r="J3" s="469"/>
    </row>
    <row r="4" spans="1:10" ht="45">
      <c r="A4" s="400"/>
      <c r="B4" s="441" t="s">
        <v>610</v>
      </c>
      <c r="C4" s="441" t="s">
        <v>552</v>
      </c>
      <c r="D4" s="441" t="s">
        <v>612</v>
      </c>
      <c r="E4" s="441" t="s">
        <v>610</v>
      </c>
      <c r="F4" s="441" t="s">
        <v>552</v>
      </c>
      <c r="G4" s="441" t="s">
        <v>612</v>
      </c>
      <c r="H4" s="441" t="s">
        <v>610</v>
      </c>
      <c r="I4" s="441" t="s">
        <v>552</v>
      </c>
      <c r="J4" s="441" t="s">
        <v>612</v>
      </c>
    </row>
    <row r="5" spans="1:10">
      <c r="A5" s="400"/>
      <c r="B5" s="470" t="s">
        <v>226</v>
      </c>
      <c r="C5" s="470"/>
      <c r="D5" s="470"/>
      <c r="E5" s="470" t="s">
        <v>226</v>
      </c>
      <c r="F5" s="470"/>
      <c r="G5" s="470"/>
      <c r="H5" s="470" t="s">
        <v>226</v>
      </c>
      <c r="I5" s="470"/>
      <c r="J5" s="470"/>
    </row>
    <row r="6" spans="1:10">
      <c r="A6" s="400"/>
      <c r="B6" s="402"/>
      <c r="C6" s="402"/>
      <c r="D6" s="402"/>
      <c r="E6" s="398"/>
      <c r="F6" s="398"/>
      <c r="G6" s="398"/>
      <c r="H6" s="398"/>
      <c r="I6" s="398"/>
      <c r="J6" s="398"/>
    </row>
    <row r="7" spans="1:10">
      <c r="A7" s="403">
        <v>1997</v>
      </c>
      <c r="B7" s="399"/>
      <c r="C7" s="399"/>
      <c r="D7" s="399"/>
      <c r="E7" s="399"/>
      <c r="F7" s="399"/>
      <c r="G7" s="399"/>
      <c r="H7" s="399"/>
      <c r="I7" s="399"/>
      <c r="J7" s="399"/>
    </row>
    <row r="8" spans="1:10">
      <c r="A8" s="403">
        <v>1998</v>
      </c>
      <c r="B8" s="399"/>
      <c r="C8" s="399"/>
      <c r="D8" s="399">
        <v>0</v>
      </c>
      <c r="E8" s="399"/>
      <c r="F8" s="399"/>
      <c r="G8" s="399"/>
      <c r="H8" s="399"/>
      <c r="I8" s="399"/>
      <c r="J8" s="399"/>
    </row>
    <row r="9" spans="1:10">
      <c r="A9" s="403">
        <v>1999</v>
      </c>
      <c r="B9" s="399">
        <v>0</v>
      </c>
      <c r="C9" s="399">
        <v>0</v>
      </c>
      <c r="D9" s="399">
        <v>0</v>
      </c>
      <c r="E9" s="399"/>
      <c r="F9" s="399"/>
      <c r="G9" s="399"/>
      <c r="H9" s="399"/>
      <c r="I9" s="399"/>
      <c r="J9" s="399"/>
    </row>
    <row r="10" spans="1:10">
      <c r="A10" s="403">
        <v>2000</v>
      </c>
      <c r="B10" s="399"/>
      <c r="C10" s="399"/>
      <c r="D10" s="399">
        <v>0</v>
      </c>
      <c r="E10" s="399"/>
      <c r="F10" s="399"/>
      <c r="G10" s="399">
        <v>0</v>
      </c>
      <c r="H10" s="399"/>
      <c r="I10" s="399"/>
      <c r="J10" s="399"/>
    </row>
    <row r="11" spans="1:10">
      <c r="A11" s="403">
        <v>2001</v>
      </c>
      <c r="B11" s="399"/>
      <c r="C11" s="399"/>
      <c r="D11" s="399">
        <v>0</v>
      </c>
      <c r="E11" s="399"/>
      <c r="F11" s="399"/>
      <c r="G11" s="399"/>
      <c r="H11" s="399">
        <v>2.248170493909293</v>
      </c>
      <c r="I11" s="399">
        <v>2.2022894634213483</v>
      </c>
      <c r="J11" s="399">
        <v>4.5881030487944757E-2</v>
      </c>
    </row>
    <row r="12" spans="1:10">
      <c r="A12" s="403">
        <v>2002</v>
      </c>
      <c r="B12" s="399"/>
      <c r="C12" s="399"/>
      <c r="D12" s="399"/>
      <c r="E12" s="399"/>
      <c r="F12" s="399">
        <v>0.34772025905159304</v>
      </c>
      <c r="G12" s="399"/>
      <c r="H12" s="399">
        <v>2.0409179152770172</v>
      </c>
      <c r="I12" s="399">
        <v>2.0160286724077854</v>
      </c>
      <c r="J12" s="399">
        <v>2.4889242869231918E-2</v>
      </c>
    </row>
    <row r="13" spans="1:10">
      <c r="A13" s="403">
        <v>2003</v>
      </c>
      <c r="B13" s="399">
        <v>0</v>
      </c>
      <c r="C13" s="399">
        <v>0</v>
      </c>
      <c r="D13" s="399">
        <v>0</v>
      </c>
      <c r="E13" s="399"/>
      <c r="F13" s="399">
        <v>0.33471402870172801</v>
      </c>
      <c r="G13" s="399"/>
      <c r="H13" s="399">
        <v>3.0745381733626149</v>
      </c>
      <c r="I13" s="399"/>
      <c r="J13" s="399"/>
    </row>
    <row r="14" spans="1:10">
      <c r="A14" s="403">
        <v>2004</v>
      </c>
      <c r="B14" s="399">
        <v>0</v>
      </c>
      <c r="C14" s="399">
        <v>0</v>
      </c>
      <c r="D14" s="399">
        <v>0</v>
      </c>
      <c r="E14" s="399">
        <v>0.55159371183168515</v>
      </c>
      <c r="F14" s="399"/>
      <c r="G14" s="399"/>
      <c r="H14" s="399">
        <v>3.3399602385685885</v>
      </c>
      <c r="I14" s="399"/>
      <c r="J14" s="399"/>
    </row>
    <row r="15" spans="1:10">
      <c r="A15" s="403">
        <v>2005</v>
      </c>
      <c r="B15" s="399"/>
      <c r="C15" s="399"/>
      <c r="D15" s="399">
        <v>0</v>
      </c>
      <c r="E15" s="399">
        <v>0.42376472582422231</v>
      </c>
      <c r="F15" s="399"/>
      <c r="G15" s="399"/>
      <c r="H15" s="399"/>
      <c r="I15" s="399"/>
      <c r="J15" s="399"/>
    </row>
    <row r="16" spans="1:10">
      <c r="A16" s="403">
        <v>2006</v>
      </c>
      <c r="B16" s="399">
        <v>0.13732491073880801</v>
      </c>
      <c r="C16" s="399">
        <v>0.13732491073880801</v>
      </c>
      <c r="D16" s="399">
        <v>0</v>
      </c>
      <c r="E16" s="399">
        <v>0.4966229638458482</v>
      </c>
      <c r="F16" s="399"/>
      <c r="G16" s="399"/>
      <c r="H16" s="399"/>
      <c r="I16" s="399"/>
      <c r="J16" s="399"/>
    </row>
    <row r="17" spans="1:10">
      <c r="A17" s="403">
        <v>2007</v>
      </c>
      <c r="B17" s="399"/>
      <c r="C17" s="399"/>
      <c r="D17" s="399"/>
      <c r="E17" s="399">
        <v>0.67048640741192256</v>
      </c>
      <c r="F17" s="399"/>
      <c r="G17" s="399"/>
      <c r="H17" s="399">
        <v>1.7286638069018503</v>
      </c>
      <c r="I17" s="399"/>
      <c r="J17" s="399"/>
    </row>
    <row r="18" spans="1:10">
      <c r="A18" s="403">
        <v>2008</v>
      </c>
      <c r="B18" s="399">
        <v>0.78462142016477043</v>
      </c>
      <c r="C18" s="399"/>
      <c r="D18" s="399"/>
      <c r="E18" s="399"/>
      <c r="F18" s="399"/>
      <c r="G18" s="399"/>
      <c r="H18" s="399">
        <v>1.7050298380221656</v>
      </c>
      <c r="I18" s="399"/>
      <c r="J18" s="399"/>
    </row>
    <row r="19" spans="1:10">
      <c r="A19" s="403">
        <v>2009</v>
      </c>
      <c r="B19" s="399">
        <v>0.22665457842248413</v>
      </c>
      <c r="C19" s="399"/>
      <c r="D19" s="399"/>
      <c r="E19" s="399">
        <v>1.6319477776711147</v>
      </c>
      <c r="F19" s="399"/>
      <c r="G19" s="399"/>
      <c r="H19" s="399">
        <v>0.91414641578426137</v>
      </c>
      <c r="I19" s="399"/>
      <c r="J19" s="399"/>
    </row>
    <row r="20" spans="1:10">
      <c r="A20" s="403">
        <v>2010</v>
      </c>
      <c r="B20" s="399">
        <v>0.24044241404183703</v>
      </c>
      <c r="C20" s="399">
        <v>0.24044241404183703</v>
      </c>
      <c r="D20" s="399"/>
      <c r="E20" s="399">
        <v>1.6338386130525553</v>
      </c>
      <c r="F20" s="399">
        <v>1.6338386130525553</v>
      </c>
      <c r="G20" s="399">
        <v>0</v>
      </c>
      <c r="H20" s="399">
        <v>1.7093420777227377</v>
      </c>
      <c r="I20" s="399"/>
      <c r="J20" s="399"/>
    </row>
    <row r="21" spans="1:10">
      <c r="A21" s="403">
        <v>2011</v>
      </c>
      <c r="B21" s="399">
        <v>0.25144581342720645</v>
      </c>
      <c r="C21" s="399"/>
      <c r="D21" s="399"/>
      <c r="E21" s="399">
        <v>1.6222244753117714</v>
      </c>
      <c r="F21" s="399"/>
      <c r="G21" s="399"/>
      <c r="H21" s="399">
        <v>1.1890606420927468</v>
      </c>
      <c r="I21" s="399"/>
      <c r="J21" s="399"/>
    </row>
    <row r="22" spans="1:10">
      <c r="A22" s="403"/>
      <c r="B22" s="400"/>
      <c r="C22" s="400"/>
      <c r="D22" s="400"/>
      <c r="E22" s="398"/>
      <c r="F22" s="398"/>
      <c r="G22" s="398"/>
      <c r="H22" s="398"/>
      <c r="I22" s="398"/>
      <c r="J22" s="398"/>
    </row>
    <row r="23" spans="1:10">
      <c r="A23" s="456" t="s">
        <v>11</v>
      </c>
      <c r="B23" s="456"/>
      <c r="C23" s="456"/>
      <c r="D23" s="456"/>
      <c r="E23" s="456"/>
      <c r="F23" s="456"/>
      <c r="G23" s="456"/>
      <c r="H23" s="456"/>
      <c r="I23" s="456"/>
      <c r="J23" s="456"/>
    </row>
    <row r="24" spans="1:10">
      <c r="A24" s="402" t="s">
        <v>244</v>
      </c>
      <c r="B24" s="406"/>
      <c r="C24" s="406"/>
      <c r="D24" s="406"/>
      <c r="E24" s="406"/>
      <c r="F24" s="406"/>
      <c r="G24" s="406"/>
      <c r="H24" s="406"/>
      <c r="I24" s="406"/>
      <c r="J24" s="406"/>
    </row>
    <row r="25" spans="1:10">
      <c r="A25" s="402" t="s">
        <v>28</v>
      </c>
      <c r="B25" s="406"/>
      <c r="C25" s="406"/>
      <c r="D25" s="406"/>
      <c r="E25" s="406"/>
      <c r="F25" s="406"/>
      <c r="G25" s="406"/>
      <c r="H25" s="406"/>
      <c r="I25" s="406"/>
      <c r="J25" s="406"/>
    </row>
    <row r="26" spans="1:10">
      <c r="A26" s="402" t="s">
        <v>364</v>
      </c>
      <c r="B26" s="406"/>
      <c r="C26" s="406"/>
      <c r="D26" s="406"/>
      <c r="E26" s="406"/>
      <c r="F26" s="406"/>
      <c r="G26" s="406"/>
      <c r="H26" s="406"/>
      <c r="I26" s="406"/>
      <c r="J26" s="406"/>
    </row>
    <row r="27" spans="1:10">
      <c r="A27" s="401"/>
      <c r="B27" s="404"/>
      <c r="C27" s="404"/>
      <c r="D27" s="404"/>
      <c r="E27" s="398"/>
      <c r="F27" s="398"/>
      <c r="G27" s="398"/>
      <c r="H27" s="398"/>
      <c r="I27" s="398"/>
      <c r="J27" s="398"/>
    </row>
    <row r="28" spans="1:10">
      <c r="A28" s="422" t="s">
        <v>616</v>
      </c>
      <c r="B28" s="400"/>
      <c r="C28" s="400"/>
      <c r="D28" s="400"/>
      <c r="E28" s="398"/>
      <c r="F28" s="398"/>
      <c r="G28" s="398"/>
      <c r="H28" s="398"/>
      <c r="I28" s="398"/>
      <c r="J28" s="398"/>
    </row>
    <row r="29" spans="1:10">
      <c r="A29" s="405"/>
      <c r="B29" s="405"/>
      <c r="C29" s="405"/>
      <c r="D29" s="405"/>
      <c r="E29" s="398"/>
      <c r="F29" s="398"/>
      <c r="G29" s="398"/>
      <c r="H29" s="398"/>
      <c r="I29" s="398"/>
      <c r="J29" s="398"/>
    </row>
  </sheetData>
  <mergeCells count="11">
    <mergeCell ref="A23:J23"/>
    <mergeCell ref="B5:D5"/>
    <mergeCell ref="E5:G5"/>
    <mergeCell ref="H5:J5"/>
    <mergeCell ref="A1:J1"/>
    <mergeCell ref="B2:D2"/>
    <mergeCell ref="E2:G2"/>
    <mergeCell ref="H2:J2"/>
    <mergeCell ref="B3:D3"/>
    <mergeCell ref="E3:G3"/>
    <mergeCell ref="H3:J3"/>
  </mergeCells>
  <pageMargins left="0.7" right="0.7" top="0.75" bottom="0.75" header="0.3" footer="0.3"/>
  <pageSetup scale="61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49"/>
  <sheetViews>
    <sheetView view="pageBreakPreview" topLeftCell="A7" zoomScaleNormal="100" zoomScaleSheetLayoutView="100" workbookViewId="0">
      <selection activeCell="AF25" sqref="AF25"/>
    </sheetView>
  </sheetViews>
  <sheetFormatPr defaultRowHeight="15"/>
  <cols>
    <col min="2" max="2" width="12.7109375" bestFit="1" customWidth="1"/>
    <col min="3" max="3" width="11.140625" bestFit="1" customWidth="1"/>
    <col min="4" max="5" width="10.140625" bestFit="1" customWidth="1"/>
    <col min="6" max="8" width="10.140625" style="34" customWidth="1"/>
    <col min="9" max="11" width="10.140625" bestFit="1" customWidth="1"/>
    <col min="13" max="29" width="0" hidden="1" customWidth="1"/>
  </cols>
  <sheetData>
    <row r="1" spans="1:29">
      <c r="A1" s="454" t="s">
        <v>164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18"/>
      <c r="B2" s="18" t="s">
        <v>16</v>
      </c>
      <c r="C2" s="18" t="s">
        <v>8</v>
      </c>
      <c r="D2" s="18" t="s">
        <v>3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17</v>
      </c>
      <c r="J2" s="18" t="s">
        <v>6</v>
      </c>
      <c r="K2" s="18" t="s">
        <v>7</v>
      </c>
    </row>
    <row r="3" spans="1:29">
      <c r="A3" s="18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18">
        <v>1984</v>
      </c>
      <c r="B4" s="9" t="s">
        <v>10</v>
      </c>
      <c r="C4" s="9" t="s">
        <v>10</v>
      </c>
      <c r="D4" s="9" t="s">
        <v>10</v>
      </c>
      <c r="E4" s="9" t="s">
        <v>10</v>
      </c>
      <c r="F4" s="9" t="s">
        <v>10</v>
      </c>
      <c r="G4" s="9" t="s">
        <v>10</v>
      </c>
      <c r="H4" s="9" t="s">
        <v>10</v>
      </c>
      <c r="I4" s="9" t="s">
        <v>10</v>
      </c>
      <c r="J4" s="9" t="s">
        <v>10</v>
      </c>
      <c r="K4" s="9" t="s">
        <v>10</v>
      </c>
    </row>
    <row r="5" spans="1:29">
      <c r="A5" s="18">
        <v>1985</v>
      </c>
      <c r="B5" s="9" t="s">
        <v>10</v>
      </c>
      <c r="C5" s="9" t="s">
        <v>10</v>
      </c>
      <c r="D5" s="9" t="s">
        <v>10</v>
      </c>
      <c r="E5" s="9" t="s">
        <v>10</v>
      </c>
      <c r="F5" s="9" t="s">
        <v>10</v>
      </c>
      <c r="G5" s="9" t="s">
        <v>10</v>
      </c>
      <c r="H5" s="9" t="s">
        <v>10</v>
      </c>
      <c r="I5" s="9" t="s">
        <v>10</v>
      </c>
      <c r="J5" s="9" t="s">
        <v>10</v>
      </c>
      <c r="K5" s="9" t="s">
        <v>10</v>
      </c>
    </row>
    <row r="6" spans="1:29">
      <c r="A6" s="18">
        <v>1986</v>
      </c>
      <c r="B6" s="9" t="s">
        <v>10</v>
      </c>
      <c r="C6" s="9" t="s">
        <v>10</v>
      </c>
      <c r="D6" s="9" t="s">
        <v>10</v>
      </c>
      <c r="E6" s="9" t="s">
        <v>10</v>
      </c>
      <c r="F6" s="9" t="s">
        <v>10</v>
      </c>
      <c r="G6" s="9" t="s">
        <v>10</v>
      </c>
      <c r="H6" s="9" t="s">
        <v>10</v>
      </c>
      <c r="I6" s="9" t="s">
        <v>10</v>
      </c>
      <c r="J6" s="9" t="s">
        <v>10</v>
      </c>
      <c r="K6" s="9" t="s">
        <v>10</v>
      </c>
    </row>
    <row r="7" spans="1:29">
      <c r="A7" s="18">
        <v>1987</v>
      </c>
      <c r="B7" s="9" t="s">
        <v>10</v>
      </c>
      <c r="C7" s="9" t="s">
        <v>10</v>
      </c>
      <c r="D7" s="9" t="s">
        <v>10</v>
      </c>
      <c r="E7" s="9" t="s">
        <v>10</v>
      </c>
      <c r="F7" s="9" t="s">
        <v>10</v>
      </c>
      <c r="G7" s="9" t="s">
        <v>10</v>
      </c>
      <c r="H7" s="9" t="s">
        <v>10</v>
      </c>
      <c r="I7" s="9" t="s">
        <v>10</v>
      </c>
      <c r="J7" s="9" t="s">
        <v>10</v>
      </c>
      <c r="K7" s="9" t="s">
        <v>10</v>
      </c>
    </row>
    <row r="8" spans="1:29">
      <c r="A8" s="18">
        <v>1988</v>
      </c>
      <c r="B8" s="9" t="s">
        <v>10</v>
      </c>
      <c r="C8" s="9" t="s">
        <v>10</v>
      </c>
      <c r="D8" s="9" t="s">
        <v>10</v>
      </c>
      <c r="E8" s="9" t="s">
        <v>10</v>
      </c>
      <c r="F8" s="9" t="s">
        <v>10</v>
      </c>
      <c r="G8" s="9" t="s">
        <v>10</v>
      </c>
      <c r="H8" s="9" t="s">
        <v>10</v>
      </c>
      <c r="I8" s="9" t="s">
        <v>10</v>
      </c>
      <c r="J8" s="9" t="s">
        <v>10</v>
      </c>
      <c r="K8" s="9" t="s">
        <v>10</v>
      </c>
    </row>
    <row r="9" spans="1:29">
      <c r="A9" s="18">
        <v>1989</v>
      </c>
      <c r="B9" s="9" t="s">
        <v>10</v>
      </c>
      <c r="C9" s="9" t="s">
        <v>10</v>
      </c>
      <c r="D9" s="9" t="s">
        <v>10</v>
      </c>
      <c r="E9" s="9" t="s">
        <v>10</v>
      </c>
      <c r="F9" s="9" t="s">
        <v>10</v>
      </c>
      <c r="G9" s="9" t="s">
        <v>10</v>
      </c>
      <c r="H9" s="9" t="s">
        <v>10</v>
      </c>
      <c r="I9" s="9" t="s">
        <v>10</v>
      </c>
      <c r="J9" s="9" t="s">
        <v>10</v>
      </c>
      <c r="K9" s="9" t="s">
        <v>10</v>
      </c>
    </row>
    <row r="10" spans="1:29">
      <c r="A10" s="18">
        <v>1990</v>
      </c>
      <c r="B10" s="9" t="s">
        <v>10</v>
      </c>
      <c r="C10" s="9" t="s">
        <v>10</v>
      </c>
      <c r="D10" s="9" t="s">
        <v>10</v>
      </c>
      <c r="E10" s="9" t="s">
        <v>10</v>
      </c>
      <c r="F10" s="9" t="s">
        <v>10</v>
      </c>
      <c r="G10" s="9" t="s">
        <v>10</v>
      </c>
      <c r="H10" s="9" t="s">
        <v>10</v>
      </c>
      <c r="I10" s="9" t="s">
        <v>10</v>
      </c>
      <c r="J10" s="9" t="s">
        <v>10</v>
      </c>
      <c r="K10" s="9" t="s">
        <v>10</v>
      </c>
    </row>
    <row r="11" spans="1:29">
      <c r="A11" s="18">
        <v>1991</v>
      </c>
      <c r="B11" s="9" t="s">
        <v>10</v>
      </c>
      <c r="C11" s="9" t="s">
        <v>10</v>
      </c>
      <c r="D11" s="9" t="s">
        <v>10</v>
      </c>
      <c r="E11" s="9" t="s">
        <v>10</v>
      </c>
      <c r="F11" s="9" t="s">
        <v>10</v>
      </c>
      <c r="G11" s="9" t="s">
        <v>10</v>
      </c>
      <c r="H11" s="9" t="s">
        <v>10</v>
      </c>
      <c r="I11" s="9" t="s">
        <v>10</v>
      </c>
      <c r="J11" s="9" t="s">
        <v>10</v>
      </c>
      <c r="K11" s="9" t="s">
        <v>10</v>
      </c>
    </row>
    <row r="12" spans="1:29">
      <c r="A12" s="18">
        <v>1992</v>
      </c>
      <c r="B12" s="9" t="s">
        <v>10</v>
      </c>
      <c r="C12" s="9" t="s">
        <v>10</v>
      </c>
      <c r="D12" s="9" t="s">
        <v>10</v>
      </c>
      <c r="E12" s="9" t="s">
        <v>10</v>
      </c>
      <c r="F12" s="9" t="s">
        <v>10</v>
      </c>
      <c r="G12" s="9" t="s">
        <v>10</v>
      </c>
      <c r="H12" s="9" t="s">
        <v>10</v>
      </c>
      <c r="I12" s="9" t="s">
        <v>10</v>
      </c>
      <c r="J12" s="9" t="s">
        <v>10</v>
      </c>
      <c r="K12" s="9" t="s">
        <v>10</v>
      </c>
    </row>
    <row r="13" spans="1:29">
      <c r="A13" s="18">
        <v>1993</v>
      </c>
      <c r="B13" s="9" t="s">
        <v>10</v>
      </c>
      <c r="C13" s="9" t="s">
        <v>10</v>
      </c>
      <c r="D13" s="9" t="s">
        <v>10</v>
      </c>
      <c r="E13" s="9" t="s">
        <v>10</v>
      </c>
      <c r="F13" s="9" t="s">
        <v>10</v>
      </c>
      <c r="G13" s="9" t="s">
        <v>10</v>
      </c>
      <c r="H13" s="9" t="s">
        <v>10</v>
      </c>
      <c r="I13" s="9" t="s">
        <v>10</v>
      </c>
      <c r="J13" s="9" t="s">
        <v>10</v>
      </c>
      <c r="K13" s="9" t="s">
        <v>10</v>
      </c>
    </row>
    <row r="14" spans="1:29">
      <c r="A14" s="18">
        <v>1994</v>
      </c>
      <c r="B14" s="9" t="s">
        <v>10</v>
      </c>
      <c r="C14" s="9" t="s">
        <v>10</v>
      </c>
      <c r="D14" s="9" t="s">
        <v>10</v>
      </c>
      <c r="E14" s="9" t="s">
        <v>10</v>
      </c>
      <c r="F14" s="9" t="s">
        <v>10</v>
      </c>
      <c r="G14" s="9" t="s">
        <v>10</v>
      </c>
      <c r="H14" s="9" t="s">
        <v>10</v>
      </c>
      <c r="I14" s="9" t="s">
        <v>10</v>
      </c>
      <c r="J14" s="9" t="s">
        <v>10</v>
      </c>
      <c r="K14" s="9" t="s">
        <v>10</v>
      </c>
      <c r="W14" t="s">
        <v>32</v>
      </c>
    </row>
    <row r="15" spans="1:29">
      <c r="A15" s="18">
        <v>1995</v>
      </c>
      <c r="B15" s="9" t="s">
        <v>10</v>
      </c>
      <c r="C15" s="9" t="s">
        <v>10</v>
      </c>
      <c r="D15" s="9" t="s">
        <v>10</v>
      </c>
      <c r="E15" s="9" t="s">
        <v>10</v>
      </c>
      <c r="F15" s="9" t="s">
        <v>10</v>
      </c>
      <c r="G15" s="9" t="s">
        <v>10</v>
      </c>
      <c r="H15" s="9" t="s">
        <v>10</v>
      </c>
      <c r="I15" s="9" t="s">
        <v>10</v>
      </c>
      <c r="J15" s="9" t="s">
        <v>10</v>
      </c>
      <c r="K15" s="9" t="s">
        <v>10</v>
      </c>
      <c r="N15" t="s">
        <v>24</v>
      </c>
      <c r="W15" t="s">
        <v>16</v>
      </c>
      <c r="X15" t="s">
        <v>8</v>
      </c>
      <c r="Y15" t="s">
        <v>3</v>
      </c>
      <c r="Z15" t="s">
        <v>4</v>
      </c>
      <c r="AA15" t="s">
        <v>17</v>
      </c>
      <c r="AB15" t="s">
        <v>6</v>
      </c>
      <c r="AC15" t="s">
        <v>7</v>
      </c>
    </row>
    <row r="16" spans="1:29">
      <c r="A16" s="18">
        <v>1996</v>
      </c>
      <c r="B16" s="9" t="s">
        <v>10</v>
      </c>
      <c r="C16" s="9" t="s">
        <v>10</v>
      </c>
      <c r="D16" s="9" t="s">
        <v>10</v>
      </c>
      <c r="E16" s="9" t="s">
        <v>10</v>
      </c>
      <c r="F16" s="9" t="s">
        <v>10</v>
      </c>
      <c r="G16" s="9" t="s">
        <v>10</v>
      </c>
      <c r="H16" s="9" t="s">
        <v>10</v>
      </c>
      <c r="I16" s="9" t="s">
        <v>10</v>
      </c>
      <c r="J16" s="9" t="s">
        <v>10</v>
      </c>
      <c r="K16" s="9" t="s">
        <v>10</v>
      </c>
      <c r="N16" t="s">
        <v>16</v>
      </c>
      <c r="O16" t="s">
        <v>8</v>
      </c>
      <c r="P16" t="s">
        <v>3</v>
      </c>
      <c r="Q16" t="s">
        <v>4</v>
      </c>
      <c r="R16" t="s">
        <v>17</v>
      </c>
      <c r="S16" t="s">
        <v>6</v>
      </c>
      <c r="T16" t="s">
        <v>7</v>
      </c>
      <c r="V16" t="s">
        <v>19</v>
      </c>
      <c r="W16">
        <f>((B20/B17)^(1/3)-1)*100</f>
        <v>2.1903676103396386</v>
      </c>
      <c r="X16" t="e">
        <f>((C20/C17)^(1/3)-1)*100</f>
        <v>#VALUE!</v>
      </c>
      <c r="Y16">
        <f>((D20/D17)^(1/3)-1)*100</f>
        <v>2.607227017377145</v>
      </c>
      <c r="Z16">
        <f>((E20/E17)^(1/3)-1)*100</f>
        <v>5.5374280770904338</v>
      </c>
      <c r="AA16" t="e">
        <f t="shared" ref="AA16:AC16" si="0">((I20/I17)^(1/3)-1)*100</f>
        <v>#VALUE!</v>
      </c>
      <c r="AB16" t="e">
        <f t="shared" si="0"/>
        <v>#VALUE!</v>
      </c>
      <c r="AC16" t="e">
        <f t="shared" si="0"/>
        <v>#VALUE!</v>
      </c>
    </row>
    <row r="17" spans="1:33">
      <c r="A17" s="18">
        <v>1997</v>
      </c>
      <c r="B17" s="129">
        <v>5561767</v>
      </c>
      <c r="C17" s="10" t="s">
        <v>10</v>
      </c>
      <c r="D17" s="129">
        <v>29362</v>
      </c>
      <c r="E17" s="129">
        <v>69217</v>
      </c>
      <c r="F17" s="129">
        <v>36528</v>
      </c>
      <c r="G17" s="129">
        <v>11144</v>
      </c>
      <c r="H17" s="129">
        <v>21545</v>
      </c>
      <c r="I17" s="129" t="s">
        <v>9</v>
      </c>
      <c r="J17" s="129" t="s">
        <v>9</v>
      </c>
      <c r="K17" s="129" t="s">
        <v>9</v>
      </c>
      <c r="M17">
        <v>1998</v>
      </c>
      <c r="N17">
        <f>((B18/B17)-1)*100</f>
        <v>2.197071542191531</v>
      </c>
      <c r="O17" t="e">
        <f>((C18/C17)-1)*100</f>
        <v>#VALUE!</v>
      </c>
      <c r="P17">
        <f>((D18/D17)-1)*100</f>
        <v>12.369729582453504</v>
      </c>
      <c r="Q17">
        <f>((E18/E17)-1)*100</f>
        <v>0.29039108889434839</v>
      </c>
      <c r="R17" t="e">
        <f t="shared" ref="R17:T31" si="1">((I18/I17)-1)*100</f>
        <v>#VALUE!</v>
      </c>
      <c r="S17" t="e">
        <f t="shared" si="1"/>
        <v>#VALUE!</v>
      </c>
      <c r="T17" t="e">
        <f t="shared" si="1"/>
        <v>#VALUE!</v>
      </c>
      <c r="V17" t="s">
        <v>21</v>
      </c>
      <c r="W17">
        <f>((B28/B20)^(1/8)-1)*100</f>
        <v>1.0497311640391249</v>
      </c>
      <c r="X17">
        <f>((C28/C20)^(1/8)-1)*100</f>
        <v>-4.1597982087986374</v>
      </c>
      <c r="Y17">
        <f>((D28/D20)^(1/8)-1)*100</f>
        <v>-2.8527824271512792</v>
      </c>
      <c r="Z17">
        <f>((E28/E20)^(1/8)-1)*100</f>
        <v>-5.6109824194711777</v>
      </c>
      <c r="AA17">
        <f t="shared" ref="AA17:AC17" si="2">((I28/I20)^(1/8)-1)*100</f>
        <v>-3.1096185563860623</v>
      </c>
      <c r="AB17">
        <f t="shared" si="2"/>
        <v>-3.7172821540023104</v>
      </c>
      <c r="AC17">
        <f t="shared" si="2"/>
        <v>-2.0733999488123933</v>
      </c>
      <c r="AF17" s="259"/>
      <c r="AG17" s="259"/>
    </row>
    <row r="18" spans="1:33">
      <c r="A18" s="18">
        <v>1998</v>
      </c>
      <c r="B18" s="129">
        <v>5683963</v>
      </c>
      <c r="C18" s="10">
        <f t="shared" ref="C18:C33" si="3">D18+E18+I18</f>
        <v>165510</v>
      </c>
      <c r="D18" s="129">
        <v>32994</v>
      </c>
      <c r="E18" s="129">
        <v>69418</v>
      </c>
      <c r="F18" s="129">
        <v>36839</v>
      </c>
      <c r="G18" s="129">
        <v>11475</v>
      </c>
      <c r="H18" s="129">
        <v>21104</v>
      </c>
      <c r="I18" s="129">
        <v>63098</v>
      </c>
      <c r="J18" s="129">
        <v>41043</v>
      </c>
      <c r="K18" s="129">
        <v>22055</v>
      </c>
      <c r="M18">
        <v>1999</v>
      </c>
      <c r="N18">
        <f t="shared" ref="N18:N31" si="4">((B19/B18)-1)*100</f>
        <v>3.2150279655233538</v>
      </c>
      <c r="O18">
        <f t="shared" ref="O18:O31" si="5">((C19/C18)-1)*100</f>
        <v>2.8910639840493024</v>
      </c>
      <c r="P18">
        <f t="shared" ref="P18:P31" si="6">((D19/D18)-1)*100</f>
        <v>5.634357762017328</v>
      </c>
      <c r="Q18">
        <f t="shared" ref="Q18:Q31" si="7">((E19/E18)-1)*100</f>
        <v>6.3441758621683109</v>
      </c>
      <c r="R18">
        <f t="shared" si="1"/>
        <v>-2.342388031316367</v>
      </c>
      <c r="S18">
        <f t="shared" si="1"/>
        <v>-4.4173184221426354</v>
      </c>
      <c r="T18">
        <f t="shared" si="1"/>
        <v>1.5189299478576279</v>
      </c>
      <c r="V18" t="s">
        <v>22</v>
      </c>
      <c r="W18">
        <f>((B33/B28)^(1/5)-1)*100</f>
        <v>0.34939816572960858</v>
      </c>
      <c r="X18">
        <f>((C33/C28)^(1/5)-1)*100</f>
        <v>-5.3246797757472653</v>
      </c>
      <c r="Y18">
        <f>((D33/D28)^(1/5)-1)*100</f>
        <v>-10.514032125459439</v>
      </c>
      <c r="Z18">
        <f>((E33/E28)^(1/5)-1)*100</f>
        <v>-2.6748741971482692</v>
      </c>
      <c r="AA18">
        <f t="shared" ref="AA18:AC18" si="8">((I33/I28)^(1/5)-1)*100</f>
        <v>-5.8772208288281336</v>
      </c>
      <c r="AB18">
        <f t="shared" si="8"/>
        <v>-6.7846449745308179</v>
      </c>
      <c r="AC18">
        <f t="shared" si="8"/>
        <v>-4.5107102734598055</v>
      </c>
      <c r="AE18" s="259"/>
      <c r="AF18" s="259"/>
      <c r="AG18" s="259"/>
    </row>
    <row r="19" spans="1:33">
      <c r="A19" s="18">
        <v>1999</v>
      </c>
      <c r="B19" s="129">
        <v>5866704</v>
      </c>
      <c r="C19" s="10">
        <f t="shared" si="3"/>
        <v>170295</v>
      </c>
      <c r="D19" s="129">
        <v>34853</v>
      </c>
      <c r="E19" s="129">
        <v>73822</v>
      </c>
      <c r="F19" s="129">
        <v>40244</v>
      </c>
      <c r="G19" s="129">
        <v>11363</v>
      </c>
      <c r="H19" s="129">
        <v>22215</v>
      </c>
      <c r="I19" s="129">
        <v>61620</v>
      </c>
      <c r="J19" s="129">
        <v>39230</v>
      </c>
      <c r="K19" s="129">
        <v>22390</v>
      </c>
      <c r="M19">
        <v>2000</v>
      </c>
      <c r="N19">
        <f t="shared" si="4"/>
        <v>1.1692425593655242</v>
      </c>
      <c r="O19">
        <f t="shared" si="5"/>
        <v>3.2678587157579431</v>
      </c>
      <c r="P19">
        <f t="shared" si="6"/>
        <v>-8.9920523340888856</v>
      </c>
      <c r="Q19">
        <f t="shared" si="7"/>
        <v>10.216466635962185</v>
      </c>
      <c r="R19">
        <f t="shared" si="1"/>
        <v>1.8776371308016904</v>
      </c>
      <c r="S19">
        <f t="shared" si="1"/>
        <v>3.0690797858781593</v>
      </c>
      <c r="T19">
        <f t="shared" si="1"/>
        <v>-0.20991514068781081</v>
      </c>
      <c r="V19" t="s">
        <v>18</v>
      </c>
      <c r="W19">
        <f>((B33/B17)^(1/16)-1)*100</f>
        <v>1.0427867018800718</v>
      </c>
      <c r="X19" t="e">
        <f>((C33/C17)^(1/16)-1)*100</f>
        <v>#VALUE!</v>
      </c>
      <c r="Y19">
        <f>((D33/D17)^(1/16)-1)*100</f>
        <v>-4.3390988699052224</v>
      </c>
      <c r="Z19">
        <f>((E33/E17)^(1/16)-1)*100</f>
        <v>-2.6872474125196444</v>
      </c>
      <c r="AA19" t="e">
        <f t="shared" ref="AA19:AC19" si="9">((I33/I17)^(1/16)-1)*100</f>
        <v>#VALUE!</v>
      </c>
      <c r="AB19" t="e">
        <f t="shared" si="9"/>
        <v>#VALUE!</v>
      </c>
      <c r="AC19" t="e">
        <f t="shared" si="9"/>
        <v>#VALUE!</v>
      </c>
      <c r="AE19" s="259"/>
      <c r="AF19" s="259"/>
      <c r="AG19" s="259"/>
    </row>
    <row r="20" spans="1:33">
      <c r="A20" s="18">
        <v>2000</v>
      </c>
      <c r="B20" s="129">
        <v>5935300</v>
      </c>
      <c r="C20" s="10">
        <f t="shared" si="3"/>
        <v>175860</v>
      </c>
      <c r="D20" s="129">
        <v>31719</v>
      </c>
      <c r="E20" s="129">
        <v>81364</v>
      </c>
      <c r="F20" s="129">
        <v>40673</v>
      </c>
      <c r="G20" s="129">
        <v>11902</v>
      </c>
      <c r="H20" s="129">
        <v>28789</v>
      </c>
      <c r="I20" s="129">
        <v>62777</v>
      </c>
      <c r="J20" s="129">
        <v>40434</v>
      </c>
      <c r="K20" s="129">
        <v>22343</v>
      </c>
      <c r="M20">
        <v>2001</v>
      </c>
      <c r="N20">
        <f t="shared" si="4"/>
        <v>-0.4138796690984492</v>
      </c>
      <c r="O20">
        <f t="shared" si="5"/>
        <v>-6.6592744228363472</v>
      </c>
      <c r="P20">
        <f t="shared" si="6"/>
        <v>-12.494088716542141</v>
      </c>
      <c r="Q20">
        <f t="shared" si="7"/>
        <v>-4.8043360700063875</v>
      </c>
      <c r="R20">
        <f t="shared" si="1"/>
        <v>-6.1152970036796876</v>
      </c>
      <c r="S20">
        <f t="shared" si="1"/>
        <v>-6.6577632685363763</v>
      </c>
      <c r="T20">
        <f t="shared" si="1"/>
        <v>-5.1335988900326761</v>
      </c>
      <c r="AE20" s="259"/>
      <c r="AF20" s="259"/>
      <c r="AG20" s="259"/>
    </row>
    <row r="21" spans="1:33">
      <c r="A21" s="18">
        <v>2001</v>
      </c>
      <c r="B21" s="129">
        <v>5910735</v>
      </c>
      <c r="C21" s="10">
        <f t="shared" si="3"/>
        <v>164149</v>
      </c>
      <c r="D21" s="129">
        <v>27756</v>
      </c>
      <c r="E21" s="129">
        <v>77455</v>
      </c>
      <c r="F21" s="129">
        <v>37761</v>
      </c>
      <c r="G21" s="129">
        <v>12195</v>
      </c>
      <c r="H21" s="129">
        <v>27499</v>
      </c>
      <c r="I21" s="129">
        <v>58938</v>
      </c>
      <c r="J21" s="129">
        <v>37742</v>
      </c>
      <c r="K21" s="129">
        <v>21196</v>
      </c>
      <c r="M21">
        <v>2002</v>
      </c>
      <c r="N21">
        <f t="shared" si="4"/>
        <v>2.9213118165507312</v>
      </c>
      <c r="O21">
        <f t="shared" si="5"/>
        <v>-2.419143582964256</v>
      </c>
      <c r="P21">
        <f t="shared" si="6"/>
        <v>-3.6172359129557519</v>
      </c>
      <c r="Q21">
        <f t="shared" si="7"/>
        <v>0.96055774320573661</v>
      </c>
      <c r="R21">
        <f t="shared" si="1"/>
        <v>-6.2964471139163152</v>
      </c>
      <c r="S21">
        <f t="shared" si="1"/>
        <v>-8.1447724020984538</v>
      </c>
      <c r="T21">
        <f t="shared" si="1"/>
        <v>-3.00528401585205</v>
      </c>
      <c r="AE21" s="259"/>
      <c r="AF21" s="259"/>
      <c r="AG21" s="259"/>
    </row>
    <row r="22" spans="1:33">
      <c r="A22" s="18">
        <v>2002</v>
      </c>
      <c r="B22" s="129">
        <v>6083406</v>
      </c>
      <c r="C22" s="10">
        <f t="shared" si="3"/>
        <v>160178</v>
      </c>
      <c r="D22" s="129">
        <v>26752</v>
      </c>
      <c r="E22" s="129">
        <v>78199</v>
      </c>
      <c r="F22" s="129">
        <v>36676</v>
      </c>
      <c r="G22" s="129">
        <v>12706</v>
      </c>
      <c r="H22" s="129">
        <v>28817</v>
      </c>
      <c r="I22" s="129">
        <v>55227</v>
      </c>
      <c r="J22" s="129">
        <v>34668</v>
      </c>
      <c r="K22" s="129">
        <v>20559</v>
      </c>
      <c r="M22">
        <v>2003</v>
      </c>
      <c r="N22">
        <f t="shared" si="4"/>
        <v>-0.17426093211598825</v>
      </c>
      <c r="O22">
        <f t="shared" si="5"/>
        <v>-1.0263581765286078</v>
      </c>
      <c r="P22">
        <f t="shared" si="6"/>
        <v>2.6689593301435499</v>
      </c>
      <c r="Q22">
        <f t="shared" si="7"/>
        <v>-0.52430337983861985</v>
      </c>
      <c r="R22">
        <f t="shared" si="1"/>
        <v>-3.5272602169228784</v>
      </c>
      <c r="S22">
        <f t="shared" si="1"/>
        <v>-2.6854736356293984</v>
      </c>
      <c r="T22">
        <f t="shared" si="1"/>
        <v>-4.9516027044116946</v>
      </c>
      <c r="AE22" s="259"/>
      <c r="AF22" s="259"/>
      <c r="AG22" s="259"/>
    </row>
    <row r="23" spans="1:33">
      <c r="A23" s="18">
        <v>2003</v>
      </c>
      <c r="B23" s="129">
        <v>6072805</v>
      </c>
      <c r="C23" s="10">
        <f t="shared" si="3"/>
        <v>158534</v>
      </c>
      <c r="D23" s="129">
        <v>27466</v>
      </c>
      <c r="E23" s="129">
        <v>77789</v>
      </c>
      <c r="F23" s="129">
        <v>34412</v>
      </c>
      <c r="G23" s="129">
        <v>11575</v>
      </c>
      <c r="H23" s="129">
        <v>31802</v>
      </c>
      <c r="I23" s="129">
        <v>53279</v>
      </c>
      <c r="J23" s="129">
        <v>33737</v>
      </c>
      <c r="K23" s="129">
        <v>19541</v>
      </c>
      <c r="M23">
        <v>2004</v>
      </c>
      <c r="N23">
        <f t="shared" si="4"/>
        <v>2.1391597457846911</v>
      </c>
      <c r="O23">
        <f t="shared" si="5"/>
        <v>-3.1797595468479933</v>
      </c>
      <c r="P23">
        <f t="shared" si="6"/>
        <v>0.74273647418625632</v>
      </c>
      <c r="Q23">
        <f t="shared" si="7"/>
        <v>-7.151396727043668</v>
      </c>
      <c r="R23">
        <f t="shared" si="1"/>
        <v>0.5968580491375608</v>
      </c>
      <c r="S23">
        <f t="shared" si="1"/>
        <v>0.96926223434212755</v>
      </c>
      <c r="T23">
        <f t="shared" si="1"/>
        <v>-3.5822117598893755E-2</v>
      </c>
      <c r="AE23" s="259"/>
      <c r="AF23" s="259"/>
      <c r="AG23" s="259"/>
    </row>
    <row r="24" spans="1:33">
      <c r="A24" s="18">
        <v>2004</v>
      </c>
      <c r="B24" s="129">
        <v>6202712</v>
      </c>
      <c r="C24" s="10">
        <f t="shared" si="3"/>
        <v>153493</v>
      </c>
      <c r="D24" s="129">
        <v>27670</v>
      </c>
      <c r="E24" s="129">
        <v>72226</v>
      </c>
      <c r="F24" s="129">
        <v>33418</v>
      </c>
      <c r="G24" s="129">
        <v>9958</v>
      </c>
      <c r="H24" s="129">
        <v>28849</v>
      </c>
      <c r="I24" s="129">
        <v>53597</v>
      </c>
      <c r="J24" s="129">
        <v>34064</v>
      </c>
      <c r="K24" s="129">
        <v>19534</v>
      </c>
      <c r="M24">
        <v>2005</v>
      </c>
      <c r="N24">
        <f t="shared" si="4"/>
        <v>5.3363754435165056E-2</v>
      </c>
      <c r="O24">
        <f t="shared" si="5"/>
        <v>0.46386480165219179</v>
      </c>
      <c r="P24">
        <f t="shared" si="6"/>
        <v>-1.2359956631731062</v>
      </c>
      <c r="Q24">
        <f t="shared" si="7"/>
        <v>-3.857336693157587</v>
      </c>
      <c r="R24">
        <f t="shared" si="1"/>
        <v>7.1645801070955528</v>
      </c>
      <c r="S24">
        <f t="shared" si="1"/>
        <v>12.91099107562237</v>
      </c>
      <c r="T24">
        <f t="shared" si="1"/>
        <v>-2.861677075867719</v>
      </c>
      <c r="AE24" s="259"/>
      <c r="AF24" s="259"/>
      <c r="AG24" s="259"/>
    </row>
    <row r="25" spans="1:33">
      <c r="A25" s="18">
        <v>2005</v>
      </c>
      <c r="B25" s="129">
        <v>6206022</v>
      </c>
      <c r="C25" s="10">
        <f t="shared" si="3"/>
        <v>154205</v>
      </c>
      <c r="D25" s="129">
        <v>27328</v>
      </c>
      <c r="E25" s="129">
        <v>69440</v>
      </c>
      <c r="F25" s="129">
        <v>32300</v>
      </c>
      <c r="G25" s="129">
        <v>9158</v>
      </c>
      <c r="H25" s="129">
        <v>27981</v>
      </c>
      <c r="I25" s="129">
        <v>57437</v>
      </c>
      <c r="J25" s="129">
        <v>38462</v>
      </c>
      <c r="K25" s="129">
        <v>18975</v>
      </c>
      <c r="M25">
        <v>2006</v>
      </c>
      <c r="N25">
        <f t="shared" si="4"/>
        <v>0.51715897881121631</v>
      </c>
      <c r="O25">
        <f t="shared" si="5"/>
        <v>-5.6424888946532192</v>
      </c>
      <c r="P25">
        <f t="shared" si="6"/>
        <v>-1.3905152224824358</v>
      </c>
      <c r="Q25">
        <f t="shared" si="7"/>
        <v>-8.8940092165898594</v>
      </c>
      <c r="R25">
        <f t="shared" si="1"/>
        <v>-3.7345265247140325</v>
      </c>
      <c r="S25">
        <f t="shared" si="1"/>
        <v>-2.2905725131298404</v>
      </c>
      <c r="T25">
        <f t="shared" si="1"/>
        <v>-6.6613965744400483</v>
      </c>
      <c r="AE25" s="259"/>
      <c r="AF25" s="259"/>
      <c r="AG25" s="259"/>
    </row>
    <row r="26" spans="1:33">
      <c r="A26" s="18">
        <v>2006</v>
      </c>
      <c r="B26" s="129">
        <v>6238117</v>
      </c>
      <c r="C26" s="10">
        <f t="shared" si="3"/>
        <v>145504</v>
      </c>
      <c r="D26" s="129">
        <v>26948</v>
      </c>
      <c r="E26" s="129">
        <v>63264</v>
      </c>
      <c r="F26" s="129">
        <v>27493</v>
      </c>
      <c r="G26" s="129">
        <v>9214</v>
      </c>
      <c r="H26" s="129">
        <v>26556</v>
      </c>
      <c r="I26" s="129">
        <v>55292</v>
      </c>
      <c r="J26" s="129">
        <v>37581</v>
      </c>
      <c r="K26" s="129">
        <v>17711</v>
      </c>
      <c r="M26">
        <v>2007</v>
      </c>
      <c r="N26">
        <f t="shared" si="4"/>
        <v>1.1342685621318127</v>
      </c>
      <c r="O26">
        <f t="shared" si="5"/>
        <v>-7.9661040246316261</v>
      </c>
      <c r="P26">
        <f t="shared" si="6"/>
        <v>-9.9339468606204573</v>
      </c>
      <c r="Q26">
        <f t="shared" si="7"/>
        <v>-11.034711684370258</v>
      </c>
      <c r="R26">
        <f t="shared" si="1"/>
        <v>-3.4959849526152054</v>
      </c>
      <c r="S26">
        <f t="shared" si="1"/>
        <v>-11.606929033288093</v>
      </c>
      <c r="T26">
        <f t="shared" si="1"/>
        <v>13.714640618824458</v>
      </c>
      <c r="AE26" s="259"/>
      <c r="AF26" s="259"/>
      <c r="AG26" s="259"/>
    </row>
    <row r="27" spans="1:33">
      <c r="A27" s="18">
        <v>2007</v>
      </c>
      <c r="B27" s="129">
        <v>6308874</v>
      </c>
      <c r="C27" s="10">
        <f t="shared" si="3"/>
        <v>133913</v>
      </c>
      <c r="D27" s="129">
        <v>24271</v>
      </c>
      <c r="E27" s="129">
        <v>56283</v>
      </c>
      <c r="F27" s="129">
        <v>24076</v>
      </c>
      <c r="G27" s="129">
        <v>7353</v>
      </c>
      <c r="H27" s="129">
        <v>24854</v>
      </c>
      <c r="I27" s="129">
        <v>53359</v>
      </c>
      <c r="J27" s="129">
        <v>33219</v>
      </c>
      <c r="K27" s="129">
        <v>20140</v>
      </c>
      <c r="M27">
        <v>2008</v>
      </c>
      <c r="N27">
        <f t="shared" si="4"/>
        <v>2.2756200234780311</v>
      </c>
      <c r="O27">
        <f t="shared" si="5"/>
        <v>-6.5184112072763645</v>
      </c>
      <c r="P27">
        <f t="shared" si="6"/>
        <v>3.675167895842768</v>
      </c>
      <c r="Q27">
        <f t="shared" si="7"/>
        <v>-8.9192118401648752</v>
      </c>
      <c r="R27">
        <f t="shared" si="1"/>
        <v>-8.6227253134429027</v>
      </c>
      <c r="S27">
        <f t="shared" si="1"/>
        <v>-10.102652096691656</v>
      </c>
      <c r="T27">
        <f t="shared" si="1"/>
        <v>-6.1817279046673335</v>
      </c>
      <c r="AE27" s="259"/>
      <c r="AF27" s="259"/>
      <c r="AG27" s="259"/>
    </row>
    <row r="28" spans="1:33">
      <c r="A28" s="18">
        <v>2008</v>
      </c>
      <c r="B28" s="129">
        <v>6452440</v>
      </c>
      <c r="C28" s="10">
        <f t="shared" si="3"/>
        <v>125184</v>
      </c>
      <c r="D28" s="129">
        <v>25163</v>
      </c>
      <c r="E28" s="129">
        <v>51263</v>
      </c>
      <c r="F28" s="129">
        <v>19306</v>
      </c>
      <c r="G28" s="129">
        <v>6330</v>
      </c>
      <c r="H28" s="129">
        <v>25626</v>
      </c>
      <c r="I28" s="129">
        <v>48758</v>
      </c>
      <c r="J28" s="129">
        <v>29863</v>
      </c>
      <c r="K28" s="129">
        <v>18895</v>
      </c>
      <c r="M28">
        <v>2009</v>
      </c>
      <c r="N28">
        <f t="shared" si="4"/>
        <v>-2.442300897024996</v>
      </c>
      <c r="O28">
        <f t="shared" si="5"/>
        <v>-9.2200281186094024</v>
      </c>
      <c r="P28">
        <f t="shared" si="6"/>
        <v>-3.5727059571593167</v>
      </c>
      <c r="Q28">
        <f t="shared" si="7"/>
        <v>-8.3198408208649539</v>
      </c>
      <c r="R28">
        <f t="shared" si="1"/>
        <v>-13.080930308872386</v>
      </c>
      <c r="S28">
        <f t="shared" si="1"/>
        <v>-16.297759769614572</v>
      </c>
      <c r="T28">
        <f t="shared" si="1"/>
        <v>-8.0021169621593007</v>
      </c>
      <c r="AE28" s="259"/>
      <c r="AF28" s="259"/>
      <c r="AG28" s="259"/>
    </row>
    <row r="29" spans="1:33">
      <c r="A29" s="18">
        <v>2009</v>
      </c>
      <c r="B29" s="129">
        <v>6294852</v>
      </c>
      <c r="C29" s="10">
        <f t="shared" si="3"/>
        <v>113642</v>
      </c>
      <c r="D29" s="129">
        <v>24264</v>
      </c>
      <c r="E29" s="129">
        <v>46998</v>
      </c>
      <c r="F29" s="129">
        <v>13915</v>
      </c>
      <c r="G29" s="129">
        <v>6538</v>
      </c>
      <c r="H29" s="129">
        <v>26545</v>
      </c>
      <c r="I29" s="129">
        <v>42380</v>
      </c>
      <c r="J29" s="129">
        <v>24996</v>
      </c>
      <c r="K29" s="129">
        <v>17383</v>
      </c>
      <c r="M29">
        <v>2010</v>
      </c>
      <c r="N29">
        <f t="shared" si="4"/>
        <v>2.1748724195580715</v>
      </c>
      <c r="O29">
        <f t="shared" si="5"/>
        <v>0.11263441333309032</v>
      </c>
      <c r="P29">
        <f t="shared" si="6"/>
        <v>-29.310913287174412</v>
      </c>
      <c r="Q29">
        <f t="shared" si="7"/>
        <v>10.538746329631055</v>
      </c>
      <c r="R29">
        <f t="shared" si="1"/>
        <v>5.3964134025483723</v>
      </c>
      <c r="S29">
        <f t="shared" si="1"/>
        <v>0.99615938550168259</v>
      </c>
      <c r="T29">
        <f t="shared" si="1"/>
        <v>11.735603750791013</v>
      </c>
      <c r="AE29" s="259"/>
      <c r="AF29" s="259"/>
      <c r="AG29" s="259"/>
    </row>
    <row r="30" spans="1:33">
      <c r="A30" s="18">
        <v>2010</v>
      </c>
      <c r="B30" s="129">
        <v>6431757</v>
      </c>
      <c r="C30" s="10">
        <f t="shared" si="3"/>
        <v>113770</v>
      </c>
      <c r="D30" s="129">
        <v>17152</v>
      </c>
      <c r="E30" s="129">
        <v>51951</v>
      </c>
      <c r="F30" s="129">
        <v>15793</v>
      </c>
      <c r="G30" s="129">
        <v>9802</v>
      </c>
      <c r="H30" s="129">
        <v>26354</v>
      </c>
      <c r="I30" s="129">
        <v>44667</v>
      </c>
      <c r="J30" s="129">
        <v>25245</v>
      </c>
      <c r="K30" s="129">
        <v>19423</v>
      </c>
      <c r="M30">
        <v>2011</v>
      </c>
      <c r="N30">
        <f t="shared" si="4"/>
        <v>0.65238783119450083</v>
      </c>
      <c r="O30">
        <f t="shared" si="5"/>
        <v>-4.4967917728750972</v>
      </c>
      <c r="P30">
        <f t="shared" si="6"/>
        <v>30.608675373134318</v>
      </c>
      <c r="Q30">
        <f t="shared" si="7"/>
        <v>-6.0884294816269229</v>
      </c>
      <c r="R30">
        <f t="shared" si="1"/>
        <v>-16.125999059708505</v>
      </c>
      <c r="S30">
        <f t="shared" si="1"/>
        <v>-14.620716973658155</v>
      </c>
      <c r="T30">
        <f t="shared" si="1"/>
        <v>-18.086804304175462</v>
      </c>
      <c r="AE30" s="259"/>
      <c r="AF30" s="259"/>
      <c r="AG30" s="259"/>
    </row>
    <row r="31" spans="1:33">
      <c r="A31" s="18">
        <v>2011</v>
      </c>
      <c r="B31" s="129">
        <v>6473717</v>
      </c>
      <c r="C31" s="10">
        <f t="shared" si="3"/>
        <v>108654</v>
      </c>
      <c r="D31" s="129">
        <v>22402</v>
      </c>
      <c r="E31" s="129">
        <v>48788</v>
      </c>
      <c r="F31" s="129">
        <v>13963</v>
      </c>
      <c r="G31" s="129">
        <v>9191</v>
      </c>
      <c r="H31" s="129">
        <v>25634</v>
      </c>
      <c r="I31" s="129">
        <v>37464</v>
      </c>
      <c r="J31" s="129">
        <v>21554</v>
      </c>
      <c r="K31" s="129">
        <v>15910</v>
      </c>
      <c r="M31">
        <v>2012</v>
      </c>
      <c r="N31">
        <f t="shared" si="4"/>
        <v>0.95739433775063887</v>
      </c>
      <c r="O31">
        <f t="shared" si="5"/>
        <v>-9.6977561801682377</v>
      </c>
      <c r="P31">
        <f t="shared" si="6"/>
        <v>-24.189804481742705</v>
      </c>
      <c r="Q31">
        <f t="shared" si="7"/>
        <v>-10.289415430023773</v>
      </c>
      <c r="R31">
        <f t="shared" si="1"/>
        <v>-0.26158445440956912</v>
      </c>
      <c r="S31">
        <f t="shared" si="1"/>
        <v>2.1666512016331074</v>
      </c>
      <c r="T31">
        <f t="shared" si="1"/>
        <v>-3.551225644248901</v>
      </c>
      <c r="AE31" s="259"/>
      <c r="AF31" s="259"/>
      <c r="AG31" s="259"/>
    </row>
    <row r="32" spans="1:33">
      <c r="A32" s="18">
        <v>2012</v>
      </c>
      <c r="B32" s="129">
        <v>6535696</v>
      </c>
      <c r="C32" s="10">
        <f t="shared" si="3"/>
        <v>98117</v>
      </c>
      <c r="D32" s="129">
        <v>16983</v>
      </c>
      <c r="E32" s="129">
        <v>43768</v>
      </c>
      <c r="F32" s="129">
        <v>9626</v>
      </c>
      <c r="G32" s="129">
        <v>8832</v>
      </c>
      <c r="H32" s="129">
        <v>25311</v>
      </c>
      <c r="I32" s="129">
        <v>37366</v>
      </c>
      <c r="J32" s="129">
        <v>22021</v>
      </c>
      <c r="K32" s="129">
        <v>15345</v>
      </c>
      <c r="AE32" s="259"/>
      <c r="AF32" s="259"/>
      <c r="AG32" s="259"/>
    </row>
    <row r="33" spans="1:35">
      <c r="A33" s="18">
        <v>2013</v>
      </c>
      <c r="B33" s="129">
        <v>6565954</v>
      </c>
      <c r="C33" s="10">
        <f t="shared" si="3"/>
        <v>95221</v>
      </c>
      <c r="D33" s="129">
        <v>14439</v>
      </c>
      <c r="E33" s="129">
        <v>44764</v>
      </c>
      <c r="F33" s="129">
        <v>10422</v>
      </c>
      <c r="G33" s="129">
        <v>8150</v>
      </c>
      <c r="H33" s="129">
        <v>26190</v>
      </c>
      <c r="I33" s="129">
        <v>36018</v>
      </c>
      <c r="J33" s="129">
        <v>21017</v>
      </c>
      <c r="K33" s="129">
        <v>15001</v>
      </c>
      <c r="AE33" s="259"/>
      <c r="AF33" s="259"/>
      <c r="AG33" s="259"/>
      <c r="AH33" s="364"/>
      <c r="AI33" s="364"/>
    </row>
    <row r="34" spans="1: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</row>
    <row r="35" spans="1:35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t="s">
        <v>16</v>
      </c>
      <c r="O35" t="s">
        <v>8</v>
      </c>
      <c r="P35" t="s">
        <v>3</v>
      </c>
      <c r="Q35" t="s">
        <v>4</v>
      </c>
      <c r="R35" t="s">
        <v>17</v>
      </c>
      <c r="S35" t="s">
        <v>6</v>
      </c>
      <c r="T35" t="s">
        <v>7</v>
      </c>
    </row>
    <row r="36" spans="1:35" ht="30">
      <c r="A36" s="363" t="s">
        <v>527</v>
      </c>
      <c r="B36" s="11">
        <f>((B20/B18)^(1/2)-1)*100</f>
        <v>2.1870158093274084</v>
      </c>
      <c r="C36" s="11">
        <f t="shared" ref="C36:K36" si="10">((C20/C18)^(1/2)-1)*100</f>
        <v>3.0792891837095215</v>
      </c>
      <c r="D36" s="11">
        <f t="shared" si="10"/>
        <v>-1.9512054998746753</v>
      </c>
      <c r="E36" s="369">
        <f t="shared" si="10"/>
        <v>8.2630098918442521</v>
      </c>
      <c r="F36" s="369">
        <f t="shared" si="10"/>
        <v>5.0749487879070632</v>
      </c>
      <c r="G36" s="369">
        <f t="shared" si="10"/>
        <v>1.8435726482547876</v>
      </c>
      <c r="H36" s="369">
        <f t="shared" si="10"/>
        <v>16.796788333299073</v>
      </c>
      <c r="I36" s="102">
        <f t="shared" si="10"/>
        <v>-0.25469056037679128</v>
      </c>
      <c r="J36" s="102">
        <f t="shared" si="10"/>
        <v>-0.74467755482143794</v>
      </c>
      <c r="K36" s="102">
        <f t="shared" si="10"/>
        <v>0.65079549771716039</v>
      </c>
      <c r="M36">
        <v>1999</v>
      </c>
      <c r="N36">
        <f>B19/$B$20</f>
        <v>0.98844270719255978</v>
      </c>
      <c r="O36">
        <f t="shared" ref="O36:O38" si="11">C19/$C$20</f>
        <v>0.96835551006482434</v>
      </c>
      <c r="P36">
        <f t="shared" ref="P36" si="12">D19/$D$20</f>
        <v>1.0988051325703836</v>
      </c>
      <c r="Q36">
        <f t="shared" ref="Q36:Q38" si="13">E19/$E$20</f>
        <v>0.90730544221031417</v>
      </c>
      <c r="R36">
        <f t="shared" ref="R36:R38" si="14">I19/$I$20</f>
        <v>0.98156968316421622</v>
      </c>
      <c r="S36">
        <f t="shared" ref="S36:S38" si="15">J19/$J$20</f>
        <v>0.97022307958648657</v>
      </c>
      <c r="T36">
        <f t="shared" ref="T36:T38" si="16">K19/$K$20</f>
        <v>1.0021035671127423</v>
      </c>
    </row>
    <row r="37" spans="1:35" ht="30">
      <c r="A37" s="325" t="s">
        <v>68</v>
      </c>
      <c r="B37" s="11">
        <f>((B27/B20)^(1/7)-1)*100</f>
        <v>0.87580779759077743</v>
      </c>
      <c r="C37" s="11">
        <f t="shared" ref="C37:K37" si="17">((C27/C20)^(1/7)-1)*100</f>
        <v>-3.81803018069653</v>
      </c>
      <c r="D37" s="11">
        <f t="shared" si="17"/>
        <v>-3.7511709243974289</v>
      </c>
      <c r="E37" s="369">
        <f t="shared" si="17"/>
        <v>-5.1286692481944174</v>
      </c>
      <c r="F37" s="369">
        <f t="shared" si="17"/>
        <v>-7.217022791902572</v>
      </c>
      <c r="G37" s="369">
        <f t="shared" si="17"/>
        <v>-6.6486377202551132</v>
      </c>
      <c r="H37" s="369">
        <f t="shared" si="17"/>
        <v>-2.0777491260590364</v>
      </c>
      <c r="I37" s="102">
        <f t="shared" si="17"/>
        <v>-2.2953342247502895</v>
      </c>
      <c r="J37" s="102">
        <f t="shared" si="17"/>
        <v>-2.7687895156675579</v>
      </c>
      <c r="K37" s="102">
        <f t="shared" si="17"/>
        <v>-1.471989948523722</v>
      </c>
      <c r="M37">
        <v>2000</v>
      </c>
      <c r="N37">
        <f>B20/$B$20</f>
        <v>1</v>
      </c>
      <c r="O37">
        <f t="shared" si="11"/>
        <v>1</v>
      </c>
      <c r="P37">
        <f t="shared" ref="P37" si="18">D20/$D$20</f>
        <v>1</v>
      </c>
      <c r="Q37">
        <f t="shared" si="13"/>
        <v>1</v>
      </c>
      <c r="R37">
        <f t="shared" si="14"/>
        <v>1</v>
      </c>
      <c r="S37">
        <f t="shared" si="15"/>
        <v>1</v>
      </c>
      <c r="T37">
        <f t="shared" si="16"/>
        <v>1</v>
      </c>
    </row>
    <row r="38" spans="1:35" ht="30">
      <c r="A38" s="63" t="s">
        <v>69</v>
      </c>
      <c r="B38" s="11">
        <f>((B33/B27)^(1/6)-1)*100</f>
        <v>0.6678972106952008</v>
      </c>
      <c r="C38" s="11">
        <f t="shared" ref="C38:K38" si="19">((C33/C27)^(1/6)-1)*100</f>
        <v>-5.5246883759227261</v>
      </c>
      <c r="D38" s="11">
        <f t="shared" si="19"/>
        <v>-8.2917848813006785</v>
      </c>
      <c r="E38" s="369">
        <f t="shared" si="19"/>
        <v>-3.7445619436016875</v>
      </c>
      <c r="F38" s="369">
        <f t="shared" si="19"/>
        <v>-13.024996339772832</v>
      </c>
      <c r="G38" s="369">
        <f t="shared" si="19"/>
        <v>1.7299522061261952</v>
      </c>
      <c r="H38" s="369">
        <f t="shared" si="19"/>
        <v>0.87646790204713998</v>
      </c>
      <c r="I38" s="102">
        <f t="shared" si="19"/>
        <v>-6.3404675793389149</v>
      </c>
      <c r="J38" s="102">
        <f t="shared" si="19"/>
        <v>-7.3460309094066423</v>
      </c>
      <c r="K38" s="102">
        <f t="shared" si="19"/>
        <v>-4.7912658974083477</v>
      </c>
      <c r="M38">
        <v>2001</v>
      </c>
      <c r="N38">
        <f>B21/$B$20</f>
        <v>0.99586120330901551</v>
      </c>
      <c r="O38">
        <f t="shared" si="11"/>
        <v>0.93340725577163652</v>
      </c>
      <c r="P38">
        <f t="shared" ref="P38" si="20">D21/$D$20</f>
        <v>0.8750591128345786</v>
      </c>
      <c r="Q38">
        <f t="shared" si="13"/>
        <v>0.95195663929993612</v>
      </c>
      <c r="R38">
        <f t="shared" si="14"/>
        <v>0.93884702996320313</v>
      </c>
      <c r="S38">
        <f t="shared" si="15"/>
        <v>0.93342236731463624</v>
      </c>
      <c r="T38">
        <f t="shared" si="16"/>
        <v>0.94866401109967324</v>
      </c>
    </row>
    <row r="39" spans="1:35" s="259" customFormat="1" ht="30">
      <c r="A39" s="325" t="s">
        <v>15</v>
      </c>
      <c r="B39" s="11">
        <f>((B33/B20)^(1/13)-1)*100</f>
        <v>0.77979576137880979</v>
      </c>
      <c r="C39" s="11">
        <f t="shared" ref="C39:K39" si="21">((C33/C20)^(1/13)-1)*100</f>
        <v>-4.6095161912709575</v>
      </c>
      <c r="D39" s="11">
        <f t="shared" si="21"/>
        <v>-5.8741202395248271</v>
      </c>
      <c r="E39" s="369">
        <f t="shared" si="21"/>
        <v>-4.4923411017426362</v>
      </c>
      <c r="F39" s="369">
        <f t="shared" si="21"/>
        <v>-9.9443130825656034</v>
      </c>
      <c r="G39" s="369">
        <f t="shared" si="21"/>
        <v>-2.8709701334041937</v>
      </c>
      <c r="H39" s="369">
        <f t="shared" si="21"/>
        <v>-0.72517101706460751</v>
      </c>
      <c r="I39" s="102">
        <f t="shared" si="21"/>
        <v>-4.1835831729424839</v>
      </c>
      <c r="J39" s="102">
        <f t="shared" si="21"/>
        <v>-4.9088041513876579</v>
      </c>
      <c r="K39" s="102">
        <f t="shared" si="21"/>
        <v>-3.0181038084284961</v>
      </c>
    </row>
    <row r="40" spans="1:35">
      <c r="M40">
        <v>2003</v>
      </c>
      <c r="N40">
        <f>B23/$B$20</f>
        <v>1.0231673209441814</v>
      </c>
      <c r="O40">
        <f>C23/$C$20</f>
        <v>0.90147844876606387</v>
      </c>
      <c r="P40">
        <f t="shared" ref="P40" si="22">D23/$D$20</f>
        <v>0.86591632775308169</v>
      </c>
      <c r="Q40">
        <f>E23/$E$20</f>
        <v>0.95606164888648537</v>
      </c>
      <c r="R40">
        <f>I23/$I$20</f>
        <v>0.8487025502970833</v>
      </c>
      <c r="S40">
        <f>J23/$J$20</f>
        <v>0.83437206311520007</v>
      </c>
      <c r="T40">
        <f>K23/$K$20</f>
        <v>0.87459159468289849</v>
      </c>
    </row>
    <row r="41" spans="1:35">
      <c r="A41" s="39" t="s">
        <v>40</v>
      </c>
      <c r="B41" s="39"/>
      <c r="M41">
        <v>2004</v>
      </c>
      <c r="N41">
        <f>B24/$B$20</f>
        <v>1.045054504405843</v>
      </c>
      <c r="O41">
        <f>C24/$C$20</f>
        <v>0.87281360172864775</v>
      </c>
      <c r="P41">
        <f t="shared" ref="P41" si="23">D24/$D$20</f>
        <v>0.87234780415523816</v>
      </c>
      <c r="Q41">
        <f>E24/$E$20</f>
        <v>0.88768988741949761</v>
      </c>
      <c r="R41">
        <f>I24/$I$20</f>
        <v>0.85376809978176715</v>
      </c>
      <c r="S41">
        <f>J24/$J$20</f>
        <v>0.84245931641687688</v>
      </c>
      <c r="T41">
        <f>K24/$K$20</f>
        <v>0.87427829745334107</v>
      </c>
    </row>
    <row r="42" spans="1:35">
      <c r="A42" s="47" t="s">
        <v>52</v>
      </c>
      <c r="C42" s="47"/>
      <c r="D42" s="47"/>
      <c r="E42" s="47"/>
      <c r="F42" s="47"/>
      <c r="G42" s="47"/>
      <c r="H42" s="47"/>
      <c r="I42" s="47"/>
      <c r="J42" s="47"/>
      <c r="K42" s="47"/>
      <c r="M42">
        <v>2005</v>
      </c>
      <c r="N42">
        <f>B25/$B$20</f>
        <v>1.0456121847252877</v>
      </c>
      <c r="O42">
        <f>C25/$C$20</f>
        <v>0.87686227681109974</v>
      </c>
      <c r="P42">
        <f t="shared" ref="P42" si="24">D25/$D$20</f>
        <v>0.86156562312809359</v>
      </c>
      <c r="Q42">
        <f>E25/$E$20</f>
        <v>0.85344869967061598</v>
      </c>
      <c r="R42">
        <f>I25/$I$20</f>
        <v>0.91493699921945937</v>
      </c>
      <c r="S42">
        <f>J25/$J$20</f>
        <v>0.95122916357520904</v>
      </c>
      <c r="T42">
        <f>K25/$K$20</f>
        <v>0.84925927583583227</v>
      </c>
    </row>
    <row r="43" spans="1:35" s="237" customFormat="1">
      <c r="A43" s="231" t="s">
        <v>144</v>
      </c>
      <c r="C43" s="229"/>
      <c r="D43" s="229"/>
      <c r="E43" s="229"/>
      <c r="F43" s="229"/>
      <c r="G43" s="229"/>
      <c r="H43" s="229"/>
      <c r="I43" s="229"/>
      <c r="J43" s="229"/>
      <c r="K43" s="229"/>
    </row>
    <row r="44" spans="1:35">
      <c r="A44" s="259" t="s">
        <v>366</v>
      </c>
      <c r="B44" s="39"/>
      <c r="M44">
        <v>2008</v>
      </c>
      <c r="N44">
        <f t="shared" ref="N44:N49" si="25">B28/$B$20</f>
        <v>1.0871295469479219</v>
      </c>
      <c r="O44">
        <f t="shared" ref="O44:O49" si="26">C28/$C$20</f>
        <v>0.71183896281132719</v>
      </c>
      <c r="P44">
        <f t="shared" ref="P44" si="27">D28/$D$20</f>
        <v>0.793310003467953</v>
      </c>
      <c r="Q44">
        <f t="shared" ref="Q44:Q49" si="28">E28/$E$20</f>
        <v>0.63004522884813918</v>
      </c>
      <c r="R44">
        <f t="shared" ref="R44:R49" si="29">I28/$I$20</f>
        <v>0.77668572884973797</v>
      </c>
      <c r="S44">
        <f t="shared" ref="S44:S49" si="30">J28/$J$20</f>
        <v>0.73856160656872927</v>
      </c>
      <c r="T44">
        <f t="shared" ref="T44:T49" si="31">K28/$K$20</f>
        <v>0.84567873606946242</v>
      </c>
    </row>
    <row r="45" spans="1:35">
      <c r="A45" s="28" t="s">
        <v>53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M45">
        <v>2009</v>
      </c>
      <c r="N45">
        <f t="shared" si="25"/>
        <v>1.0605785722709888</v>
      </c>
      <c r="O45">
        <f t="shared" si="26"/>
        <v>0.64620721028090522</v>
      </c>
      <c r="P45">
        <f t="shared" ref="P45" si="32">D29/$D$20</f>
        <v>0.76496736971531254</v>
      </c>
      <c r="Q45">
        <f t="shared" si="28"/>
        <v>0.57762646870851975</v>
      </c>
      <c r="R45">
        <f t="shared" si="29"/>
        <v>0.67508800993994611</v>
      </c>
      <c r="S45">
        <f t="shared" si="30"/>
        <v>0.61819261017955185</v>
      </c>
      <c r="T45">
        <f t="shared" si="31"/>
        <v>0.77800653448507362</v>
      </c>
    </row>
    <row r="46" spans="1:3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M46">
        <v>2010</v>
      </c>
      <c r="N46">
        <f t="shared" si="25"/>
        <v>1.0836448031270534</v>
      </c>
      <c r="O46">
        <f t="shared" si="26"/>
        <v>0.64693506198112138</v>
      </c>
      <c r="P46">
        <f t="shared" ref="P46" si="33">D30/$D$20</f>
        <v>0.54074844730287841</v>
      </c>
      <c r="Q46">
        <f t="shared" si="28"/>
        <v>0.63850105697851633</v>
      </c>
      <c r="R46">
        <f t="shared" si="29"/>
        <v>0.71151854978734252</v>
      </c>
      <c r="S46">
        <f t="shared" si="30"/>
        <v>0.6243507938863333</v>
      </c>
      <c r="T46">
        <f t="shared" si="31"/>
        <v>0.86931029852750297</v>
      </c>
    </row>
    <row r="47" spans="1:35">
      <c r="M47">
        <v>2011</v>
      </c>
      <c r="N47">
        <f t="shared" si="25"/>
        <v>1.0907143699560258</v>
      </c>
      <c r="O47">
        <f t="shared" si="26"/>
        <v>0.61784373933810988</v>
      </c>
      <c r="P47">
        <f t="shared" ref="P47" si="34">D31/$D$20</f>
        <v>0.70626438412308079</v>
      </c>
      <c r="Q47">
        <f t="shared" si="28"/>
        <v>0.59962637038493682</v>
      </c>
      <c r="R47">
        <f t="shared" si="29"/>
        <v>0.59677907513898398</v>
      </c>
      <c r="S47">
        <f t="shared" si="30"/>
        <v>0.53306623138942477</v>
      </c>
      <c r="T47">
        <f t="shared" si="31"/>
        <v>0.71207984603679009</v>
      </c>
    </row>
    <row r="48" spans="1:35">
      <c r="M48">
        <v>2012</v>
      </c>
      <c r="N48">
        <f t="shared" si="25"/>
        <v>1.1011568075750173</v>
      </c>
      <c r="O48">
        <f t="shared" si="26"/>
        <v>0.55792675992266572</v>
      </c>
      <c r="P48">
        <f t="shared" ref="P48" si="35">D32/$D$20</f>
        <v>0.53542041047952327</v>
      </c>
      <c r="Q48">
        <f t="shared" si="28"/>
        <v>0.53792832210805763</v>
      </c>
      <c r="R48">
        <f t="shared" si="29"/>
        <v>0.59521799385125129</v>
      </c>
      <c r="S48">
        <f t="shared" si="30"/>
        <v>0.54461591729732406</v>
      </c>
      <c r="T48">
        <f t="shared" si="31"/>
        <v>0.68679228393680347</v>
      </c>
    </row>
    <row r="49" spans="13:20">
      <c r="M49">
        <v>2013</v>
      </c>
      <c r="N49">
        <f t="shared" si="25"/>
        <v>1.1062547807187506</v>
      </c>
      <c r="O49">
        <f t="shared" si="26"/>
        <v>0.5414591152052769</v>
      </c>
      <c r="P49">
        <f t="shared" ref="P49" si="36">D33/$D$20</f>
        <v>0.45521611652321953</v>
      </c>
      <c r="Q49">
        <f t="shared" si="28"/>
        <v>0.55016960818052207</v>
      </c>
      <c r="R49">
        <f t="shared" si="29"/>
        <v>0.57374516144447807</v>
      </c>
      <c r="S49">
        <f t="shared" si="30"/>
        <v>0.51978532917841425</v>
      </c>
      <c r="T49">
        <f t="shared" si="31"/>
        <v>0.67139596294141346</v>
      </c>
    </row>
  </sheetData>
  <mergeCells count="2">
    <mergeCell ref="A35:K35"/>
    <mergeCell ref="A1:K1"/>
  </mergeCells>
  <printOptions gridLines="1"/>
  <pageMargins left="0.7" right="0.7" top="0.75" bottom="0.75" header="0.3" footer="0.3"/>
  <pageSetup scale="7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G30"/>
  <sheetViews>
    <sheetView view="pageBreakPreview" zoomScaleNormal="100" zoomScaleSheetLayoutView="100" workbookViewId="0">
      <selection activeCell="B4" sqref="B4"/>
    </sheetView>
  </sheetViews>
  <sheetFormatPr defaultRowHeight="15"/>
  <cols>
    <col min="1" max="1" width="17.85546875" style="380" customWidth="1"/>
    <col min="2" max="2" width="17.28515625" style="380" customWidth="1"/>
    <col min="3" max="4" width="14.28515625" style="380" customWidth="1"/>
    <col min="5" max="5" width="15.7109375" style="380" customWidth="1"/>
    <col min="6" max="6" width="18" style="380" customWidth="1"/>
    <col min="7" max="7" width="19.7109375" style="380" customWidth="1"/>
    <col min="8" max="16384" width="9.140625" style="380"/>
  </cols>
  <sheetData>
    <row r="1" spans="1:7">
      <c r="A1" s="456" t="s">
        <v>545</v>
      </c>
      <c r="B1" s="456"/>
      <c r="C1" s="456"/>
      <c r="D1" s="456"/>
      <c r="E1" s="456"/>
      <c r="F1" s="456"/>
      <c r="G1" s="456"/>
    </row>
    <row r="2" spans="1:7">
      <c r="A2" s="412"/>
      <c r="B2" s="456" t="s">
        <v>246</v>
      </c>
      <c r="C2" s="456"/>
      <c r="D2" s="456"/>
      <c r="E2" s="456" t="s">
        <v>8</v>
      </c>
      <c r="F2" s="456"/>
      <c r="G2" s="456"/>
    </row>
    <row r="3" spans="1:7">
      <c r="A3" s="409"/>
      <c r="B3" s="469" t="s">
        <v>607</v>
      </c>
      <c r="C3" s="469"/>
      <c r="D3" s="469"/>
      <c r="E3" s="469" t="s">
        <v>607</v>
      </c>
      <c r="F3" s="469"/>
      <c r="G3" s="469"/>
    </row>
    <row r="4" spans="1:7" ht="60">
      <c r="A4" s="409"/>
      <c r="B4" s="441" t="s">
        <v>554</v>
      </c>
      <c r="C4" s="441" t="s">
        <v>608</v>
      </c>
      <c r="D4" s="441" t="s">
        <v>609</v>
      </c>
      <c r="E4" s="441" t="s">
        <v>554</v>
      </c>
      <c r="F4" s="441" t="s">
        <v>608</v>
      </c>
      <c r="G4" s="441" t="s">
        <v>609</v>
      </c>
    </row>
    <row r="5" spans="1:7">
      <c r="A5" s="409"/>
      <c r="B5" s="470" t="s">
        <v>243</v>
      </c>
      <c r="C5" s="470"/>
      <c r="D5" s="470"/>
      <c r="E5" s="470" t="s">
        <v>243</v>
      </c>
      <c r="F5" s="470"/>
      <c r="G5" s="470"/>
    </row>
    <row r="6" spans="1:7">
      <c r="A6" s="409"/>
      <c r="B6" s="411"/>
      <c r="C6" s="411"/>
      <c r="D6" s="411"/>
      <c r="E6" s="407"/>
      <c r="F6" s="407"/>
      <c r="G6" s="407"/>
    </row>
    <row r="7" spans="1:7">
      <c r="A7" s="412">
        <v>1997</v>
      </c>
      <c r="B7" s="416">
        <v>7.9199349802483603</v>
      </c>
      <c r="C7" s="416">
        <v>5.3463624851153915</v>
      </c>
      <c r="D7" s="416">
        <v>2.5735724951329693</v>
      </c>
      <c r="E7" s="416"/>
      <c r="F7" s="416"/>
      <c r="G7" s="416"/>
    </row>
    <row r="8" spans="1:7">
      <c r="A8" s="412">
        <v>1998</v>
      </c>
      <c r="B8" s="416">
        <v>7.8699646124791443</v>
      </c>
      <c r="C8" s="416">
        <v>5.3866040814829761</v>
      </c>
      <c r="D8" s="416">
        <v>2.4833605309961682</v>
      </c>
      <c r="E8" s="416"/>
      <c r="F8" s="416"/>
      <c r="G8" s="416"/>
    </row>
    <row r="9" spans="1:7">
      <c r="A9" s="412">
        <v>1999</v>
      </c>
      <c r="B9" s="416">
        <v>8.0231753411530882</v>
      </c>
      <c r="C9" s="416">
        <v>5.4217166787926105</v>
      </c>
      <c r="D9" s="416">
        <v>2.6014586623604776</v>
      </c>
      <c r="E9" s="416"/>
      <c r="F9" s="416"/>
      <c r="G9" s="416"/>
    </row>
    <row r="10" spans="1:7">
      <c r="A10" s="412">
        <v>2000</v>
      </c>
      <c r="B10" s="416">
        <v>8.8976594610397441</v>
      </c>
      <c r="C10" s="416">
        <v>6.0460197079915394</v>
      </c>
      <c r="D10" s="416">
        <v>2.8516397530482038</v>
      </c>
      <c r="E10" s="416"/>
      <c r="F10" s="416"/>
      <c r="G10" s="416"/>
    </row>
    <row r="11" spans="1:7">
      <c r="A11" s="412">
        <v>2001</v>
      </c>
      <c r="B11" s="416">
        <v>9.6696224980998231</v>
      </c>
      <c r="C11" s="416">
        <v>6.6298454522422094</v>
      </c>
      <c r="D11" s="416">
        <v>3.0397770458576132</v>
      </c>
      <c r="E11" s="416"/>
      <c r="F11" s="416"/>
      <c r="G11" s="416"/>
    </row>
    <row r="12" spans="1:7">
      <c r="A12" s="412">
        <v>2002</v>
      </c>
      <c r="B12" s="416">
        <v>9.6107019639065818</v>
      </c>
      <c r="C12" s="416">
        <v>6.3757298301486198</v>
      </c>
      <c r="D12" s="416">
        <v>3.2349721337579616</v>
      </c>
      <c r="E12" s="416"/>
      <c r="F12" s="416"/>
      <c r="G12" s="416"/>
    </row>
    <row r="13" spans="1:7">
      <c r="A13" s="412">
        <v>2003</v>
      </c>
      <c r="B13" s="416">
        <v>9.9605614758056724</v>
      </c>
      <c r="C13" s="416">
        <v>6.3344708798815237</v>
      </c>
      <c r="D13" s="416">
        <v>3.6260905959241492</v>
      </c>
      <c r="E13" s="416"/>
      <c r="F13" s="416"/>
      <c r="G13" s="416"/>
    </row>
    <row r="14" spans="1:7">
      <c r="A14" s="412">
        <v>2004</v>
      </c>
      <c r="B14" s="416">
        <v>10.496060370658086</v>
      </c>
      <c r="C14" s="416">
        <v>6.4819189244891167</v>
      </c>
      <c r="D14" s="416">
        <v>4.014141446168968</v>
      </c>
      <c r="E14" s="416"/>
      <c r="F14" s="416"/>
      <c r="G14" s="416"/>
    </row>
    <row r="15" spans="1:7">
      <c r="A15" s="412">
        <v>2005</v>
      </c>
      <c r="B15" s="416">
        <v>10.84553687746229</v>
      </c>
      <c r="C15" s="416">
        <v>6.7435764624633103</v>
      </c>
      <c r="D15" s="416">
        <v>4.1019604149989792</v>
      </c>
      <c r="E15" s="416">
        <v>8.2460414129110848</v>
      </c>
      <c r="F15" s="416"/>
      <c r="G15" s="416"/>
    </row>
    <row r="16" spans="1:7">
      <c r="A16" s="412">
        <v>2006</v>
      </c>
      <c r="B16" s="416">
        <v>11.482779474932933</v>
      </c>
      <c r="C16" s="416">
        <v>6.9001504179136885</v>
      </c>
      <c r="D16" s="416">
        <v>4.5826290570192443</v>
      </c>
      <c r="E16" s="416">
        <v>12.385919165580184</v>
      </c>
      <c r="F16" s="416"/>
      <c r="G16" s="416"/>
    </row>
    <row r="17" spans="1:7">
      <c r="A17" s="412">
        <v>2007</v>
      </c>
      <c r="B17" s="416">
        <v>12.270158280395473</v>
      </c>
      <c r="C17" s="416">
        <v>7.1654251024480899</v>
      </c>
      <c r="D17" s="416">
        <v>5.1047331779473817</v>
      </c>
      <c r="E17" s="416"/>
      <c r="F17" s="416"/>
      <c r="G17" s="416"/>
    </row>
    <row r="18" spans="1:7">
      <c r="A18" s="412">
        <v>2008</v>
      </c>
      <c r="B18" s="416">
        <v>12.013560745841021</v>
      </c>
      <c r="C18" s="416">
        <v>7.2510988104345735</v>
      </c>
      <c r="D18" s="416">
        <v>4.7624619354064475</v>
      </c>
      <c r="E18" s="416">
        <v>14.314381270903011</v>
      </c>
      <c r="F18" s="416"/>
      <c r="G18" s="416"/>
    </row>
    <row r="19" spans="1:7">
      <c r="A19" s="412">
        <v>2009</v>
      </c>
      <c r="B19" s="416">
        <v>11.01922485389111</v>
      </c>
      <c r="C19" s="416">
        <v>7.0735158412796064</v>
      </c>
      <c r="D19" s="416">
        <v>3.9457090126115042</v>
      </c>
      <c r="E19" s="416">
        <v>13.247232472324722</v>
      </c>
      <c r="F19" s="416">
        <v>4.8708487084870846</v>
      </c>
      <c r="G19" s="416">
        <v>8.3763837638376373</v>
      </c>
    </row>
    <row r="20" spans="1:7">
      <c r="A20" s="412">
        <v>2010</v>
      </c>
      <c r="B20" s="416">
        <v>10.317246596066566</v>
      </c>
      <c r="C20" s="416">
        <v>7.0108925869894101</v>
      </c>
      <c r="D20" s="416">
        <v>3.3063540090771557</v>
      </c>
      <c r="E20" s="416">
        <v>12.495344506517689</v>
      </c>
      <c r="F20" s="416">
        <v>6.0521415270018615</v>
      </c>
      <c r="G20" s="416">
        <v>6.4245810055865915</v>
      </c>
    </row>
    <row r="21" spans="1:7">
      <c r="A21" s="412">
        <v>2011</v>
      </c>
      <c r="B21" s="416">
        <v>9.8830835054150015</v>
      </c>
      <c r="C21" s="416">
        <v>6.9977567483249894</v>
      </c>
      <c r="D21" s="416">
        <v>2.8853267570900121</v>
      </c>
      <c r="E21" s="416">
        <v>10.58</v>
      </c>
      <c r="F21" s="416"/>
      <c r="G21" s="416"/>
    </row>
    <row r="22" spans="1:7">
      <c r="A22" s="412">
        <v>2012</v>
      </c>
      <c r="B22" s="416">
        <v>9.0216253666877968</v>
      </c>
      <c r="C22" s="416">
        <v>6.4771437416159321</v>
      </c>
      <c r="D22" s="416">
        <v>2.5444816250718634</v>
      </c>
      <c r="E22" s="416"/>
      <c r="F22" s="416"/>
      <c r="G22" s="416"/>
    </row>
    <row r="23" spans="1:7">
      <c r="A23" s="412"/>
      <c r="B23" s="409"/>
      <c r="C23" s="409"/>
      <c r="D23" s="409"/>
      <c r="E23" s="407"/>
      <c r="F23" s="407"/>
      <c r="G23" s="407"/>
    </row>
    <row r="24" spans="1:7">
      <c r="A24" s="456" t="s">
        <v>11</v>
      </c>
      <c r="B24" s="456"/>
      <c r="C24" s="456"/>
      <c r="D24" s="456"/>
      <c r="E24" s="456"/>
      <c r="F24" s="456"/>
      <c r="G24" s="456"/>
    </row>
    <row r="25" spans="1:7">
      <c r="A25" s="411" t="s">
        <v>244</v>
      </c>
      <c r="B25" s="415">
        <v>4.4751142825532275</v>
      </c>
      <c r="C25" s="415">
        <v>2.9718122137299963</v>
      </c>
      <c r="D25" s="415">
        <v>7.0887043218904378</v>
      </c>
      <c r="E25" s="408" t="s">
        <v>10</v>
      </c>
      <c r="F25" s="408" t="s">
        <v>10</v>
      </c>
      <c r="G25" s="408" t="s">
        <v>10</v>
      </c>
    </row>
    <row r="26" spans="1:7">
      <c r="A26" s="411" t="s">
        <v>70</v>
      </c>
      <c r="B26" s="415">
        <v>-5.9655638651287308</v>
      </c>
      <c r="C26" s="415">
        <v>-1.9994947258671791</v>
      </c>
      <c r="D26" s="415">
        <v>-12.998797672305805</v>
      </c>
      <c r="E26" s="408" t="s">
        <v>10</v>
      </c>
      <c r="F26" s="408" t="s">
        <v>10</v>
      </c>
      <c r="G26" s="408" t="s">
        <v>10</v>
      </c>
    </row>
    <row r="27" spans="1:7">
      <c r="A27" s="411" t="s">
        <v>33</v>
      </c>
      <c r="B27" s="415">
        <v>0.87205723972543225</v>
      </c>
      <c r="C27" s="415">
        <v>1.2873034028766828</v>
      </c>
      <c r="D27" s="415">
        <v>-7.5758382051827056E-2</v>
      </c>
      <c r="E27" s="408" t="s">
        <v>10</v>
      </c>
      <c r="F27" s="408" t="s">
        <v>10</v>
      </c>
      <c r="G27" s="408" t="s">
        <v>10</v>
      </c>
    </row>
    <row r="28" spans="1:7">
      <c r="A28" s="410"/>
      <c r="B28" s="413"/>
      <c r="C28" s="413"/>
      <c r="D28" s="413"/>
      <c r="E28" s="407"/>
      <c r="F28" s="407"/>
      <c r="G28" s="407"/>
    </row>
    <row r="29" spans="1:7">
      <c r="A29" s="422" t="s">
        <v>616</v>
      </c>
      <c r="B29" s="409"/>
      <c r="C29" s="409"/>
      <c r="D29" s="409"/>
      <c r="E29" s="407"/>
      <c r="F29" s="407"/>
      <c r="G29" s="407"/>
    </row>
    <row r="30" spans="1:7">
      <c r="A30" s="414"/>
      <c r="B30" s="414"/>
      <c r="C30" s="414"/>
      <c r="D30" s="414"/>
      <c r="E30" s="407"/>
      <c r="F30" s="407"/>
      <c r="G30" s="407"/>
    </row>
  </sheetData>
  <mergeCells count="8">
    <mergeCell ref="A24:G24"/>
    <mergeCell ref="A1:G1"/>
    <mergeCell ref="B2:D2"/>
    <mergeCell ref="E2:G2"/>
    <mergeCell ref="B3:D3"/>
    <mergeCell ref="E3:G3"/>
    <mergeCell ref="B5:D5"/>
    <mergeCell ref="E5:G5"/>
  </mergeCells>
  <pageMargins left="0.7" right="0.7" top="0.75" bottom="0.75" header="0.3" footer="0.3"/>
  <pageSetup scale="83"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J30"/>
  <sheetViews>
    <sheetView view="pageBreakPreview" zoomScaleNormal="100" zoomScaleSheetLayoutView="100" workbookViewId="0">
      <selection activeCell="A29" sqref="A29"/>
    </sheetView>
  </sheetViews>
  <sheetFormatPr defaultRowHeight="15"/>
  <cols>
    <col min="1" max="1" width="15.28515625" style="380" customWidth="1"/>
    <col min="2" max="2" width="16.7109375" style="380" customWidth="1"/>
    <col min="3" max="3" width="15.5703125" style="380" customWidth="1"/>
    <col min="4" max="4" width="16.5703125" style="380" customWidth="1"/>
    <col min="5" max="5" width="15.5703125" style="380" customWidth="1"/>
    <col min="6" max="6" width="14.7109375" style="380" customWidth="1"/>
    <col min="7" max="7" width="14" style="380" customWidth="1"/>
    <col min="8" max="8" width="15.7109375" style="380" customWidth="1"/>
    <col min="9" max="9" width="15.140625" style="380" customWidth="1"/>
    <col min="10" max="10" width="14.140625" style="380" customWidth="1"/>
    <col min="11" max="16384" width="9.140625" style="380"/>
  </cols>
  <sheetData>
    <row r="1" spans="1:10">
      <c r="A1" s="456" t="s">
        <v>546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421"/>
      <c r="B2" s="456" t="s">
        <v>247</v>
      </c>
      <c r="C2" s="456"/>
      <c r="D2" s="456"/>
      <c r="E2" s="456" t="s">
        <v>248</v>
      </c>
      <c r="F2" s="456"/>
      <c r="G2" s="456"/>
      <c r="H2" s="456" t="s">
        <v>249</v>
      </c>
      <c r="I2" s="456"/>
      <c r="J2" s="456"/>
    </row>
    <row r="3" spans="1:10">
      <c r="A3" s="418"/>
      <c r="B3" s="469" t="s">
        <v>607</v>
      </c>
      <c r="C3" s="469"/>
      <c r="D3" s="469"/>
      <c r="E3" s="469" t="s">
        <v>607</v>
      </c>
      <c r="F3" s="469"/>
      <c r="G3" s="469"/>
      <c r="H3" s="469" t="s">
        <v>607</v>
      </c>
      <c r="I3" s="469"/>
      <c r="J3" s="469"/>
    </row>
    <row r="4" spans="1:10" ht="60">
      <c r="A4" s="418"/>
      <c r="B4" s="441" t="s">
        <v>554</v>
      </c>
      <c r="C4" s="441" t="s">
        <v>608</v>
      </c>
      <c r="D4" s="441" t="s">
        <v>609</v>
      </c>
      <c r="E4" s="441" t="s">
        <v>554</v>
      </c>
      <c r="F4" s="441" t="s">
        <v>608</v>
      </c>
      <c r="G4" s="441" t="s">
        <v>609</v>
      </c>
      <c r="H4" s="441" t="s">
        <v>554</v>
      </c>
      <c r="I4" s="441" t="s">
        <v>608</v>
      </c>
      <c r="J4" s="441" t="s">
        <v>609</v>
      </c>
    </row>
    <row r="5" spans="1:10">
      <c r="A5" s="418"/>
      <c r="B5" s="470" t="s">
        <v>243</v>
      </c>
      <c r="C5" s="470"/>
      <c r="D5" s="470"/>
      <c r="E5" s="470" t="s">
        <v>243</v>
      </c>
      <c r="F5" s="470"/>
      <c r="G5" s="470"/>
      <c r="H5" s="470" t="s">
        <v>243</v>
      </c>
      <c r="I5" s="470"/>
      <c r="J5" s="470"/>
    </row>
    <row r="6" spans="1:10">
      <c r="A6" s="418"/>
      <c r="B6" s="420"/>
      <c r="C6" s="420"/>
      <c r="D6" s="420"/>
      <c r="E6" s="417"/>
      <c r="F6" s="417"/>
      <c r="G6" s="417"/>
      <c r="H6" s="417"/>
      <c r="I6" s="417"/>
      <c r="J6" s="417"/>
    </row>
    <row r="7" spans="1:10">
      <c r="A7" s="421">
        <v>1997</v>
      </c>
      <c r="B7" s="427"/>
      <c r="C7" s="427"/>
      <c r="D7" s="427">
        <v>1.1111111111111109</v>
      </c>
      <c r="E7" s="427"/>
      <c r="F7" s="427"/>
      <c r="G7" s="427">
        <v>3.4065934065934065</v>
      </c>
      <c r="H7" s="427"/>
      <c r="I7" s="427"/>
      <c r="J7" s="427"/>
    </row>
    <row r="8" spans="1:10">
      <c r="A8" s="421">
        <v>1998</v>
      </c>
      <c r="B8" s="427"/>
      <c r="C8" s="427"/>
      <c r="D8" s="427"/>
      <c r="E8" s="427"/>
      <c r="F8" s="427"/>
      <c r="G8" s="427"/>
      <c r="H8" s="427"/>
      <c r="I8" s="427"/>
      <c r="J8" s="427"/>
    </row>
    <row r="9" spans="1:10">
      <c r="A9" s="421">
        <v>1999</v>
      </c>
      <c r="B9" s="427"/>
      <c r="C9" s="427"/>
      <c r="D9" s="427"/>
      <c r="E9" s="427">
        <v>2.3076923076923079</v>
      </c>
      <c r="F9" s="427"/>
      <c r="G9" s="427"/>
      <c r="H9" s="427">
        <v>3.097826086956522</v>
      </c>
      <c r="I9" s="427"/>
      <c r="J9" s="427"/>
    </row>
    <row r="10" spans="1:10">
      <c r="A10" s="421">
        <v>2000</v>
      </c>
      <c r="B10" s="427"/>
      <c r="C10" s="427"/>
      <c r="D10" s="427"/>
      <c r="E10" s="427"/>
      <c r="F10" s="427"/>
      <c r="G10" s="427"/>
      <c r="H10" s="427"/>
      <c r="I10" s="427"/>
      <c r="J10" s="427">
        <v>2.8199052132701419</v>
      </c>
    </row>
    <row r="11" spans="1:10">
      <c r="A11" s="421">
        <v>2001</v>
      </c>
      <c r="B11" s="427"/>
      <c r="C11" s="427">
        <v>0</v>
      </c>
      <c r="D11" s="427"/>
      <c r="E11" s="427">
        <v>2.40625</v>
      </c>
      <c r="F11" s="427"/>
      <c r="G11" s="427"/>
      <c r="H11" s="427">
        <v>7.7157360406091371</v>
      </c>
      <c r="I11" s="427">
        <v>2.6142131979695433</v>
      </c>
      <c r="J11" s="427">
        <v>5.1015228426395938</v>
      </c>
    </row>
    <row r="12" spans="1:10">
      <c r="A12" s="421">
        <v>2002</v>
      </c>
      <c r="B12" s="427"/>
      <c r="C12" s="427"/>
      <c r="D12" s="427"/>
      <c r="E12" s="427"/>
      <c r="F12" s="427"/>
      <c r="G12" s="427"/>
      <c r="H12" s="427">
        <v>10</v>
      </c>
      <c r="I12" s="427">
        <v>3.6153846153846154</v>
      </c>
      <c r="J12" s="427">
        <v>6.384615384615385</v>
      </c>
    </row>
    <row r="13" spans="1:10">
      <c r="A13" s="421">
        <v>2003</v>
      </c>
      <c r="B13" s="427">
        <v>1.9642857142857144</v>
      </c>
      <c r="C13" s="427"/>
      <c r="D13" s="427"/>
      <c r="E13" s="427"/>
      <c r="F13" s="427">
        <v>0.92105263157894735</v>
      </c>
      <c r="G13" s="427"/>
      <c r="H13" s="427">
        <v>10.885167464114833</v>
      </c>
      <c r="I13" s="427">
        <v>4.7607655502392348</v>
      </c>
      <c r="J13" s="427">
        <v>6.1244019138755981</v>
      </c>
    </row>
    <row r="14" spans="1:10">
      <c r="A14" s="421">
        <v>2004</v>
      </c>
      <c r="B14" s="427"/>
      <c r="C14" s="427"/>
      <c r="D14" s="427"/>
      <c r="E14" s="427">
        <v>2.4367816091954024</v>
      </c>
      <c r="F14" s="427">
        <v>0.94252873563218387</v>
      </c>
      <c r="G14" s="427">
        <v>1.4942528735632183</v>
      </c>
      <c r="H14" s="427">
        <v>14.441558441558442</v>
      </c>
      <c r="I14" s="427">
        <v>6.0259740259740262</v>
      </c>
      <c r="J14" s="427">
        <v>8.4155844155844157</v>
      </c>
    </row>
    <row r="15" spans="1:10">
      <c r="A15" s="421">
        <v>2005</v>
      </c>
      <c r="B15" s="427">
        <v>0.73170731707317083</v>
      </c>
      <c r="C15" s="427"/>
      <c r="D15" s="427"/>
      <c r="E15" s="427">
        <v>3.8676844783715016</v>
      </c>
      <c r="F15" s="427">
        <v>1.5012722646310435</v>
      </c>
      <c r="G15" s="427">
        <v>2.3664122137404582</v>
      </c>
      <c r="H15" s="427">
        <v>15</v>
      </c>
      <c r="I15" s="427">
        <v>6.3294797687861273</v>
      </c>
      <c r="J15" s="427">
        <v>8.6705202312138727</v>
      </c>
    </row>
    <row r="16" spans="1:10">
      <c r="A16" s="421">
        <v>2006</v>
      </c>
      <c r="B16" s="427">
        <v>1.875</v>
      </c>
      <c r="C16" s="427"/>
      <c r="D16" s="427"/>
      <c r="E16" s="427">
        <v>7.3684210526315796</v>
      </c>
      <c r="F16" s="427">
        <v>1.7794486215538847</v>
      </c>
      <c r="G16" s="427">
        <v>5.5889724310776945</v>
      </c>
      <c r="H16" s="427">
        <v>21.184210526315791</v>
      </c>
      <c r="I16" s="427">
        <v>9.4407894736842106</v>
      </c>
      <c r="J16" s="427">
        <v>11.743421052631579</v>
      </c>
    </row>
    <row r="17" spans="1:10">
      <c r="A17" s="421">
        <v>2007</v>
      </c>
      <c r="B17" s="427"/>
      <c r="C17" s="427"/>
      <c r="D17" s="427"/>
      <c r="E17" s="427">
        <v>7.3076923076923075</v>
      </c>
      <c r="F17" s="427">
        <v>2.0512820512820515</v>
      </c>
      <c r="G17" s="427">
        <v>5.2564102564102564</v>
      </c>
      <c r="H17" s="427">
        <v>17.400722021660652</v>
      </c>
      <c r="I17" s="427">
        <v>6.1371841155234659</v>
      </c>
      <c r="J17" s="427">
        <v>11.263537906137184</v>
      </c>
    </row>
    <row r="18" spans="1:10">
      <c r="A18" s="421">
        <v>2008</v>
      </c>
      <c r="B18" s="427">
        <v>10</v>
      </c>
      <c r="C18" s="427"/>
      <c r="D18" s="427"/>
      <c r="E18" s="427">
        <v>12.338709677419354</v>
      </c>
      <c r="F18" s="427">
        <v>4.2338709677419351</v>
      </c>
      <c r="G18" s="427">
        <v>8.1048387096774199</v>
      </c>
      <c r="H18" s="427">
        <v>16.578947368421055</v>
      </c>
      <c r="I18" s="427">
        <v>6.677631578947369</v>
      </c>
      <c r="J18" s="427">
        <v>9.901315789473685</v>
      </c>
    </row>
    <row r="19" spans="1:10">
      <c r="A19" s="421">
        <v>2009</v>
      </c>
      <c r="B19" s="427">
        <v>4.1860465116279073</v>
      </c>
      <c r="C19" s="427">
        <v>1.6279069767441861</v>
      </c>
      <c r="D19" s="427">
        <v>2.558139534883721</v>
      </c>
      <c r="E19" s="427">
        <v>11.328125</v>
      </c>
      <c r="F19" s="427">
        <v>3.7890625</v>
      </c>
      <c r="G19" s="427">
        <v>7.5390625</v>
      </c>
      <c r="H19" s="427">
        <v>16.872427983539094</v>
      </c>
      <c r="I19" s="427">
        <v>6.5843621399176957</v>
      </c>
      <c r="J19" s="427">
        <v>10.288065843621398</v>
      </c>
    </row>
    <row r="20" spans="1:10">
      <c r="A20" s="421">
        <v>2010</v>
      </c>
      <c r="B20" s="427">
        <v>4.4444444444444438</v>
      </c>
      <c r="C20" s="427">
        <v>2.7777777777777777</v>
      </c>
      <c r="D20" s="427">
        <v>1.6666666666666665</v>
      </c>
      <c r="E20" s="427">
        <v>11.818181818181818</v>
      </c>
      <c r="F20" s="427">
        <v>6.1363636363636367</v>
      </c>
      <c r="G20" s="427">
        <v>5.6818181818181817</v>
      </c>
      <c r="H20" s="427">
        <v>14.714828897338403</v>
      </c>
      <c r="I20" s="427">
        <v>6.6539923954372622</v>
      </c>
      <c r="J20" s="427">
        <v>8.0228136882129277</v>
      </c>
    </row>
    <row r="21" spans="1:10">
      <c r="A21" s="421">
        <v>2011</v>
      </c>
      <c r="B21" s="427">
        <v>3.8461538461538463</v>
      </c>
      <c r="C21" s="427"/>
      <c r="D21" s="427"/>
      <c r="E21" s="427">
        <v>9.3273542600896864</v>
      </c>
      <c r="F21" s="427">
        <v>4.8430493273542599</v>
      </c>
      <c r="G21" s="427">
        <v>4.4843049327354256</v>
      </c>
      <c r="H21" s="427">
        <v>12.857142857142856</v>
      </c>
      <c r="I21" s="427">
        <v>5.7983193277310923</v>
      </c>
      <c r="J21" s="427">
        <v>7.0168067226890756</v>
      </c>
    </row>
    <row r="22" spans="1:10">
      <c r="A22" s="421">
        <v>2012</v>
      </c>
      <c r="B22" s="427"/>
      <c r="C22" s="427"/>
      <c r="D22" s="427"/>
      <c r="E22" s="427">
        <v>6</v>
      </c>
      <c r="F22" s="427">
        <v>2.7450980392156863</v>
      </c>
      <c r="G22" s="427">
        <v>3.2549019607843137</v>
      </c>
      <c r="H22" s="427">
        <v>12.181818181818182</v>
      </c>
      <c r="I22" s="427">
        <v>5.5909090909090908</v>
      </c>
      <c r="J22" s="427">
        <v>6.5454545454545459</v>
      </c>
    </row>
    <row r="23" spans="1:10">
      <c r="A23" s="421"/>
      <c r="B23" s="418"/>
      <c r="C23" s="418"/>
      <c r="D23" s="418"/>
      <c r="E23" s="417"/>
      <c r="F23" s="417"/>
      <c r="G23" s="417"/>
      <c r="H23" s="417"/>
      <c r="I23" s="417"/>
      <c r="J23" s="417"/>
    </row>
    <row r="24" spans="1:10">
      <c r="A24" s="456" t="s">
        <v>11</v>
      </c>
      <c r="B24" s="456"/>
      <c r="C24" s="456"/>
      <c r="D24" s="456"/>
      <c r="E24" s="456"/>
      <c r="F24" s="456"/>
      <c r="G24" s="456"/>
      <c r="H24" s="456"/>
      <c r="I24" s="456"/>
      <c r="J24" s="456"/>
    </row>
    <row r="25" spans="1:10">
      <c r="A25" s="420" t="s">
        <v>244</v>
      </c>
      <c r="B25" s="426"/>
      <c r="C25" s="426"/>
      <c r="D25" s="426"/>
      <c r="E25" s="426"/>
      <c r="F25" s="426"/>
      <c r="G25" s="426"/>
      <c r="H25" s="426"/>
      <c r="I25" s="426"/>
      <c r="J25" s="426"/>
    </row>
    <row r="26" spans="1:10">
      <c r="A26" s="420" t="s">
        <v>70</v>
      </c>
      <c r="B26" s="426"/>
      <c r="C26" s="426"/>
      <c r="D26" s="426"/>
      <c r="E26" s="426">
        <v>-3.8666228045527107</v>
      </c>
      <c r="F26" s="426"/>
      <c r="G26" s="426"/>
      <c r="H26" s="426">
        <v>-6.8830014640024029</v>
      </c>
      <c r="I26" s="426">
        <v>-1.8472084862583671</v>
      </c>
      <c r="J26" s="426">
        <v>-10.287492145472898</v>
      </c>
    </row>
    <row r="27" spans="1:10">
      <c r="A27" s="420" t="s">
        <v>33</v>
      </c>
      <c r="B27" s="426"/>
      <c r="C27" s="426"/>
      <c r="D27" s="426"/>
      <c r="E27" s="426"/>
      <c r="F27" s="426"/>
      <c r="G27" s="426"/>
      <c r="H27" s="426"/>
      <c r="I27" s="426"/>
      <c r="J27" s="426"/>
    </row>
    <row r="28" spans="1:10">
      <c r="A28" s="419"/>
      <c r="B28" s="423"/>
      <c r="C28" s="423"/>
      <c r="D28" s="423"/>
      <c r="E28" s="417"/>
      <c r="F28" s="417"/>
      <c r="G28" s="417"/>
      <c r="H28" s="417"/>
      <c r="I28" s="417"/>
      <c r="J28" s="417"/>
    </row>
    <row r="29" spans="1:10">
      <c r="A29" s="422" t="s">
        <v>616</v>
      </c>
      <c r="B29" s="418"/>
      <c r="C29" s="418"/>
      <c r="D29" s="418"/>
      <c r="E29" s="417"/>
      <c r="F29" s="417"/>
      <c r="G29" s="417"/>
      <c r="H29" s="417"/>
      <c r="I29" s="417"/>
      <c r="J29" s="417"/>
    </row>
    <row r="30" spans="1:10">
      <c r="A30" s="424"/>
      <c r="B30" s="424"/>
      <c r="C30" s="424"/>
      <c r="D30" s="424"/>
      <c r="E30" s="417"/>
      <c r="F30" s="417"/>
      <c r="G30" s="417"/>
      <c r="H30" s="417"/>
      <c r="I30" s="417"/>
      <c r="J30" s="417"/>
    </row>
  </sheetData>
  <mergeCells count="11">
    <mergeCell ref="A24:J24"/>
    <mergeCell ref="H5:J5"/>
    <mergeCell ref="A1:J1"/>
    <mergeCell ref="B2:D2"/>
    <mergeCell ref="E2:G2"/>
    <mergeCell ref="H2:J2"/>
    <mergeCell ref="B3:D3"/>
    <mergeCell ref="E3:G3"/>
    <mergeCell ref="H3:J3"/>
    <mergeCell ref="B5:D5"/>
    <mergeCell ref="E5:G5"/>
  </mergeCells>
  <pageMargins left="0.7" right="0.7" top="0.75" bottom="0.75" header="0.3" footer="0.3"/>
  <pageSetup scale="59"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4"/>
  <sheetViews>
    <sheetView view="pageBreakPreview" topLeftCell="A22" zoomScaleNormal="100" zoomScaleSheetLayoutView="100" workbookViewId="0">
      <selection activeCell="A24" sqref="A24:M24"/>
    </sheetView>
  </sheetViews>
  <sheetFormatPr defaultRowHeight="15"/>
  <cols>
    <col min="4" max="5" width="9.140625" style="203"/>
  </cols>
  <sheetData>
    <row r="1" spans="1:5" ht="48" customHeight="1">
      <c r="A1" s="471" t="s">
        <v>340</v>
      </c>
      <c r="B1" s="471"/>
      <c r="C1" s="471"/>
      <c r="D1" s="471"/>
      <c r="E1" s="471"/>
    </row>
    <row r="2" spans="1:5" s="203" customFormat="1">
      <c r="A2" s="189"/>
      <c r="B2" s="471" t="s">
        <v>263</v>
      </c>
      <c r="C2" s="471"/>
      <c r="D2" s="471" t="s">
        <v>264</v>
      </c>
      <c r="E2" s="471"/>
    </row>
    <row r="3" spans="1:5">
      <c r="A3" s="139"/>
      <c r="B3" s="205" t="s">
        <v>256</v>
      </c>
      <c r="C3" s="205" t="s">
        <v>257</v>
      </c>
      <c r="D3" s="205" t="s">
        <v>256</v>
      </c>
      <c r="E3" s="205" t="s">
        <v>257</v>
      </c>
    </row>
    <row r="4" spans="1:5">
      <c r="A4" s="139"/>
      <c r="B4" s="139"/>
      <c r="C4" s="139"/>
      <c r="D4" s="139"/>
      <c r="E4" s="139"/>
    </row>
    <row r="5" spans="1:5">
      <c r="A5" s="207">
        <v>1961</v>
      </c>
      <c r="B5" s="129">
        <v>3848.1</v>
      </c>
      <c r="C5" s="129">
        <v>2850.2</v>
      </c>
      <c r="D5" s="129">
        <v>4480.5</v>
      </c>
      <c r="E5" s="129">
        <v>3326.9</v>
      </c>
    </row>
    <row r="6" spans="1:5">
      <c r="A6" s="207">
        <v>1962</v>
      </c>
      <c r="B6" s="129">
        <v>4052.3</v>
      </c>
      <c r="C6" s="129">
        <v>3060</v>
      </c>
      <c r="D6" s="129">
        <v>4684.7</v>
      </c>
      <c r="E6" s="129">
        <v>3544.5</v>
      </c>
    </row>
    <row r="7" spans="1:5">
      <c r="A7" s="207">
        <v>1963</v>
      </c>
      <c r="B7" s="129">
        <v>4148.2</v>
      </c>
      <c r="C7" s="129">
        <v>3175.2</v>
      </c>
      <c r="D7" s="129">
        <v>4784.3999999999996</v>
      </c>
      <c r="E7" s="129">
        <v>3662.7</v>
      </c>
    </row>
    <row r="8" spans="1:5">
      <c r="A8" s="207">
        <v>1964</v>
      </c>
      <c r="B8" s="129">
        <v>4321.8999999999996</v>
      </c>
      <c r="C8" s="129">
        <v>3298.6</v>
      </c>
      <c r="D8" s="129">
        <v>4967.5</v>
      </c>
      <c r="E8" s="129">
        <v>3791</v>
      </c>
    </row>
    <row r="9" spans="1:5">
      <c r="A9" s="202">
        <v>1965</v>
      </c>
      <c r="B9" s="129">
        <v>4473.2</v>
      </c>
      <c r="C9" s="129">
        <v>3362.3</v>
      </c>
      <c r="D9" s="129">
        <v>5139.3</v>
      </c>
      <c r="E9" s="129">
        <v>3867.5</v>
      </c>
    </row>
    <row r="10" spans="1:5">
      <c r="A10" s="202">
        <v>1966</v>
      </c>
      <c r="B10" s="129">
        <v>4763.7</v>
      </c>
      <c r="C10" s="129">
        <v>3571.1</v>
      </c>
      <c r="D10" s="129">
        <v>5470.4</v>
      </c>
      <c r="E10" s="129">
        <v>4110</v>
      </c>
    </row>
    <row r="11" spans="1:5">
      <c r="A11" s="202">
        <v>1967</v>
      </c>
      <c r="B11" s="129">
        <v>4814.8</v>
      </c>
      <c r="C11" s="129">
        <v>3563.4</v>
      </c>
      <c r="D11" s="129">
        <v>5582.6</v>
      </c>
      <c r="E11" s="129">
        <v>4143.8</v>
      </c>
    </row>
    <row r="12" spans="1:5">
      <c r="A12" s="202">
        <v>1968</v>
      </c>
      <c r="B12" s="129">
        <v>4801.6000000000004</v>
      </c>
      <c r="C12" s="129">
        <v>3505.4</v>
      </c>
      <c r="D12" s="129">
        <v>5647</v>
      </c>
      <c r="E12" s="129">
        <v>4130.6000000000004</v>
      </c>
    </row>
    <row r="13" spans="1:5">
      <c r="A13" s="202">
        <v>1969</v>
      </c>
      <c r="B13" s="129">
        <v>4850.1000000000004</v>
      </c>
      <c r="C13" s="129">
        <v>3529.5</v>
      </c>
      <c r="D13" s="129">
        <v>5773.4</v>
      </c>
      <c r="E13" s="129">
        <v>4192.1000000000004</v>
      </c>
    </row>
    <row r="14" spans="1:5">
      <c r="A14" s="202">
        <v>1970</v>
      </c>
      <c r="B14" s="129">
        <v>4793.7</v>
      </c>
      <c r="C14" s="129">
        <v>3447.6</v>
      </c>
      <c r="D14" s="129">
        <v>5798.5</v>
      </c>
      <c r="E14" s="129">
        <v>4146.8999999999996</v>
      </c>
    </row>
    <row r="15" spans="1:5">
      <c r="A15" s="202">
        <v>1971</v>
      </c>
      <c r="B15" s="129">
        <v>4583.1000000000004</v>
      </c>
      <c r="C15" s="129">
        <v>3232.8</v>
      </c>
      <c r="D15" s="129">
        <v>5661.1</v>
      </c>
      <c r="E15" s="129">
        <v>3963.1</v>
      </c>
    </row>
    <row r="16" spans="1:5">
      <c r="A16" s="202">
        <v>1972</v>
      </c>
      <c r="B16" s="129">
        <v>4892.6000000000004</v>
      </c>
      <c r="C16" s="129">
        <v>3271.7</v>
      </c>
      <c r="D16" s="129">
        <v>6028.8</v>
      </c>
      <c r="E16" s="129">
        <v>4035.6</v>
      </c>
    </row>
    <row r="17" spans="1:5">
      <c r="A17" s="202">
        <v>1973</v>
      </c>
      <c r="B17" s="129">
        <v>5799.3</v>
      </c>
      <c r="C17" s="129">
        <v>3881.2</v>
      </c>
      <c r="D17" s="129">
        <v>6994.5</v>
      </c>
      <c r="E17" s="129">
        <v>4685.3</v>
      </c>
    </row>
    <row r="18" spans="1:5">
      <c r="A18" s="202">
        <v>1974</v>
      </c>
      <c r="B18" s="129">
        <v>7742.3</v>
      </c>
      <c r="C18" s="129">
        <v>5469.9</v>
      </c>
      <c r="D18" s="129">
        <v>9037.1</v>
      </c>
      <c r="E18" s="129">
        <v>6338.9</v>
      </c>
    </row>
    <row r="19" spans="1:5">
      <c r="A19" s="202">
        <v>1975</v>
      </c>
      <c r="B19" s="129">
        <v>8888.4</v>
      </c>
      <c r="C19" s="129">
        <v>6020.1</v>
      </c>
      <c r="D19" s="129">
        <v>10352.799999999999</v>
      </c>
      <c r="E19" s="129">
        <v>6996</v>
      </c>
    </row>
    <row r="20" spans="1:5">
      <c r="A20" s="202">
        <v>1976</v>
      </c>
      <c r="B20" s="129">
        <v>9909.7999999999993</v>
      </c>
      <c r="C20" s="129">
        <v>6305.5</v>
      </c>
      <c r="D20" s="129">
        <v>11593.5</v>
      </c>
      <c r="E20" s="129">
        <v>7420.9</v>
      </c>
    </row>
    <row r="21" spans="1:5">
      <c r="A21" s="202">
        <v>1977</v>
      </c>
      <c r="B21" s="129">
        <v>11193.5</v>
      </c>
      <c r="C21" s="129">
        <v>6850.4</v>
      </c>
      <c r="D21" s="129">
        <v>13129.5</v>
      </c>
      <c r="E21" s="129">
        <v>8141.8</v>
      </c>
    </row>
    <row r="22" spans="1:5">
      <c r="A22" s="202">
        <v>1978</v>
      </c>
      <c r="B22" s="129">
        <v>13215.9</v>
      </c>
      <c r="C22" s="129">
        <v>7150.9</v>
      </c>
      <c r="D22" s="129">
        <v>15416.4</v>
      </c>
      <c r="E22" s="129">
        <v>8647.6</v>
      </c>
    </row>
    <row r="23" spans="1:5">
      <c r="A23" s="202">
        <v>1979</v>
      </c>
      <c r="B23" s="129">
        <v>15651.6</v>
      </c>
      <c r="C23" s="129">
        <v>7450.3</v>
      </c>
      <c r="D23" s="129">
        <v>18115.7</v>
      </c>
      <c r="E23" s="129">
        <v>9151.9</v>
      </c>
    </row>
    <row r="24" spans="1:5">
      <c r="A24" s="202">
        <v>1980</v>
      </c>
      <c r="B24" s="129">
        <v>19106.7</v>
      </c>
      <c r="C24" s="129">
        <v>9458.2999999999993</v>
      </c>
      <c r="D24" s="129">
        <v>21807.8</v>
      </c>
      <c r="E24" s="129">
        <v>11357.3</v>
      </c>
    </row>
    <row r="25" spans="1:5">
      <c r="A25" s="202">
        <v>1981</v>
      </c>
      <c r="B25" s="129">
        <v>23063.5</v>
      </c>
      <c r="C25" s="129">
        <v>11432.3</v>
      </c>
      <c r="D25" s="129">
        <v>26022.799999999999</v>
      </c>
      <c r="E25" s="129">
        <v>13538.9</v>
      </c>
    </row>
    <row r="26" spans="1:5">
      <c r="A26" s="202">
        <v>1982</v>
      </c>
      <c r="B26" s="129">
        <v>24271.3</v>
      </c>
      <c r="C26" s="129">
        <v>11445.5</v>
      </c>
      <c r="D26" s="129">
        <v>27544.400000000001</v>
      </c>
      <c r="E26" s="129">
        <v>13833.7</v>
      </c>
    </row>
    <row r="27" spans="1:5">
      <c r="A27" s="202">
        <v>1983</v>
      </c>
      <c r="B27" s="129">
        <v>23577.9</v>
      </c>
      <c r="C27" s="129">
        <v>11464.4</v>
      </c>
      <c r="D27" s="129">
        <v>27226.3</v>
      </c>
      <c r="E27" s="129">
        <v>14199.1</v>
      </c>
    </row>
    <row r="28" spans="1:5">
      <c r="A28" s="202">
        <v>1984</v>
      </c>
      <c r="B28" s="129">
        <v>23569.3</v>
      </c>
      <c r="C28" s="129">
        <v>11843.6</v>
      </c>
      <c r="D28" s="129">
        <v>27582.2</v>
      </c>
      <c r="E28" s="129">
        <v>14917.3</v>
      </c>
    </row>
    <row r="29" spans="1:5">
      <c r="A29" s="202">
        <v>1985</v>
      </c>
      <c r="B29" s="129">
        <v>23767.9</v>
      </c>
      <c r="C29" s="129">
        <v>11417.9</v>
      </c>
      <c r="D29" s="129">
        <v>28130.7</v>
      </c>
      <c r="E29" s="129">
        <v>14807.2</v>
      </c>
    </row>
    <row r="30" spans="1:5">
      <c r="A30" s="202">
        <v>1986</v>
      </c>
      <c r="B30" s="129">
        <v>24912.7</v>
      </c>
      <c r="C30" s="129">
        <v>12435.5</v>
      </c>
      <c r="D30" s="129">
        <v>29603.4</v>
      </c>
      <c r="E30" s="129">
        <v>16120.3</v>
      </c>
    </row>
    <row r="31" spans="1:5">
      <c r="A31" s="202">
        <v>1987</v>
      </c>
      <c r="B31" s="129">
        <v>29573.1</v>
      </c>
      <c r="C31" s="129">
        <v>16760</v>
      </c>
      <c r="D31" s="129">
        <v>34757.699999999997</v>
      </c>
      <c r="E31" s="129">
        <v>20622.5</v>
      </c>
    </row>
    <row r="32" spans="1:5">
      <c r="A32" s="202">
        <v>1988</v>
      </c>
      <c r="B32" s="129">
        <v>36882.1</v>
      </c>
      <c r="C32" s="129">
        <v>22362.7</v>
      </c>
      <c r="D32" s="129">
        <v>42559.3</v>
      </c>
      <c r="E32" s="129">
        <v>26345.1</v>
      </c>
    </row>
    <row r="33" spans="1:5">
      <c r="A33" s="202">
        <v>1989</v>
      </c>
      <c r="B33" s="129">
        <v>39558</v>
      </c>
      <c r="C33" s="129">
        <v>25904.3</v>
      </c>
      <c r="D33" s="129">
        <v>45897.4</v>
      </c>
      <c r="E33" s="129">
        <v>30125.3</v>
      </c>
    </row>
    <row r="34" spans="1:5">
      <c r="A34" s="202">
        <v>1990</v>
      </c>
      <c r="B34" s="129">
        <v>38544.1</v>
      </c>
      <c r="C34" s="129">
        <v>27588.1</v>
      </c>
      <c r="D34" s="129">
        <v>45629.1</v>
      </c>
      <c r="E34" s="129">
        <v>32097.5</v>
      </c>
    </row>
    <row r="35" spans="1:5">
      <c r="A35" s="202">
        <v>1991</v>
      </c>
      <c r="B35" s="129">
        <v>33886.6</v>
      </c>
      <c r="C35" s="129">
        <v>23894.1</v>
      </c>
      <c r="D35" s="129">
        <v>41653.1</v>
      </c>
      <c r="E35" s="129">
        <v>28661.9</v>
      </c>
    </row>
    <row r="36" spans="1:5">
      <c r="A36" s="202">
        <v>1992</v>
      </c>
      <c r="B36" s="129">
        <v>27251.8</v>
      </c>
      <c r="C36" s="129">
        <v>20464.8</v>
      </c>
      <c r="D36" s="129">
        <v>35442.5</v>
      </c>
      <c r="E36" s="129">
        <v>25432.9</v>
      </c>
    </row>
    <row r="37" spans="1:5">
      <c r="A37" s="202">
        <v>1993</v>
      </c>
      <c r="B37" s="129">
        <v>21821.8</v>
      </c>
      <c r="C37" s="129">
        <v>15646.4</v>
      </c>
      <c r="D37" s="129">
        <v>30321.4</v>
      </c>
      <c r="E37" s="129">
        <v>20740.599999999999</v>
      </c>
    </row>
    <row r="38" spans="1:5">
      <c r="A38" s="202">
        <v>1994</v>
      </c>
      <c r="B38" s="129">
        <v>24357.9</v>
      </c>
      <c r="C38" s="129">
        <v>14775.2</v>
      </c>
      <c r="D38" s="129">
        <v>33056.400000000001</v>
      </c>
      <c r="E38" s="129">
        <v>19932.2</v>
      </c>
    </row>
    <row r="39" spans="1:5">
      <c r="A39" s="202">
        <v>1995</v>
      </c>
      <c r="B39" s="129">
        <v>39695.199999999997</v>
      </c>
      <c r="C39" s="129">
        <v>21989.1</v>
      </c>
      <c r="D39" s="129">
        <v>48585.7</v>
      </c>
      <c r="E39" s="129">
        <v>27294.9</v>
      </c>
    </row>
    <row r="40" spans="1:5">
      <c r="A40" s="202">
        <v>1996</v>
      </c>
      <c r="B40" s="129">
        <v>53451.3</v>
      </c>
      <c r="C40" s="129">
        <v>31515.9</v>
      </c>
      <c r="D40" s="129">
        <v>62596.2</v>
      </c>
      <c r="E40" s="129">
        <v>37016.9</v>
      </c>
    </row>
    <row r="41" spans="1:5">
      <c r="A41" s="202">
        <v>1997</v>
      </c>
      <c r="B41" s="129">
        <v>66705.5</v>
      </c>
      <c r="C41" s="129">
        <v>38484.300000000003</v>
      </c>
      <c r="D41" s="129">
        <v>76168.5</v>
      </c>
      <c r="E41" s="129">
        <v>44217.3</v>
      </c>
    </row>
    <row r="42" spans="1:5">
      <c r="A42" s="202">
        <v>1998</v>
      </c>
      <c r="B42" s="184" t="s">
        <v>10</v>
      </c>
      <c r="C42" s="184" t="s">
        <v>10</v>
      </c>
      <c r="D42" s="184" t="s">
        <v>10</v>
      </c>
      <c r="E42" s="184" t="s">
        <v>10</v>
      </c>
    </row>
    <row r="43" spans="1:5">
      <c r="A43" s="202">
        <v>1999</v>
      </c>
      <c r="B43" s="184" t="s">
        <v>10</v>
      </c>
      <c r="C43" s="184" t="s">
        <v>10</v>
      </c>
      <c r="D43" s="184" t="s">
        <v>10</v>
      </c>
      <c r="E43" s="184" t="s">
        <v>10</v>
      </c>
    </row>
    <row r="44" spans="1:5">
      <c r="A44" s="202">
        <v>2000</v>
      </c>
      <c r="B44" s="184" t="s">
        <v>10</v>
      </c>
      <c r="C44" s="184" t="s">
        <v>10</v>
      </c>
      <c r="D44" s="184" t="s">
        <v>10</v>
      </c>
      <c r="E44" s="184" t="s">
        <v>10</v>
      </c>
    </row>
    <row r="45" spans="1:5">
      <c r="A45" s="202">
        <v>2001</v>
      </c>
      <c r="B45" s="184" t="s">
        <v>10</v>
      </c>
      <c r="C45" s="184" t="s">
        <v>10</v>
      </c>
      <c r="D45" s="184" t="s">
        <v>10</v>
      </c>
      <c r="E45" s="184" t="s">
        <v>10</v>
      </c>
    </row>
    <row r="46" spans="1:5">
      <c r="A46" s="202">
        <v>2002</v>
      </c>
      <c r="B46" s="184" t="s">
        <v>10</v>
      </c>
      <c r="C46" s="184" t="s">
        <v>10</v>
      </c>
      <c r="D46" s="184" t="s">
        <v>10</v>
      </c>
      <c r="E46" s="184" t="s">
        <v>10</v>
      </c>
    </row>
    <row r="47" spans="1:5">
      <c r="A47" s="202">
        <v>2003</v>
      </c>
      <c r="B47" s="184" t="s">
        <v>10</v>
      </c>
      <c r="C47" s="184" t="s">
        <v>10</v>
      </c>
      <c r="D47" s="184" t="s">
        <v>10</v>
      </c>
      <c r="E47" s="184" t="s">
        <v>10</v>
      </c>
    </row>
    <row r="48" spans="1:5">
      <c r="A48" s="202">
        <v>2004</v>
      </c>
      <c r="B48" s="184" t="s">
        <v>10</v>
      </c>
      <c r="C48" s="184" t="s">
        <v>10</v>
      </c>
      <c r="D48" s="184" t="s">
        <v>10</v>
      </c>
      <c r="E48" s="184" t="s">
        <v>10</v>
      </c>
    </row>
    <row r="49" spans="1:5">
      <c r="A49" s="202">
        <v>2005</v>
      </c>
      <c r="B49" s="184" t="s">
        <v>10</v>
      </c>
      <c r="C49" s="184" t="s">
        <v>10</v>
      </c>
      <c r="D49" s="184" t="s">
        <v>10</v>
      </c>
      <c r="E49" s="184" t="s">
        <v>10</v>
      </c>
    </row>
    <row r="50" spans="1:5">
      <c r="A50" s="202">
        <v>2006</v>
      </c>
      <c r="B50" s="184" t="s">
        <v>10</v>
      </c>
      <c r="C50" s="184" t="s">
        <v>10</v>
      </c>
      <c r="D50" s="184" t="s">
        <v>10</v>
      </c>
      <c r="E50" s="184" t="s">
        <v>10</v>
      </c>
    </row>
    <row r="51" spans="1:5">
      <c r="A51" s="202">
        <v>2007</v>
      </c>
      <c r="B51" s="184" t="s">
        <v>10</v>
      </c>
      <c r="C51" s="184" t="s">
        <v>10</v>
      </c>
      <c r="D51" s="184" t="s">
        <v>10</v>
      </c>
      <c r="E51" s="184" t="s">
        <v>10</v>
      </c>
    </row>
    <row r="52" spans="1:5">
      <c r="A52" s="202">
        <v>2008</v>
      </c>
      <c r="B52" s="184" t="s">
        <v>10</v>
      </c>
      <c r="C52" s="184" t="s">
        <v>10</v>
      </c>
      <c r="D52" s="184" t="s">
        <v>10</v>
      </c>
      <c r="E52" s="184" t="s">
        <v>10</v>
      </c>
    </row>
    <row r="53" spans="1:5">
      <c r="A53" s="202">
        <v>2009</v>
      </c>
      <c r="B53" s="184" t="s">
        <v>10</v>
      </c>
      <c r="C53" s="184" t="s">
        <v>10</v>
      </c>
      <c r="D53" s="184" t="s">
        <v>10</v>
      </c>
      <c r="E53" s="184" t="s">
        <v>10</v>
      </c>
    </row>
    <row r="54" spans="1:5">
      <c r="A54" s="215">
        <v>2010</v>
      </c>
      <c r="B54" s="222" t="s">
        <v>10</v>
      </c>
      <c r="C54" s="222" t="s">
        <v>10</v>
      </c>
      <c r="D54" s="222" t="s">
        <v>10</v>
      </c>
      <c r="E54" s="222" t="s">
        <v>10</v>
      </c>
    </row>
    <row r="55" spans="1:5">
      <c r="A55" s="215">
        <v>2011</v>
      </c>
      <c r="B55" s="222" t="s">
        <v>10</v>
      </c>
      <c r="C55" s="222" t="s">
        <v>10</v>
      </c>
      <c r="D55" s="222" t="s">
        <v>10</v>
      </c>
      <c r="E55" s="222" t="s">
        <v>10</v>
      </c>
    </row>
    <row r="56" spans="1:5" s="239" customFormat="1">
      <c r="A56" s="215">
        <v>2012</v>
      </c>
      <c r="B56" s="222" t="s">
        <v>10</v>
      </c>
      <c r="C56" s="222" t="s">
        <v>10</v>
      </c>
      <c r="D56" s="222" t="s">
        <v>10</v>
      </c>
      <c r="E56" s="222" t="s">
        <v>10</v>
      </c>
    </row>
    <row r="57" spans="1:5" s="239" customFormat="1">
      <c r="A57" s="215">
        <v>2013</v>
      </c>
      <c r="B57" s="222" t="s">
        <v>10</v>
      </c>
      <c r="C57" s="222" t="s">
        <v>10</v>
      </c>
      <c r="D57" s="222" t="s">
        <v>10</v>
      </c>
      <c r="E57" s="222" t="s">
        <v>10</v>
      </c>
    </row>
    <row r="58" spans="1:5">
      <c r="B58" s="195"/>
    </row>
    <row r="59" spans="1:5">
      <c r="A59" s="206" t="s">
        <v>259</v>
      </c>
      <c r="B59" s="206"/>
      <c r="C59" s="206"/>
      <c r="D59" s="206"/>
      <c r="E59" s="206"/>
    </row>
    <row r="60" spans="1:5">
      <c r="A60" s="208" t="s">
        <v>40</v>
      </c>
      <c r="B60" s="208"/>
      <c r="C60" s="206"/>
      <c r="D60" s="206"/>
      <c r="E60" s="206"/>
    </row>
    <row r="61" spans="1:5" ht="15" customHeight="1">
      <c r="A61" s="208">
        <v>1</v>
      </c>
      <c r="B61" s="208" t="s">
        <v>260</v>
      </c>
      <c r="C61" s="204"/>
      <c r="D61" s="204"/>
      <c r="E61" s="204"/>
    </row>
    <row r="62" spans="1:5">
      <c r="A62" s="208">
        <v>2</v>
      </c>
      <c r="B62" s="208" t="s">
        <v>261</v>
      </c>
      <c r="C62" s="206"/>
      <c r="D62" s="206"/>
      <c r="E62" s="206"/>
    </row>
    <row r="63" spans="1:5">
      <c r="A63" s="208">
        <v>3</v>
      </c>
      <c r="B63" s="208" t="s">
        <v>262</v>
      </c>
    </row>
    <row r="64" spans="1:5">
      <c r="A64" s="208">
        <v>4</v>
      </c>
      <c r="B64" s="208" t="s">
        <v>258</v>
      </c>
    </row>
  </sheetData>
  <mergeCells count="3">
    <mergeCell ref="B2:C2"/>
    <mergeCell ref="D2:E2"/>
    <mergeCell ref="A1:E1"/>
  </mergeCells>
  <printOptions gridLines="1"/>
  <pageMargins left="0.7" right="0.7" top="0.75" bottom="0.75" header="0.3" footer="0.3"/>
  <pageSetup scale="70"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4"/>
  <sheetViews>
    <sheetView view="pageBreakPreview" topLeftCell="A19" zoomScaleNormal="100" zoomScaleSheetLayoutView="100" workbookViewId="0">
      <selection activeCell="C24" sqref="C24"/>
    </sheetView>
  </sheetViews>
  <sheetFormatPr defaultRowHeight="15"/>
  <sheetData>
    <row r="1" spans="1:15">
      <c r="A1" s="456" t="s">
        <v>281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</row>
    <row r="2" spans="1:15" s="209" customFormat="1">
      <c r="A2" s="212"/>
      <c r="B2" s="456" t="s">
        <v>132</v>
      </c>
      <c r="C2" s="456"/>
      <c r="D2" s="456"/>
      <c r="E2" s="456"/>
      <c r="F2" s="456"/>
      <c r="G2" s="456"/>
      <c r="H2" s="456"/>
      <c r="I2" s="473" t="s">
        <v>133</v>
      </c>
      <c r="J2" s="456"/>
      <c r="K2" s="456"/>
      <c r="L2" s="456"/>
      <c r="M2" s="456"/>
      <c r="N2" s="456"/>
      <c r="O2" s="456"/>
    </row>
    <row r="3" spans="1:15" ht="30">
      <c r="A3" s="139"/>
      <c r="B3" s="210" t="s">
        <v>265</v>
      </c>
      <c r="C3" s="210" t="s">
        <v>266</v>
      </c>
      <c r="D3" s="210" t="s">
        <v>267</v>
      </c>
      <c r="E3" s="210" t="s">
        <v>268</v>
      </c>
      <c r="F3" s="210" t="s">
        <v>269</v>
      </c>
      <c r="G3" s="210" t="s">
        <v>270</v>
      </c>
      <c r="H3" s="196" t="s">
        <v>271</v>
      </c>
      <c r="I3" s="210" t="s">
        <v>265</v>
      </c>
      <c r="J3" s="210" t="s">
        <v>266</v>
      </c>
      <c r="K3" s="210" t="s">
        <v>267</v>
      </c>
      <c r="L3" s="210" t="s">
        <v>268</v>
      </c>
      <c r="M3" s="210" t="s">
        <v>269</v>
      </c>
      <c r="N3" s="210" t="s">
        <v>270</v>
      </c>
      <c r="O3" s="210" t="s">
        <v>271</v>
      </c>
    </row>
    <row r="4" spans="1:15">
      <c r="A4" s="139"/>
      <c r="B4" s="139"/>
      <c r="C4" s="139"/>
      <c r="D4" s="139"/>
      <c r="E4" s="139"/>
      <c r="F4" s="139"/>
      <c r="G4" s="139"/>
      <c r="H4" s="201"/>
    </row>
    <row r="5" spans="1:15">
      <c r="A5" s="211">
        <v>1961</v>
      </c>
      <c r="B5" s="129">
        <v>3021364.5</v>
      </c>
      <c r="C5" s="129">
        <v>25884.5</v>
      </c>
      <c r="D5" s="129">
        <v>679.6</v>
      </c>
      <c r="E5" s="129">
        <v>12665.4</v>
      </c>
      <c r="F5" s="129">
        <v>776.5</v>
      </c>
      <c r="G5" s="129">
        <v>24160.6</v>
      </c>
      <c r="H5" s="136">
        <v>3005519.2</v>
      </c>
      <c r="I5" s="129">
        <v>2091386.8</v>
      </c>
      <c r="J5" s="129">
        <v>13990</v>
      </c>
      <c r="K5" s="129">
        <v>21740.799999999999</v>
      </c>
      <c r="L5" s="129">
        <v>8407.1</v>
      </c>
      <c r="M5" s="129">
        <v>419.7</v>
      </c>
      <c r="N5" s="129">
        <v>20533.5</v>
      </c>
      <c r="O5" s="129">
        <v>2067362.7</v>
      </c>
    </row>
    <row r="6" spans="1:15">
      <c r="A6" s="211">
        <v>1962</v>
      </c>
      <c r="B6" s="129">
        <v>3005519.2</v>
      </c>
      <c r="C6" s="129">
        <v>24806.9</v>
      </c>
      <c r="D6" s="129">
        <v>5052.8999999999996</v>
      </c>
      <c r="E6" s="129">
        <v>12669.6</v>
      </c>
      <c r="F6" s="129">
        <v>744.2</v>
      </c>
      <c r="G6" s="129">
        <v>24182.2</v>
      </c>
      <c r="H6" s="136">
        <v>2986427.9</v>
      </c>
      <c r="I6" s="129">
        <v>2067362.7</v>
      </c>
      <c r="J6" s="129">
        <v>14708.2</v>
      </c>
      <c r="K6" s="129">
        <v>119</v>
      </c>
      <c r="L6" s="129">
        <v>8433.7000000000007</v>
      </c>
      <c r="M6" s="129">
        <v>441.2</v>
      </c>
      <c r="N6" s="129">
        <v>20303.099999999999</v>
      </c>
      <c r="O6" s="129">
        <v>2063963.7</v>
      </c>
    </row>
    <row r="7" spans="1:15">
      <c r="A7" s="211">
        <v>1963</v>
      </c>
      <c r="B7" s="129">
        <v>2986427.9</v>
      </c>
      <c r="C7" s="129">
        <v>25868.799999999999</v>
      </c>
      <c r="D7" s="129" t="s">
        <v>10</v>
      </c>
      <c r="E7" s="129">
        <v>12682.8</v>
      </c>
      <c r="F7" s="129">
        <v>776.1</v>
      </c>
      <c r="G7" s="129">
        <v>23904.6</v>
      </c>
      <c r="H7" s="136">
        <v>2971004.8</v>
      </c>
      <c r="I7" s="129">
        <v>2063963.7</v>
      </c>
      <c r="J7" s="129">
        <v>15151.8</v>
      </c>
      <c r="K7" s="129" t="s">
        <v>10</v>
      </c>
      <c r="L7" s="129">
        <v>8455.7000000000007</v>
      </c>
      <c r="M7" s="129">
        <v>454.6</v>
      </c>
      <c r="N7" s="129">
        <v>20138.5</v>
      </c>
      <c r="O7" s="129">
        <v>2060040.2</v>
      </c>
    </row>
    <row r="8" spans="1:15">
      <c r="A8" s="211">
        <v>1964</v>
      </c>
      <c r="B8" s="129">
        <v>2971004.8</v>
      </c>
      <c r="C8" s="129">
        <v>26422.5</v>
      </c>
      <c r="D8" s="129">
        <v>735.2</v>
      </c>
      <c r="E8" s="129">
        <v>12689.9</v>
      </c>
      <c r="F8" s="129">
        <v>792.7</v>
      </c>
      <c r="G8" s="129">
        <v>23709.1</v>
      </c>
      <c r="H8" s="136">
        <v>2954073.6</v>
      </c>
      <c r="I8" s="129">
        <v>2060040.2</v>
      </c>
      <c r="J8" s="129">
        <v>16134.1</v>
      </c>
      <c r="K8" s="129">
        <v>345</v>
      </c>
      <c r="L8" s="129">
        <v>8471.9</v>
      </c>
      <c r="M8" s="129">
        <v>484</v>
      </c>
      <c r="N8" s="129">
        <v>19852</v>
      </c>
      <c r="O8" s="129">
        <v>2054457.2</v>
      </c>
    </row>
    <row r="9" spans="1:15">
      <c r="A9" s="211">
        <v>1965</v>
      </c>
      <c r="B9" s="129">
        <v>2954073.6</v>
      </c>
      <c r="C9" s="129">
        <v>26496.5</v>
      </c>
      <c r="D9" s="129" t="s">
        <v>10</v>
      </c>
      <c r="E9" s="129">
        <v>12703.7</v>
      </c>
      <c r="F9" s="129">
        <v>794.9</v>
      </c>
      <c r="G9" s="129">
        <v>23602.400000000001</v>
      </c>
      <c r="H9" s="136">
        <v>2937680.9</v>
      </c>
      <c r="I9" s="129">
        <v>2054457.2</v>
      </c>
      <c r="J9" s="129">
        <v>16059.4</v>
      </c>
      <c r="K9" s="129" t="s">
        <v>10</v>
      </c>
      <c r="L9" s="129">
        <v>8485.5</v>
      </c>
      <c r="M9" s="129">
        <v>481.8</v>
      </c>
      <c r="N9" s="129">
        <v>19775.400000000001</v>
      </c>
      <c r="O9" s="129">
        <v>2049205.8</v>
      </c>
    </row>
    <row r="10" spans="1:15">
      <c r="A10" s="211">
        <v>1966</v>
      </c>
      <c r="B10" s="129">
        <v>2937680.9</v>
      </c>
      <c r="C10" s="129">
        <v>28147.5</v>
      </c>
      <c r="D10" s="129">
        <v>207.7</v>
      </c>
      <c r="E10" s="129">
        <v>12697.9</v>
      </c>
      <c r="F10" s="129">
        <v>844.4</v>
      </c>
      <c r="G10" s="129">
        <v>28135</v>
      </c>
      <c r="H10" s="136">
        <v>2923918.4</v>
      </c>
      <c r="I10" s="129">
        <v>2049205.8</v>
      </c>
      <c r="J10" s="129">
        <v>17016.3</v>
      </c>
      <c r="K10" s="129">
        <v>85.1</v>
      </c>
      <c r="L10" s="129">
        <v>8488.7999999999993</v>
      </c>
      <c r="M10" s="129">
        <v>510.5</v>
      </c>
      <c r="N10" s="129">
        <v>24460.2</v>
      </c>
      <c r="O10" s="129">
        <v>2047565.3</v>
      </c>
    </row>
    <row r="11" spans="1:15">
      <c r="A11" s="211">
        <v>1967</v>
      </c>
      <c r="B11" s="129">
        <v>2923918.4</v>
      </c>
      <c r="C11" s="129">
        <v>28307.200000000001</v>
      </c>
      <c r="D11" s="129">
        <v>3405.6</v>
      </c>
      <c r="E11" s="129">
        <v>12673.9</v>
      </c>
      <c r="F11" s="129">
        <v>849.2</v>
      </c>
      <c r="G11" s="129">
        <v>29095.5</v>
      </c>
      <c r="H11" s="136">
        <v>2907777.9</v>
      </c>
      <c r="I11" s="129">
        <v>2047565.3</v>
      </c>
      <c r="J11" s="129">
        <v>17190.8</v>
      </c>
      <c r="K11" s="129">
        <v>611.6</v>
      </c>
      <c r="L11" s="129">
        <v>8484.7999999999993</v>
      </c>
      <c r="M11" s="129">
        <v>515.70000000000005</v>
      </c>
      <c r="N11" s="129">
        <v>21368.6</v>
      </c>
      <c r="O11" s="129">
        <v>2042130.8</v>
      </c>
    </row>
    <row r="12" spans="1:15">
      <c r="A12" s="211">
        <v>1968</v>
      </c>
      <c r="B12" s="129">
        <v>2907777.9</v>
      </c>
      <c r="C12" s="129">
        <v>27904.799999999999</v>
      </c>
      <c r="D12" s="129" t="s">
        <v>10</v>
      </c>
      <c r="E12" s="129">
        <v>12668.2</v>
      </c>
      <c r="F12" s="129">
        <v>837.1</v>
      </c>
      <c r="G12" s="129">
        <v>28165.5</v>
      </c>
      <c r="H12" s="136">
        <v>2894533.3</v>
      </c>
      <c r="I12" s="129">
        <v>2042130.8</v>
      </c>
      <c r="J12" s="129">
        <v>16734.3</v>
      </c>
      <c r="K12" s="129" t="s">
        <v>10</v>
      </c>
      <c r="L12" s="129">
        <v>8486.6</v>
      </c>
      <c r="M12" s="129">
        <v>502</v>
      </c>
      <c r="N12" s="129">
        <v>21561.8</v>
      </c>
      <c r="O12" s="129">
        <v>2037969.6</v>
      </c>
    </row>
    <row r="13" spans="1:15">
      <c r="A13" s="211">
        <v>1969</v>
      </c>
      <c r="B13" s="129">
        <v>2894533.3</v>
      </c>
      <c r="C13" s="129">
        <v>30018</v>
      </c>
      <c r="D13" s="129">
        <v>14.4</v>
      </c>
      <c r="E13" s="129">
        <v>12638.3</v>
      </c>
      <c r="F13" s="129">
        <v>900.5</v>
      </c>
      <c r="G13" s="129">
        <v>28205.3</v>
      </c>
      <c r="H13" s="136">
        <v>2879167.3</v>
      </c>
      <c r="I13" s="129">
        <v>2037969.6</v>
      </c>
      <c r="J13" s="129">
        <v>17603.099999999999</v>
      </c>
      <c r="K13" s="129">
        <v>76.2</v>
      </c>
      <c r="L13" s="129">
        <v>8479.7999999999993</v>
      </c>
      <c r="M13" s="129">
        <v>528.1</v>
      </c>
      <c r="N13" s="129">
        <v>21628.2</v>
      </c>
      <c r="O13" s="129">
        <v>2032910.6</v>
      </c>
    </row>
    <row r="14" spans="1:15">
      <c r="A14" s="211">
        <v>1970</v>
      </c>
      <c r="B14" s="129">
        <v>2879167.3</v>
      </c>
      <c r="C14" s="129">
        <v>28897</v>
      </c>
      <c r="D14" s="129">
        <v>669.9</v>
      </c>
      <c r="E14" s="129">
        <v>12618.5</v>
      </c>
      <c r="F14" s="129">
        <v>866.9</v>
      </c>
      <c r="G14" s="129">
        <v>28403.7</v>
      </c>
      <c r="H14" s="136">
        <v>2864518.7</v>
      </c>
      <c r="I14" s="129">
        <v>2032910.6</v>
      </c>
      <c r="J14" s="129">
        <v>16795</v>
      </c>
      <c r="K14" s="129">
        <v>932.8</v>
      </c>
      <c r="L14" s="129">
        <v>8482.5</v>
      </c>
      <c r="M14" s="129">
        <v>503.9</v>
      </c>
      <c r="N14" s="129">
        <v>21790.799999999999</v>
      </c>
      <c r="O14" s="129">
        <v>2027987.2</v>
      </c>
    </row>
    <row r="15" spans="1:15">
      <c r="A15" s="211">
        <v>1971</v>
      </c>
      <c r="B15" s="129">
        <v>2864518.7</v>
      </c>
      <c r="C15" s="129">
        <v>26581</v>
      </c>
      <c r="D15" s="129">
        <v>9504.9</v>
      </c>
      <c r="E15" s="129">
        <v>12589.7</v>
      </c>
      <c r="F15" s="129">
        <v>797.4</v>
      </c>
      <c r="G15" s="129">
        <v>29216.799999999999</v>
      </c>
      <c r="H15" s="136">
        <v>2844262.5</v>
      </c>
      <c r="I15" s="129">
        <v>2027987.2</v>
      </c>
      <c r="J15" s="129">
        <v>15838</v>
      </c>
      <c r="K15" s="129">
        <v>232.8</v>
      </c>
      <c r="L15" s="129">
        <v>8496.7000000000007</v>
      </c>
      <c r="M15" s="129">
        <v>475.1</v>
      </c>
      <c r="N15" s="129">
        <v>22216.1</v>
      </c>
      <c r="O15" s="129">
        <v>2025160.7</v>
      </c>
    </row>
    <row r="16" spans="1:15">
      <c r="A16" s="211">
        <v>1972</v>
      </c>
      <c r="B16" s="129">
        <v>2844262.5</v>
      </c>
      <c r="C16" s="129">
        <v>27826</v>
      </c>
      <c r="D16" s="129">
        <v>4557.6000000000004</v>
      </c>
      <c r="E16" s="129">
        <v>12572</v>
      </c>
      <c r="F16" s="129">
        <v>834.8</v>
      </c>
      <c r="G16" s="129">
        <v>30000.6</v>
      </c>
      <c r="H16" s="136">
        <v>2828472.7</v>
      </c>
      <c r="I16" s="129">
        <v>2025160.7</v>
      </c>
      <c r="J16" s="129">
        <v>17360</v>
      </c>
      <c r="K16" s="129">
        <v>692.8</v>
      </c>
      <c r="L16" s="129">
        <v>8494.7000000000007</v>
      </c>
      <c r="M16" s="129">
        <v>520.79999999999995</v>
      </c>
      <c r="N16" s="129">
        <v>22021.7</v>
      </c>
      <c r="O16" s="129">
        <v>2020114.2</v>
      </c>
    </row>
    <row r="17" spans="1:15">
      <c r="A17" s="211">
        <v>1973</v>
      </c>
      <c r="B17" s="129">
        <v>2828472.7</v>
      </c>
      <c r="C17" s="129">
        <v>30153</v>
      </c>
      <c r="D17" s="129">
        <v>45.8</v>
      </c>
      <c r="E17" s="129">
        <v>12547.3</v>
      </c>
      <c r="F17" s="129">
        <v>904.6</v>
      </c>
      <c r="G17" s="129">
        <v>28651.599999999999</v>
      </c>
      <c r="H17" s="136">
        <v>2813473.6</v>
      </c>
      <c r="I17" s="129">
        <v>2020114.2</v>
      </c>
      <c r="J17" s="129">
        <v>18445</v>
      </c>
      <c r="K17" s="129">
        <v>7.2</v>
      </c>
      <c r="L17" s="129">
        <v>8484.2000000000007</v>
      </c>
      <c r="M17" s="129">
        <v>553.4</v>
      </c>
      <c r="N17" s="129">
        <v>21633.1</v>
      </c>
      <c r="O17" s="129">
        <v>2014257.4</v>
      </c>
    </row>
    <row r="18" spans="1:15">
      <c r="A18" s="211">
        <v>1974</v>
      </c>
      <c r="B18" s="129">
        <v>2813473.6</v>
      </c>
      <c r="C18" s="129">
        <v>32712</v>
      </c>
      <c r="D18" s="129">
        <v>117.2</v>
      </c>
      <c r="E18" s="129">
        <v>12494.7</v>
      </c>
      <c r="F18" s="129">
        <v>981.4</v>
      </c>
      <c r="G18" s="129">
        <v>28370.7</v>
      </c>
      <c r="H18" s="136">
        <v>2795539</v>
      </c>
      <c r="I18" s="129">
        <v>2014257.4</v>
      </c>
      <c r="J18" s="129">
        <v>18867</v>
      </c>
      <c r="K18" s="129">
        <v>17761.8</v>
      </c>
      <c r="L18" s="129">
        <v>8394.5</v>
      </c>
      <c r="M18" s="129">
        <v>566</v>
      </c>
      <c r="N18" s="129">
        <v>21513.3</v>
      </c>
      <c r="O18" s="129">
        <v>1990181.4</v>
      </c>
    </row>
    <row r="19" spans="1:15">
      <c r="A19" s="211">
        <v>1975</v>
      </c>
      <c r="B19" s="129">
        <v>2795539</v>
      </c>
      <c r="C19" s="129">
        <v>28407</v>
      </c>
      <c r="D19" s="129">
        <v>323.39999999999998</v>
      </c>
      <c r="E19" s="129">
        <v>12502.1</v>
      </c>
      <c r="F19" s="129">
        <v>852.2</v>
      </c>
      <c r="G19" s="129">
        <v>29187.200000000001</v>
      </c>
      <c r="H19" s="136">
        <v>2782641.5</v>
      </c>
      <c r="I19" s="129">
        <v>1990181.4</v>
      </c>
      <c r="J19" s="129">
        <v>14216</v>
      </c>
      <c r="K19" s="129">
        <v>167.6</v>
      </c>
      <c r="L19" s="129">
        <v>8436.5</v>
      </c>
      <c r="M19" s="129">
        <v>426.5</v>
      </c>
      <c r="N19" s="129">
        <v>22691.8</v>
      </c>
      <c r="O19" s="129">
        <v>1989626.7</v>
      </c>
    </row>
    <row r="20" spans="1:15">
      <c r="A20" s="211">
        <v>1976</v>
      </c>
      <c r="B20" s="129">
        <v>2782641.5</v>
      </c>
      <c r="C20" s="129">
        <v>29059</v>
      </c>
      <c r="D20" s="129">
        <v>1916.8</v>
      </c>
      <c r="E20" s="129">
        <v>12501.6</v>
      </c>
      <c r="F20" s="129">
        <v>871.8</v>
      </c>
      <c r="G20" s="129">
        <v>31182.2</v>
      </c>
      <c r="H20" s="136">
        <v>2769474.6</v>
      </c>
      <c r="I20" s="129">
        <v>1989626.7</v>
      </c>
      <c r="J20" s="129">
        <v>16743</v>
      </c>
      <c r="K20" s="129">
        <v>10235</v>
      </c>
      <c r="L20" s="129">
        <v>8413.1</v>
      </c>
      <c r="M20" s="129">
        <v>502.3</v>
      </c>
      <c r="N20" s="129">
        <v>21766.799999999999</v>
      </c>
      <c r="O20" s="129">
        <v>1975500.1</v>
      </c>
    </row>
    <row r="21" spans="1:15">
      <c r="A21" s="211">
        <v>1977</v>
      </c>
      <c r="B21" s="129">
        <v>2769474.6</v>
      </c>
      <c r="C21" s="129">
        <v>31063</v>
      </c>
      <c r="D21" s="129">
        <v>1271.4000000000001</v>
      </c>
      <c r="E21" s="129">
        <v>12482.5</v>
      </c>
      <c r="F21" s="129">
        <v>931.9</v>
      </c>
      <c r="G21" s="129">
        <v>29908.3</v>
      </c>
      <c r="H21" s="136">
        <v>2753634.1</v>
      </c>
      <c r="I21" s="129">
        <v>1975500.1</v>
      </c>
      <c r="J21" s="129">
        <v>19269</v>
      </c>
      <c r="K21" s="129">
        <v>4991.3999999999996</v>
      </c>
      <c r="L21" s="129">
        <v>8389.7000000000007</v>
      </c>
      <c r="M21" s="129">
        <v>578.1</v>
      </c>
      <c r="N21" s="129">
        <v>21488.400000000001</v>
      </c>
      <c r="O21" s="129">
        <v>1963760.2</v>
      </c>
    </row>
    <row r="22" spans="1:15">
      <c r="A22" s="211">
        <v>1978</v>
      </c>
      <c r="B22" s="129">
        <v>2753634.1</v>
      </c>
      <c r="C22" s="129">
        <v>34059</v>
      </c>
      <c r="D22" s="129">
        <v>147.80000000000001</v>
      </c>
      <c r="E22" s="129">
        <v>12440</v>
      </c>
      <c r="F22" s="129">
        <v>1021.8</v>
      </c>
      <c r="G22" s="129">
        <v>28664.7</v>
      </c>
      <c r="H22" s="136">
        <v>2734630.3</v>
      </c>
      <c r="I22" s="129">
        <v>1963760.2</v>
      </c>
      <c r="J22" s="129">
        <v>20187</v>
      </c>
      <c r="K22" s="129">
        <v>19.7</v>
      </c>
      <c r="L22" s="129">
        <v>8383.7999999999993</v>
      </c>
      <c r="M22" s="129">
        <v>605.6</v>
      </c>
      <c r="N22" s="129">
        <v>21412.3</v>
      </c>
      <c r="O22" s="129">
        <v>1955976.4</v>
      </c>
    </row>
    <row r="23" spans="1:15">
      <c r="A23" s="211">
        <v>1979</v>
      </c>
      <c r="B23" s="129">
        <v>2734630.3</v>
      </c>
      <c r="C23" s="129">
        <v>35736</v>
      </c>
      <c r="D23" s="129">
        <v>109.3</v>
      </c>
      <c r="E23" s="129">
        <v>12408.8</v>
      </c>
      <c r="F23" s="129">
        <v>1072.0999999999999</v>
      </c>
      <c r="G23" s="129">
        <v>29161.200000000001</v>
      </c>
      <c r="H23" s="136">
        <v>2714465.3</v>
      </c>
      <c r="I23" s="129">
        <v>1955976.4</v>
      </c>
      <c r="J23" s="129">
        <v>21294</v>
      </c>
      <c r="K23" s="129">
        <v>955</v>
      </c>
      <c r="L23" s="129">
        <v>8367.5</v>
      </c>
      <c r="M23" s="129">
        <v>638.79999999999995</v>
      </c>
      <c r="N23" s="129">
        <v>24456.2</v>
      </c>
      <c r="O23" s="129">
        <v>1949177.3</v>
      </c>
    </row>
    <row r="24" spans="1:15">
      <c r="A24" s="211">
        <v>1980</v>
      </c>
      <c r="B24" s="129">
        <v>2714465.3</v>
      </c>
      <c r="C24" s="129">
        <v>31686</v>
      </c>
      <c r="D24" s="129">
        <v>213.4</v>
      </c>
      <c r="E24" s="129">
        <v>12399.7</v>
      </c>
      <c r="F24" s="129">
        <v>950.6</v>
      </c>
      <c r="G24" s="129">
        <v>29284</v>
      </c>
      <c r="H24" s="136">
        <v>2698499.7</v>
      </c>
      <c r="I24" s="129">
        <v>1949177.3</v>
      </c>
      <c r="J24" s="129">
        <v>21322</v>
      </c>
      <c r="K24" s="129">
        <v>14081.9</v>
      </c>
      <c r="L24" s="129">
        <v>8296.4</v>
      </c>
      <c r="M24" s="129">
        <v>639.70000000000005</v>
      </c>
      <c r="N24" s="129">
        <v>20956</v>
      </c>
      <c r="O24" s="129">
        <v>1925793.3</v>
      </c>
    </row>
    <row r="25" spans="1:15">
      <c r="A25" s="211">
        <v>1981</v>
      </c>
      <c r="B25" s="129">
        <v>2698499.7</v>
      </c>
      <c r="C25" s="129">
        <v>34234</v>
      </c>
      <c r="D25" s="129">
        <v>93.9</v>
      </c>
      <c r="E25" s="129">
        <v>11413.9</v>
      </c>
      <c r="F25" s="129">
        <v>1027</v>
      </c>
      <c r="G25" s="129">
        <v>28532.6</v>
      </c>
      <c r="H25" s="136">
        <v>2680263.5</v>
      </c>
      <c r="I25" s="129">
        <v>1925793.3</v>
      </c>
      <c r="J25" s="129">
        <v>22808</v>
      </c>
      <c r="K25" s="129">
        <v>1716.6</v>
      </c>
      <c r="L25" s="129">
        <v>7703.4</v>
      </c>
      <c r="M25" s="129">
        <v>684.2</v>
      </c>
      <c r="N25" s="129">
        <v>22055.7</v>
      </c>
      <c r="O25" s="129">
        <v>1914936.8</v>
      </c>
    </row>
    <row r="26" spans="1:15">
      <c r="A26" s="211">
        <v>1982</v>
      </c>
      <c r="B26" s="129">
        <v>2680263.5</v>
      </c>
      <c r="C26" s="129">
        <v>29133</v>
      </c>
      <c r="D26" s="129">
        <v>309.60000000000002</v>
      </c>
      <c r="E26" s="129">
        <v>10523.2</v>
      </c>
      <c r="F26" s="129">
        <v>874</v>
      </c>
      <c r="G26" s="129">
        <v>30278.400000000001</v>
      </c>
      <c r="H26" s="136">
        <v>2669702</v>
      </c>
      <c r="I26" s="129">
        <v>1914936.8</v>
      </c>
      <c r="J26" s="129">
        <v>19778</v>
      </c>
      <c r="K26" s="129">
        <v>12.4</v>
      </c>
      <c r="L26" s="129">
        <v>7168.4</v>
      </c>
      <c r="M26" s="129">
        <v>593.29999999999995</v>
      </c>
      <c r="N26" s="129">
        <v>22415.7</v>
      </c>
      <c r="O26" s="129">
        <v>1909800.4</v>
      </c>
    </row>
    <row r="27" spans="1:15">
      <c r="A27" s="211">
        <v>1983</v>
      </c>
      <c r="B27" s="129">
        <v>2669702</v>
      </c>
      <c r="C27" s="129">
        <v>36288</v>
      </c>
      <c r="D27" s="129">
        <v>8861.5</v>
      </c>
      <c r="E27" s="129">
        <v>9577</v>
      </c>
      <c r="F27" s="129">
        <v>1088.5999999999999</v>
      </c>
      <c r="G27" s="129">
        <v>29379.1</v>
      </c>
      <c r="H27" s="136">
        <v>2643265.9</v>
      </c>
      <c r="I27" s="129">
        <v>1909800.4</v>
      </c>
      <c r="J27" s="129">
        <v>23736</v>
      </c>
      <c r="K27" s="129">
        <v>3113.9</v>
      </c>
      <c r="L27" s="129">
        <v>6619.1</v>
      </c>
      <c r="M27" s="129">
        <v>712.1</v>
      </c>
      <c r="N27" s="129">
        <v>21009.4</v>
      </c>
      <c r="O27" s="129">
        <v>1896628.7</v>
      </c>
    </row>
    <row r="28" spans="1:15">
      <c r="A28" s="211">
        <v>1984</v>
      </c>
      <c r="B28" s="129">
        <v>2643265.9</v>
      </c>
      <c r="C28" s="129">
        <v>36519</v>
      </c>
      <c r="D28" s="129">
        <v>101.6</v>
      </c>
      <c r="E28" s="129">
        <v>8732.9</v>
      </c>
      <c r="F28" s="129">
        <v>1095.5999999999999</v>
      </c>
      <c r="G28" s="129">
        <v>30110.6</v>
      </c>
      <c r="H28" s="136">
        <v>2626927.4</v>
      </c>
      <c r="I28" s="129">
        <v>1896628.7</v>
      </c>
      <c r="J28" s="129">
        <v>28130</v>
      </c>
      <c r="K28" s="129">
        <v>91.9</v>
      </c>
      <c r="L28" s="129">
        <v>6079</v>
      </c>
      <c r="M28" s="129">
        <v>843.9</v>
      </c>
      <c r="N28" s="129">
        <v>20571.7</v>
      </c>
      <c r="O28" s="129">
        <v>1882055.7</v>
      </c>
    </row>
    <row r="29" spans="1:15">
      <c r="A29" s="211">
        <v>1985</v>
      </c>
      <c r="B29" s="129">
        <v>2626927.4</v>
      </c>
      <c r="C29" s="129">
        <v>35400</v>
      </c>
      <c r="D29" s="129">
        <v>82.2</v>
      </c>
      <c r="E29" s="129">
        <v>7967.1</v>
      </c>
      <c r="F29" s="129">
        <v>1062</v>
      </c>
      <c r="G29" s="129">
        <v>29830.799999999999</v>
      </c>
      <c r="H29" s="136">
        <v>2612246.7999999998</v>
      </c>
      <c r="I29" s="129">
        <v>1882055.7</v>
      </c>
      <c r="J29" s="129">
        <v>28225</v>
      </c>
      <c r="K29" s="129">
        <v>5.2</v>
      </c>
      <c r="L29" s="129">
        <v>5576.1</v>
      </c>
      <c r="M29" s="129">
        <v>846.8</v>
      </c>
      <c r="N29" s="129">
        <v>23035.3</v>
      </c>
      <c r="O29" s="129">
        <v>1870437.8</v>
      </c>
    </row>
    <row r="30" spans="1:15">
      <c r="A30" s="211">
        <v>1986</v>
      </c>
      <c r="B30" s="129">
        <v>2612246.7999999998</v>
      </c>
      <c r="C30" s="129">
        <v>38127</v>
      </c>
      <c r="D30" s="129">
        <v>7260.7</v>
      </c>
      <c r="E30" s="129">
        <v>7212.3</v>
      </c>
      <c r="F30" s="129">
        <v>1143.8</v>
      </c>
      <c r="G30" s="129">
        <v>30178.9</v>
      </c>
      <c r="H30" s="136">
        <v>2588681.9</v>
      </c>
      <c r="I30" s="129">
        <v>1870437.8</v>
      </c>
      <c r="J30" s="129">
        <v>30186</v>
      </c>
      <c r="K30" s="129">
        <v>2066.6999999999998</v>
      </c>
      <c r="L30" s="129">
        <v>5087.8</v>
      </c>
      <c r="M30" s="129">
        <v>905.6</v>
      </c>
      <c r="N30" s="129">
        <v>21004.9</v>
      </c>
      <c r="O30" s="129">
        <v>1853196.6</v>
      </c>
    </row>
    <row r="31" spans="1:15">
      <c r="A31" s="211">
        <v>1987</v>
      </c>
      <c r="B31" s="129">
        <v>2588681.9</v>
      </c>
      <c r="C31" s="129">
        <v>39503</v>
      </c>
      <c r="D31" s="129">
        <v>1156.3</v>
      </c>
      <c r="E31" s="129">
        <v>6521.7</v>
      </c>
      <c r="F31" s="129">
        <v>1185.0999999999999</v>
      </c>
      <c r="G31" s="129">
        <v>28916.6</v>
      </c>
      <c r="H31" s="136">
        <v>2569232.4</v>
      </c>
      <c r="I31" s="129">
        <v>1853196.6</v>
      </c>
      <c r="J31" s="129">
        <v>29692</v>
      </c>
      <c r="K31" s="129">
        <v>221</v>
      </c>
      <c r="L31" s="129">
        <v>4645.1000000000004</v>
      </c>
      <c r="M31" s="129">
        <v>890.8</v>
      </c>
      <c r="N31" s="129">
        <v>20492.8</v>
      </c>
      <c r="O31" s="129">
        <v>1838240.5</v>
      </c>
    </row>
    <row r="32" spans="1:15">
      <c r="A32" s="211">
        <v>1988</v>
      </c>
      <c r="B32" s="129">
        <v>2569232.4</v>
      </c>
      <c r="C32" s="129">
        <v>39381</v>
      </c>
      <c r="D32" s="129">
        <v>11252.5</v>
      </c>
      <c r="E32" s="129">
        <v>5863.5</v>
      </c>
      <c r="F32" s="129">
        <v>1181.4000000000001</v>
      </c>
      <c r="G32" s="129">
        <v>33486.199999999997</v>
      </c>
      <c r="H32" s="136">
        <v>2545040.2000000002</v>
      </c>
      <c r="I32" s="129">
        <v>1838240.5</v>
      </c>
      <c r="J32" s="129">
        <v>29338</v>
      </c>
      <c r="K32" s="129">
        <v>1444.9</v>
      </c>
      <c r="L32" s="129">
        <v>4236.8999999999996</v>
      </c>
      <c r="M32" s="129">
        <v>880.1</v>
      </c>
      <c r="N32" s="129">
        <v>21787.3</v>
      </c>
      <c r="O32" s="129">
        <v>1824127.9</v>
      </c>
    </row>
    <row r="33" spans="1:15">
      <c r="A33" s="211">
        <v>1989</v>
      </c>
      <c r="B33" s="129">
        <v>2545040.2000000002</v>
      </c>
      <c r="C33" s="129">
        <v>36192</v>
      </c>
      <c r="D33" s="129">
        <v>86056.5</v>
      </c>
      <c r="E33" s="129">
        <v>5122.7</v>
      </c>
      <c r="F33" s="129">
        <v>1085.8</v>
      </c>
      <c r="G33" s="129">
        <v>30755.7</v>
      </c>
      <c r="H33" s="136">
        <v>2447338.9</v>
      </c>
      <c r="I33" s="129">
        <v>1824127.9</v>
      </c>
      <c r="J33" s="129">
        <v>29642</v>
      </c>
      <c r="K33" s="129">
        <v>198.8</v>
      </c>
      <c r="L33" s="129">
        <v>3860.4</v>
      </c>
      <c r="M33" s="129">
        <v>889.3</v>
      </c>
      <c r="N33" s="129">
        <v>21946.6</v>
      </c>
      <c r="O33" s="129">
        <v>1811484.1</v>
      </c>
    </row>
    <row r="34" spans="1:15">
      <c r="A34" s="211">
        <v>1990</v>
      </c>
      <c r="B34" s="129">
        <v>2449137.7999999998</v>
      </c>
      <c r="C34" s="129">
        <v>30148</v>
      </c>
      <c r="D34" s="129">
        <v>3017.8</v>
      </c>
      <c r="E34" s="129">
        <v>5123.1000000000004</v>
      </c>
      <c r="F34" s="129">
        <v>904.4</v>
      </c>
      <c r="G34" s="129">
        <v>33241.699999999997</v>
      </c>
      <c r="H34" s="136">
        <v>2443186.1</v>
      </c>
      <c r="I34" s="129">
        <v>1811025.8</v>
      </c>
      <c r="J34" s="129">
        <v>25420</v>
      </c>
      <c r="K34" s="129">
        <v>126.6</v>
      </c>
      <c r="L34" s="129">
        <v>3858.8</v>
      </c>
      <c r="M34" s="129">
        <v>762.6</v>
      </c>
      <c r="N34" s="129">
        <v>23303.4</v>
      </c>
      <c r="O34" s="129">
        <v>1804161.3</v>
      </c>
    </row>
    <row r="35" spans="1:15">
      <c r="A35" s="211">
        <v>1991</v>
      </c>
      <c r="B35" s="129">
        <v>2443186.1</v>
      </c>
      <c r="C35" s="129">
        <v>28943</v>
      </c>
      <c r="D35" s="129">
        <v>13959.4</v>
      </c>
      <c r="E35" s="129">
        <v>4651.2</v>
      </c>
      <c r="F35" s="129">
        <v>868.3</v>
      </c>
      <c r="G35" s="129">
        <v>36472.199999999997</v>
      </c>
      <c r="H35" s="136">
        <v>2431236.2999999998</v>
      </c>
      <c r="I35" s="129">
        <v>1804161.3</v>
      </c>
      <c r="J35" s="129">
        <v>23830</v>
      </c>
      <c r="K35" s="129">
        <v>195.9</v>
      </c>
      <c r="L35" s="129">
        <v>3538.6</v>
      </c>
      <c r="M35" s="129">
        <v>714.9</v>
      </c>
      <c r="N35" s="129">
        <v>24365.9</v>
      </c>
      <c r="O35" s="129">
        <v>1800247.9</v>
      </c>
    </row>
    <row r="36" spans="1:15">
      <c r="A36" s="211">
        <v>1992</v>
      </c>
      <c r="B36" s="129">
        <v>2431236.2999999998</v>
      </c>
      <c r="C36" s="129">
        <v>31002</v>
      </c>
      <c r="D36" s="129">
        <v>947.4</v>
      </c>
      <c r="E36" s="129">
        <v>4252.7</v>
      </c>
      <c r="F36" s="129">
        <v>930.1</v>
      </c>
      <c r="G36" s="129">
        <v>35085.1</v>
      </c>
      <c r="H36" s="136">
        <v>2429189.2999999998</v>
      </c>
      <c r="I36" s="129">
        <v>1800247.9</v>
      </c>
      <c r="J36" s="129">
        <v>24286</v>
      </c>
      <c r="K36" s="129">
        <v>406.1</v>
      </c>
      <c r="L36" s="129">
        <v>3251.9</v>
      </c>
      <c r="M36" s="129">
        <v>728.6</v>
      </c>
      <c r="N36" s="129">
        <v>23974.3</v>
      </c>
      <c r="O36" s="129">
        <v>1795549.5</v>
      </c>
    </row>
    <row r="37" spans="1:15">
      <c r="A37" s="211">
        <v>1993</v>
      </c>
      <c r="B37" s="129">
        <v>2429189.2999999998</v>
      </c>
      <c r="C37" s="129">
        <v>34100</v>
      </c>
      <c r="D37" s="129">
        <v>4878.3999999999996</v>
      </c>
      <c r="E37" s="129">
        <v>3869.1</v>
      </c>
      <c r="F37" s="129">
        <v>1023</v>
      </c>
      <c r="G37" s="129">
        <v>37811.4</v>
      </c>
      <c r="H37" s="136">
        <v>2423130.2000000002</v>
      </c>
      <c r="I37" s="129">
        <v>1795549.5</v>
      </c>
      <c r="J37" s="129">
        <v>25432</v>
      </c>
      <c r="K37" s="129">
        <v>83</v>
      </c>
      <c r="L37" s="129">
        <v>2984.3</v>
      </c>
      <c r="M37" s="129">
        <v>763</v>
      </c>
      <c r="N37" s="129">
        <v>24069.1</v>
      </c>
      <c r="O37" s="129">
        <v>1790356.4</v>
      </c>
    </row>
    <row r="38" spans="1:15">
      <c r="A38" s="211">
        <v>1994</v>
      </c>
      <c r="B38" s="129">
        <v>2423130.2000000002</v>
      </c>
      <c r="C38" s="129">
        <v>38227</v>
      </c>
      <c r="D38" s="129">
        <v>110</v>
      </c>
      <c r="E38" s="129">
        <v>3506.8</v>
      </c>
      <c r="F38" s="129">
        <v>1146.8</v>
      </c>
      <c r="G38" s="257">
        <v>61140.2</v>
      </c>
      <c r="H38" s="136">
        <v>2441279.7999999998</v>
      </c>
      <c r="I38" s="129">
        <v>1790356.4</v>
      </c>
      <c r="J38" s="129">
        <v>25953</v>
      </c>
      <c r="K38" s="129">
        <v>16</v>
      </c>
      <c r="L38" s="129">
        <v>2731.6</v>
      </c>
      <c r="M38" s="129">
        <v>778.6</v>
      </c>
      <c r="N38" s="129">
        <v>23876.7</v>
      </c>
      <c r="O38" s="129">
        <v>1784753.8</v>
      </c>
    </row>
    <row r="39" spans="1:15">
      <c r="A39" s="211">
        <v>1995</v>
      </c>
      <c r="B39" s="129">
        <v>2441279.7999999998</v>
      </c>
      <c r="C39" s="129">
        <v>41432</v>
      </c>
      <c r="D39" s="129">
        <v>15948</v>
      </c>
      <c r="E39" s="129">
        <v>3133.1</v>
      </c>
      <c r="F39" s="129">
        <v>1243</v>
      </c>
      <c r="G39" s="129">
        <v>33444.9</v>
      </c>
      <c r="H39" s="136">
        <v>2412968.7000000002</v>
      </c>
      <c r="I39" s="129">
        <v>1784753.8</v>
      </c>
      <c r="J39" s="129">
        <v>26261</v>
      </c>
      <c r="K39" s="129">
        <v>2367.3000000000002</v>
      </c>
      <c r="L39" s="129">
        <v>2492.4</v>
      </c>
      <c r="M39" s="129">
        <v>787.8</v>
      </c>
      <c r="N39" s="129">
        <v>23686.5</v>
      </c>
      <c r="O39" s="129">
        <v>1776531.8</v>
      </c>
    </row>
    <row r="40" spans="1:15">
      <c r="A40" s="211">
        <v>1996</v>
      </c>
      <c r="B40" s="129">
        <v>2412968.7000000002</v>
      </c>
      <c r="C40" s="129">
        <v>38190</v>
      </c>
      <c r="D40" s="129">
        <v>15880.9</v>
      </c>
      <c r="E40" s="129">
        <v>2777.9</v>
      </c>
      <c r="F40" s="129">
        <v>1145.7</v>
      </c>
      <c r="G40" s="129">
        <v>37435.1</v>
      </c>
      <c r="H40" s="136">
        <v>2392409.2999999998</v>
      </c>
      <c r="I40" s="129">
        <v>1776531.8</v>
      </c>
      <c r="J40" s="129">
        <v>25871</v>
      </c>
      <c r="K40" s="129">
        <v>6952.5</v>
      </c>
      <c r="L40" s="129">
        <v>2269.6999999999998</v>
      </c>
      <c r="M40" s="129">
        <v>776.1</v>
      </c>
      <c r="N40" s="129">
        <v>23630.3</v>
      </c>
      <c r="O40" s="129">
        <v>1764292.8</v>
      </c>
    </row>
    <row r="41" spans="1:15">
      <c r="A41" s="211">
        <v>1997</v>
      </c>
      <c r="B41" s="129">
        <v>2392409.2999999998</v>
      </c>
      <c r="C41" s="129">
        <v>42546</v>
      </c>
      <c r="D41" s="129">
        <v>5656.6</v>
      </c>
      <c r="E41" s="129">
        <v>2482.5</v>
      </c>
      <c r="F41" s="129">
        <v>1276.4000000000001</v>
      </c>
      <c r="G41" s="129">
        <v>33274.6</v>
      </c>
      <c r="H41" s="136">
        <v>2373722.2999999998</v>
      </c>
      <c r="I41" s="129">
        <v>1764292.8</v>
      </c>
      <c r="J41" s="129">
        <v>26595</v>
      </c>
      <c r="K41" s="129">
        <v>616.79999999999995</v>
      </c>
      <c r="L41" s="129">
        <v>2075.5</v>
      </c>
      <c r="M41" s="129">
        <v>797.9</v>
      </c>
      <c r="N41" s="129">
        <v>23587.9</v>
      </c>
      <c r="O41" s="129">
        <v>1757795.5</v>
      </c>
    </row>
    <row r="42" spans="1:15">
      <c r="A42" s="211">
        <v>1998</v>
      </c>
      <c r="B42" s="129">
        <v>2373722.2999999998</v>
      </c>
      <c r="C42" s="129">
        <v>43216</v>
      </c>
      <c r="D42" s="129">
        <v>636.6</v>
      </c>
      <c r="E42" s="129">
        <v>2201.1</v>
      </c>
      <c r="F42" s="129">
        <v>1296.5</v>
      </c>
      <c r="G42" s="129">
        <v>35878.1</v>
      </c>
      <c r="H42" s="136">
        <v>2362250.2000000002</v>
      </c>
      <c r="I42" s="129">
        <v>1757795.5</v>
      </c>
      <c r="J42" s="129">
        <v>24125</v>
      </c>
      <c r="K42" s="129">
        <v>2213.3000000000002</v>
      </c>
      <c r="L42" s="129">
        <v>1891.9</v>
      </c>
      <c r="M42" s="129">
        <v>723.8</v>
      </c>
      <c r="N42" s="129">
        <v>24158.400000000001</v>
      </c>
      <c r="O42" s="129">
        <v>1752999.9</v>
      </c>
    </row>
    <row r="43" spans="1:15">
      <c r="A43" s="211">
        <v>1999</v>
      </c>
      <c r="B43" s="129">
        <v>2362250.2000000002</v>
      </c>
      <c r="C43" s="129">
        <v>45601</v>
      </c>
      <c r="D43" s="129">
        <v>3352</v>
      </c>
      <c r="E43" s="129">
        <v>1943.2</v>
      </c>
      <c r="F43" s="129">
        <v>1368</v>
      </c>
      <c r="G43" s="129">
        <v>35094.199999999997</v>
      </c>
      <c r="H43" s="136">
        <v>2345080.1</v>
      </c>
      <c r="I43" s="129">
        <v>1752999.9</v>
      </c>
      <c r="J43" s="129">
        <v>24814</v>
      </c>
      <c r="K43" s="129">
        <v>2774.7</v>
      </c>
      <c r="L43" s="129">
        <v>1731.4</v>
      </c>
      <c r="M43" s="129">
        <v>744.4</v>
      </c>
      <c r="N43" s="129">
        <v>24130.9</v>
      </c>
      <c r="O43" s="129">
        <v>1747066.3</v>
      </c>
    </row>
    <row r="44" spans="1:15">
      <c r="A44" s="211">
        <v>2000</v>
      </c>
      <c r="B44" s="129">
        <v>2345080.1</v>
      </c>
      <c r="C44" s="129">
        <v>45601</v>
      </c>
      <c r="D44" s="129">
        <v>22.7</v>
      </c>
      <c r="E44" s="129">
        <v>1703.8</v>
      </c>
      <c r="F44" s="129">
        <v>1368</v>
      </c>
      <c r="G44" s="129">
        <v>41689.599999999999</v>
      </c>
      <c r="H44" s="136">
        <v>2338074.2000000002</v>
      </c>
      <c r="I44" s="129">
        <v>1747066.3</v>
      </c>
      <c r="J44" s="129">
        <v>24814</v>
      </c>
      <c r="K44" s="129" t="s">
        <v>10</v>
      </c>
      <c r="L44" s="129">
        <v>1584.1</v>
      </c>
      <c r="M44" s="129">
        <v>744.4</v>
      </c>
      <c r="N44" s="129">
        <v>24747.7</v>
      </c>
      <c r="O44" s="129">
        <v>1744671.5</v>
      </c>
    </row>
    <row r="45" spans="1:15">
      <c r="A45" s="211">
        <v>2001</v>
      </c>
      <c r="B45" s="129">
        <v>2340499.5</v>
      </c>
      <c r="C45" s="129">
        <v>40579</v>
      </c>
      <c r="D45" s="129">
        <v>47.8</v>
      </c>
      <c r="E45" s="129">
        <v>1494.8</v>
      </c>
      <c r="F45" s="129">
        <v>1217.4000000000001</v>
      </c>
      <c r="G45" s="129">
        <v>42900</v>
      </c>
      <c r="H45" s="136">
        <v>2340060.4</v>
      </c>
      <c r="I45" s="129">
        <v>1740908.4</v>
      </c>
      <c r="J45" s="129">
        <v>24098</v>
      </c>
      <c r="K45" s="129">
        <v>61.2</v>
      </c>
      <c r="L45" s="129">
        <v>1439.7</v>
      </c>
      <c r="M45" s="129">
        <v>722.9</v>
      </c>
      <c r="N45" s="129">
        <v>25951.3</v>
      </c>
      <c r="O45" s="129">
        <v>1740537.8</v>
      </c>
    </row>
    <row r="46" spans="1:15">
      <c r="A46" s="211">
        <v>2002</v>
      </c>
      <c r="B46" s="129">
        <v>2340060.4</v>
      </c>
      <c r="C46" s="129">
        <v>41525</v>
      </c>
      <c r="D46" s="129">
        <v>15214.6</v>
      </c>
      <c r="E46" s="129">
        <v>1326.7</v>
      </c>
      <c r="F46" s="129">
        <v>1245.8</v>
      </c>
      <c r="G46" s="129">
        <v>40505.4</v>
      </c>
      <c r="H46" s="136">
        <v>2321253.7000000002</v>
      </c>
      <c r="I46" s="129">
        <v>1740537.8</v>
      </c>
      <c r="J46" s="129">
        <v>26327</v>
      </c>
      <c r="K46" s="129">
        <v>702</v>
      </c>
      <c r="L46" s="129">
        <v>1353.3</v>
      </c>
      <c r="M46" s="129">
        <v>789.8</v>
      </c>
      <c r="N46" s="129">
        <v>24605.599999999999</v>
      </c>
      <c r="O46" s="129">
        <v>1735971.3</v>
      </c>
    </row>
    <row r="47" spans="1:15">
      <c r="A47" s="211">
        <v>2003</v>
      </c>
      <c r="B47" s="129">
        <v>2321253.7000000002</v>
      </c>
      <c r="C47" s="129" t="s">
        <v>10</v>
      </c>
      <c r="D47" s="129">
        <v>685.8</v>
      </c>
      <c r="E47" s="129">
        <v>1178.9000000000001</v>
      </c>
      <c r="F47" s="129" t="s">
        <v>10</v>
      </c>
      <c r="G47" s="129">
        <v>47680.6</v>
      </c>
      <c r="H47" s="136">
        <v>2367069.6</v>
      </c>
      <c r="I47" s="129">
        <v>1735971.3</v>
      </c>
      <c r="J47" s="129">
        <v>24340</v>
      </c>
      <c r="K47" s="129">
        <v>1897.8</v>
      </c>
      <c r="L47" s="129">
        <v>1266.0999999999999</v>
      </c>
      <c r="M47" s="129">
        <v>730.2</v>
      </c>
      <c r="N47" s="129">
        <v>25220</v>
      </c>
      <c r="O47" s="129">
        <v>1732957.2</v>
      </c>
    </row>
    <row r="48" spans="1:15">
      <c r="A48" s="139"/>
      <c r="B48" s="139"/>
      <c r="C48" s="139"/>
      <c r="D48" s="139"/>
      <c r="E48" s="139"/>
      <c r="F48" s="139"/>
      <c r="G48" s="139"/>
      <c r="H48" s="139"/>
    </row>
    <row r="49" spans="1:8">
      <c r="A49" s="472" t="s">
        <v>272</v>
      </c>
      <c r="B49" s="472"/>
      <c r="C49" s="472"/>
      <c r="D49" s="472"/>
      <c r="E49" s="472"/>
      <c r="F49" s="472"/>
      <c r="G49" s="472"/>
      <c r="H49" s="472"/>
    </row>
    <row r="50" spans="1:8">
      <c r="A50" s="188" t="s">
        <v>39</v>
      </c>
      <c r="B50" s="188"/>
      <c r="C50" s="191"/>
      <c r="D50" s="191"/>
      <c r="E50" s="191"/>
      <c r="F50" s="191"/>
      <c r="G50" s="191"/>
      <c r="H50" s="191"/>
    </row>
    <row r="51" spans="1:8">
      <c r="A51" s="188" t="s">
        <v>10</v>
      </c>
      <c r="B51" s="188" t="s">
        <v>43</v>
      </c>
      <c r="C51" s="191"/>
      <c r="D51" s="191"/>
      <c r="E51" s="191"/>
      <c r="F51" s="191"/>
      <c r="G51" s="191"/>
      <c r="H51" s="191"/>
    </row>
    <row r="52" spans="1:8">
      <c r="A52" s="188" t="s">
        <v>40</v>
      </c>
      <c r="B52" s="188"/>
    </row>
    <row r="53" spans="1:8">
      <c r="A53" s="188">
        <v>1</v>
      </c>
      <c r="B53" s="188" t="s">
        <v>273</v>
      </c>
    </row>
    <row r="54" spans="1:8">
      <c r="A54" s="188">
        <v>2</v>
      </c>
      <c r="B54" s="188" t="s">
        <v>274</v>
      </c>
    </row>
  </sheetData>
  <mergeCells count="4">
    <mergeCell ref="A49:H49"/>
    <mergeCell ref="A1:O1"/>
    <mergeCell ref="I2:O2"/>
    <mergeCell ref="B2:H2"/>
  </mergeCells>
  <printOptions gridLines="1"/>
  <pageMargins left="0.7" right="0.7" top="0.75" bottom="0.75" header="0.3" footer="0.3"/>
  <pageSetup scale="65"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4"/>
  <sheetViews>
    <sheetView view="pageBreakPreview" zoomScaleNormal="100" zoomScaleSheetLayoutView="100" workbookViewId="0">
      <selection activeCell="C24" sqref="C24"/>
    </sheetView>
  </sheetViews>
  <sheetFormatPr defaultRowHeight="15"/>
  <sheetData>
    <row r="1" spans="1:17">
      <c r="A1" s="475" t="s">
        <v>280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</row>
    <row r="2" spans="1:17" s="200" customFormat="1">
      <c r="A2" s="219"/>
      <c r="B2" s="475" t="s">
        <v>132</v>
      </c>
      <c r="C2" s="475"/>
      <c r="D2" s="475"/>
      <c r="E2" s="475"/>
      <c r="F2" s="475"/>
      <c r="G2" s="475"/>
      <c r="H2" s="475"/>
      <c r="I2" s="475"/>
      <c r="J2" s="475" t="s">
        <v>133</v>
      </c>
      <c r="K2" s="475"/>
      <c r="L2" s="475"/>
      <c r="M2" s="475"/>
      <c r="N2" s="475"/>
      <c r="O2" s="475"/>
      <c r="P2" s="475"/>
      <c r="Q2" s="475"/>
    </row>
    <row r="3" spans="1:17" ht="90">
      <c r="A3" s="213"/>
      <c r="B3" s="216" t="s">
        <v>275</v>
      </c>
      <c r="C3" s="216" t="s">
        <v>266</v>
      </c>
      <c r="D3" s="216" t="s">
        <v>267</v>
      </c>
      <c r="E3" s="216" t="s">
        <v>268</v>
      </c>
      <c r="F3" s="216" t="s">
        <v>269</v>
      </c>
      <c r="G3" s="216" t="s">
        <v>270</v>
      </c>
      <c r="H3" s="216" t="s">
        <v>276</v>
      </c>
      <c r="I3" s="196" t="s">
        <v>277</v>
      </c>
      <c r="J3" s="216" t="s">
        <v>275</v>
      </c>
      <c r="K3" s="216" t="s">
        <v>266</v>
      </c>
      <c r="L3" s="216" t="s">
        <v>267</v>
      </c>
      <c r="M3" s="216" t="s">
        <v>268</v>
      </c>
      <c r="N3" s="216" t="s">
        <v>269</v>
      </c>
      <c r="O3" s="216" t="s">
        <v>270</v>
      </c>
      <c r="P3" s="216" t="s">
        <v>276</v>
      </c>
      <c r="Q3" s="216" t="s">
        <v>277</v>
      </c>
    </row>
    <row r="4" spans="1:17">
      <c r="A4" s="213"/>
      <c r="B4" s="218"/>
      <c r="C4" s="218"/>
      <c r="D4" s="218"/>
      <c r="E4" s="218"/>
      <c r="F4" s="218"/>
      <c r="G4" s="218"/>
      <c r="H4" s="218"/>
      <c r="I4" s="199"/>
    </row>
    <row r="5" spans="1:17">
      <c r="A5" s="215">
        <v>1961</v>
      </c>
      <c r="B5" s="129">
        <v>32520.6</v>
      </c>
      <c r="C5" s="129">
        <v>254.8</v>
      </c>
      <c r="D5" s="129">
        <v>7.3</v>
      </c>
      <c r="E5" s="129">
        <v>99.6</v>
      </c>
      <c r="F5" s="129">
        <v>7.6</v>
      </c>
      <c r="G5" s="129">
        <v>386.2</v>
      </c>
      <c r="H5" s="129">
        <v>32537.5</v>
      </c>
      <c r="I5" s="136">
        <v>5390.7</v>
      </c>
      <c r="J5" s="129">
        <v>22943.8</v>
      </c>
      <c r="K5" s="129">
        <v>138.4</v>
      </c>
      <c r="L5" s="129">
        <v>238.5</v>
      </c>
      <c r="M5" s="129">
        <v>61.9</v>
      </c>
      <c r="N5" s="129">
        <v>4.2</v>
      </c>
      <c r="O5" s="129">
        <v>450.6</v>
      </c>
      <c r="P5" s="129">
        <v>22951.4</v>
      </c>
      <c r="Q5" s="129">
        <v>2615.9</v>
      </c>
    </row>
    <row r="6" spans="1:17">
      <c r="A6" s="215">
        <v>1962</v>
      </c>
      <c r="B6" s="129">
        <v>32537.5</v>
      </c>
      <c r="C6" s="129">
        <v>244.3</v>
      </c>
      <c r="D6" s="129">
        <v>54.7</v>
      </c>
      <c r="E6" s="129">
        <v>99.6</v>
      </c>
      <c r="F6" s="129">
        <v>7.3</v>
      </c>
      <c r="G6" s="129">
        <v>423.2</v>
      </c>
      <c r="H6" s="129">
        <v>32554.7</v>
      </c>
      <c r="I6" s="136">
        <v>5366.2</v>
      </c>
      <c r="J6" s="129">
        <v>22951.4</v>
      </c>
      <c r="K6" s="129">
        <v>145.4</v>
      </c>
      <c r="L6" s="129">
        <v>1.3</v>
      </c>
      <c r="M6" s="129">
        <v>62.3</v>
      </c>
      <c r="N6" s="129">
        <v>4.4000000000000004</v>
      </c>
      <c r="O6" s="129">
        <v>220.7</v>
      </c>
      <c r="P6" s="129">
        <v>22958.6</v>
      </c>
      <c r="Q6" s="129">
        <v>2604.3000000000002</v>
      </c>
    </row>
    <row r="7" spans="1:17">
      <c r="A7" s="215">
        <v>1963</v>
      </c>
      <c r="B7" s="129">
        <v>32554.7</v>
      </c>
      <c r="C7" s="129">
        <v>255</v>
      </c>
      <c r="D7" s="129" t="s">
        <v>10</v>
      </c>
      <c r="E7" s="129">
        <v>99.7</v>
      </c>
      <c r="F7" s="129">
        <v>7.7</v>
      </c>
      <c r="G7" s="129">
        <v>379</v>
      </c>
      <c r="H7" s="129">
        <v>32571.3</v>
      </c>
      <c r="I7" s="136">
        <v>5341.9</v>
      </c>
      <c r="J7" s="129">
        <v>22958.6</v>
      </c>
      <c r="K7" s="129">
        <v>149.69999999999999</v>
      </c>
      <c r="L7" s="129" t="s">
        <v>10</v>
      </c>
      <c r="M7" s="129">
        <v>62.6</v>
      </c>
      <c r="N7" s="129">
        <v>4.5</v>
      </c>
      <c r="O7" s="129">
        <v>223.9</v>
      </c>
      <c r="P7" s="129">
        <v>22965.7</v>
      </c>
      <c r="Q7" s="129">
        <v>2592.8000000000002</v>
      </c>
    </row>
    <row r="8" spans="1:17">
      <c r="A8" s="215">
        <v>1964</v>
      </c>
      <c r="B8" s="129">
        <v>32571.3</v>
      </c>
      <c r="C8" s="129">
        <v>260.7</v>
      </c>
      <c r="D8" s="129">
        <v>8.1</v>
      </c>
      <c r="E8" s="129">
        <v>99.6</v>
      </c>
      <c r="F8" s="129">
        <v>7.8</v>
      </c>
      <c r="G8" s="129">
        <v>392.4</v>
      </c>
      <c r="H8" s="129">
        <v>32587.599999999999</v>
      </c>
      <c r="I8" s="136">
        <v>5317.8</v>
      </c>
      <c r="J8" s="129">
        <v>22965.7</v>
      </c>
      <c r="K8" s="129">
        <v>159.30000000000001</v>
      </c>
      <c r="L8" s="129">
        <v>3.8</v>
      </c>
      <c r="M8" s="129">
        <v>62.9</v>
      </c>
      <c r="N8" s="129">
        <v>4.8</v>
      </c>
      <c r="O8" s="129">
        <v>237.4</v>
      </c>
      <c r="P8" s="129">
        <v>22972.2</v>
      </c>
      <c r="Q8" s="129">
        <v>2581.4</v>
      </c>
    </row>
    <row r="9" spans="1:17">
      <c r="A9" s="215">
        <v>1965</v>
      </c>
      <c r="B9" s="129">
        <v>32587.599999999999</v>
      </c>
      <c r="C9" s="129">
        <v>261.60000000000002</v>
      </c>
      <c r="D9" s="129" t="s">
        <v>10</v>
      </c>
      <c r="E9" s="129">
        <v>99.6</v>
      </c>
      <c r="F9" s="129">
        <v>7.8</v>
      </c>
      <c r="G9" s="129">
        <v>385.1</v>
      </c>
      <c r="H9" s="129">
        <v>32603.7</v>
      </c>
      <c r="I9" s="136">
        <v>5293.8</v>
      </c>
      <c r="J9" s="129">
        <v>22972.2</v>
      </c>
      <c r="K9" s="129">
        <v>158.5</v>
      </c>
      <c r="L9" s="129" t="s">
        <v>10</v>
      </c>
      <c r="M9" s="129">
        <v>63.1</v>
      </c>
      <c r="N9" s="129">
        <v>4.8</v>
      </c>
      <c r="O9" s="129">
        <v>232.9</v>
      </c>
      <c r="P9" s="129">
        <v>22978.799999999999</v>
      </c>
      <c r="Q9" s="129">
        <v>2570.1</v>
      </c>
    </row>
    <row r="10" spans="1:17">
      <c r="A10" s="215">
        <v>1966</v>
      </c>
      <c r="B10" s="129">
        <v>32603.7</v>
      </c>
      <c r="C10" s="129">
        <v>278.2</v>
      </c>
      <c r="D10" s="129">
        <v>2.2999999999999998</v>
      </c>
      <c r="E10" s="129">
        <v>99.5</v>
      </c>
      <c r="F10" s="129">
        <v>8.3000000000000007</v>
      </c>
      <c r="G10" s="129">
        <v>403.7</v>
      </c>
      <c r="H10" s="129">
        <v>32619.1</v>
      </c>
      <c r="I10" s="136">
        <v>5270.1</v>
      </c>
      <c r="J10" s="129">
        <v>22978.799999999999</v>
      </c>
      <c r="K10" s="129">
        <v>167.8</v>
      </c>
      <c r="L10" s="129">
        <v>1</v>
      </c>
      <c r="M10" s="129">
        <v>63.2</v>
      </c>
      <c r="N10" s="129">
        <v>5</v>
      </c>
      <c r="O10" s="129">
        <v>243.2</v>
      </c>
      <c r="P10" s="129">
        <v>22985</v>
      </c>
      <c r="Q10" s="129">
        <v>2558.9</v>
      </c>
    </row>
    <row r="11" spans="1:17">
      <c r="A11" s="215">
        <v>1967</v>
      </c>
      <c r="B11" s="129">
        <v>32619.1</v>
      </c>
      <c r="C11" s="129">
        <v>280</v>
      </c>
      <c r="D11" s="129">
        <v>38</v>
      </c>
      <c r="E11" s="129">
        <v>99.3</v>
      </c>
      <c r="F11" s="129">
        <v>8.4</v>
      </c>
      <c r="G11" s="129">
        <v>440.8</v>
      </c>
      <c r="H11" s="129">
        <v>32634.2</v>
      </c>
      <c r="I11" s="136">
        <v>5246.6</v>
      </c>
      <c r="J11" s="129">
        <v>22985</v>
      </c>
      <c r="K11" s="129">
        <v>169.4</v>
      </c>
      <c r="L11" s="129">
        <v>6.9</v>
      </c>
      <c r="M11" s="129">
        <v>63.3</v>
      </c>
      <c r="N11" s="129">
        <v>5.0999999999999996</v>
      </c>
      <c r="O11" s="129">
        <v>250.6</v>
      </c>
      <c r="P11" s="129">
        <v>22991</v>
      </c>
      <c r="Q11" s="129">
        <v>2547.8000000000002</v>
      </c>
    </row>
    <row r="12" spans="1:17">
      <c r="A12" s="215">
        <v>1968</v>
      </c>
      <c r="B12" s="129">
        <v>32634.2</v>
      </c>
      <c r="C12" s="129">
        <v>276.3</v>
      </c>
      <c r="D12" s="129" t="s">
        <v>10</v>
      </c>
      <c r="E12" s="129">
        <v>99.1</v>
      </c>
      <c r="F12" s="129">
        <v>8.3000000000000007</v>
      </c>
      <c r="G12" s="129">
        <v>398.8</v>
      </c>
      <c r="H12" s="129">
        <v>32649.4</v>
      </c>
      <c r="I12" s="136">
        <v>5223.1000000000004</v>
      </c>
      <c r="J12" s="129">
        <v>22991</v>
      </c>
      <c r="K12" s="129">
        <v>164.7</v>
      </c>
      <c r="L12" s="129" t="s">
        <v>10</v>
      </c>
      <c r="M12" s="129">
        <v>63.3</v>
      </c>
      <c r="N12" s="129">
        <v>4.9000000000000004</v>
      </c>
      <c r="O12" s="129">
        <v>239.2</v>
      </c>
      <c r="P12" s="129">
        <v>22997.1</v>
      </c>
      <c r="Q12" s="129">
        <v>2536.6999999999998</v>
      </c>
    </row>
    <row r="13" spans="1:17">
      <c r="A13" s="215">
        <v>1969</v>
      </c>
      <c r="B13" s="129">
        <v>32649.4</v>
      </c>
      <c r="C13" s="129">
        <v>297.39999999999998</v>
      </c>
      <c r="D13" s="129">
        <v>0.2</v>
      </c>
      <c r="E13" s="129">
        <v>98.9</v>
      </c>
      <c r="F13" s="129">
        <v>8.9</v>
      </c>
      <c r="G13" s="129">
        <v>419.7</v>
      </c>
      <c r="H13" s="129">
        <v>32663.599999999999</v>
      </c>
      <c r="I13" s="136">
        <v>5199.8999999999996</v>
      </c>
      <c r="J13" s="129">
        <v>22997.1</v>
      </c>
      <c r="K13" s="129">
        <v>173.2</v>
      </c>
      <c r="L13" s="129">
        <v>0.9</v>
      </c>
      <c r="M13" s="129">
        <v>63.4</v>
      </c>
      <c r="N13" s="129">
        <v>5.2</v>
      </c>
      <c r="O13" s="129">
        <v>248.4</v>
      </c>
      <c r="P13" s="129">
        <v>23002.9</v>
      </c>
      <c r="Q13" s="129">
        <v>2525.8000000000002</v>
      </c>
    </row>
    <row r="14" spans="1:17">
      <c r="A14" s="215">
        <v>1970</v>
      </c>
      <c r="B14" s="129">
        <v>32663.599999999999</v>
      </c>
      <c r="C14" s="129">
        <v>285.3</v>
      </c>
      <c r="D14" s="129">
        <v>7.6</v>
      </c>
      <c r="E14" s="129">
        <v>98.6</v>
      </c>
      <c r="F14" s="129">
        <v>8.6</v>
      </c>
      <c r="G14" s="129">
        <v>414.6</v>
      </c>
      <c r="H14" s="129">
        <v>32678.2</v>
      </c>
      <c r="I14" s="136">
        <v>5176.8</v>
      </c>
      <c r="J14" s="129">
        <v>23002.9</v>
      </c>
      <c r="K14" s="129">
        <v>165.1</v>
      </c>
      <c r="L14" s="129">
        <v>10.6</v>
      </c>
      <c r="M14" s="129">
        <v>63.4</v>
      </c>
      <c r="N14" s="129">
        <v>5</v>
      </c>
      <c r="O14" s="129">
        <v>250</v>
      </c>
      <c r="P14" s="129">
        <v>23008.9</v>
      </c>
      <c r="Q14" s="129">
        <v>2514.8000000000002</v>
      </c>
    </row>
    <row r="15" spans="1:17">
      <c r="A15" s="215">
        <v>1971</v>
      </c>
      <c r="B15" s="129">
        <v>32678.2</v>
      </c>
      <c r="C15" s="129">
        <v>262.89999999999998</v>
      </c>
      <c r="D15" s="129">
        <v>108.4</v>
      </c>
      <c r="E15" s="129">
        <v>98.1</v>
      </c>
      <c r="F15" s="129">
        <v>7.9</v>
      </c>
      <c r="G15" s="129">
        <v>492.6</v>
      </c>
      <c r="H15" s="129">
        <v>32693.599999999999</v>
      </c>
      <c r="I15" s="136">
        <v>5153.5</v>
      </c>
      <c r="J15" s="129">
        <v>23008.9</v>
      </c>
      <c r="K15" s="129">
        <v>155.30000000000001</v>
      </c>
      <c r="L15" s="129">
        <v>2.6</v>
      </c>
      <c r="M15" s="129">
        <v>63.5</v>
      </c>
      <c r="N15" s="129">
        <v>4.7</v>
      </c>
      <c r="O15" s="129">
        <v>232.5</v>
      </c>
      <c r="P15" s="129">
        <v>23015.3</v>
      </c>
      <c r="Q15" s="129">
        <v>2503.8000000000002</v>
      </c>
    </row>
    <row r="16" spans="1:17">
      <c r="A16" s="215">
        <v>1972</v>
      </c>
      <c r="B16" s="129">
        <v>32693.599999999999</v>
      </c>
      <c r="C16" s="129">
        <v>275.3</v>
      </c>
      <c r="D16" s="129">
        <v>52.4</v>
      </c>
      <c r="E16" s="129">
        <v>98</v>
      </c>
      <c r="F16" s="129">
        <v>8.3000000000000007</v>
      </c>
      <c r="G16" s="129">
        <v>448.6</v>
      </c>
      <c r="H16" s="129">
        <v>32708.400000000001</v>
      </c>
      <c r="I16" s="136">
        <v>5130.5</v>
      </c>
      <c r="J16" s="129">
        <v>23015.3</v>
      </c>
      <c r="K16" s="129">
        <v>170.7</v>
      </c>
      <c r="L16" s="129">
        <v>7.9</v>
      </c>
      <c r="M16" s="129">
        <v>63.6</v>
      </c>
      <c r="N16" s="129">
        <v>5.0999999999999996</v>
      </c>
      <c r="O16" s="129">
        <v>253</v>
      </c>
      <c r="P16" s="129">
        <v>23021</v>
      </c>
      <c r="Q16" s="129">
        <v>2493</v>
      </c>
    </row>
    <row r="17" spans="1:17">
      <c r="A17" s="215">
        <v>1973</v>
      </c>
      <c r="B17" s="129">
        <v>32708.400000000001</v>
      </c>
      <c r="C17" s="129">
        <v>299.10000000000002</v>
      </c>
      <c r="D17" s="129">
        <v>0.5</v>
      </c>
      <c r="E17" s="129">
        <v>97.9</v>
      </c>
      <c r="F17" s="129">
        <v>9</v>
      </c>
      <c r="G17" s="129">
        <v>420.2</v>
      </c>
      <c r="H17" s="129">
        <v>32722</v>
      </c>
      <c r="I17" s="136">
        <v>5107.8999999999996</v>
      </c>
      <c r="J17" s="129">
        <v>23021</v>
      </c>
      <c r="K17" s="129">
        <v>181.8</v>
      </c>
      <c r="L17" s="129">
        <v>0.1</v>
      </c>
      <c r="M17" s="129">
        <v>63.7</v>
      </c>
      <c r="N17" s="129">
        <v>5.5</v>
      </c>
      <c r="O17" s="129">
        <v>256.2</v>
      </c>
      <c r="P17" s="129">
        <v>23026.2</v>
      </c>
      <c r="Q17" s="129">
        <v>2482.3000000000002</v>
      </c>
    </row>
    <row r="18" spans="1:17">
      <c r="A18" s="215">
        <v>1974</v>
      </c>
      <c r="B18" s="129">
        <v>32722</v>
      </c>
      <c r="C18" s="129">
        <v>330.6</v>
      </c>
      <c r="D18" s="129">
        <v>1.4</v>
      </c>
      <c r="E18" s="129">
        <v>97.7</v>
      </c>
      <c r="F18" s="129">
        <v>9.9</v>
      </c>
      <c r="G18" s="129">
        <v>451.9</v>
      </c>
      <c r="H18" s="129">
        <v>32734.400000000001</v>
      </c>
      <c r="I18" s="136">
        <v>5085.6000000000004</v>
      </c>
      <c r="J18" s="129">
        <v>23026.2</v>
      </c>
      <c r="K18" s="129">
        <v>185.7</v>
      </c>
      <c r="L18" s="129">
        <v>203</v>
      </c>
      <c r="M18" s="129">
        <v>63.1</v>
      </c>
      <c r="N18" s="129">
        <v>5.6</v>
      </c>
      <c r="O18" s="129">
        <v>462.3</v>
      </c>
      <c r="P18" s="129">
        <v>23031.1</v>
      </c>
      <c r="Q18" s="129">
        <v>2471.8000000000002</v>
      </c>
    </row>
    <row r="19" spans="1:17">
      <c r="A19" s="215">
        <v>1975</v>
      </c>
      <c r="B19" s="129">
        <v>32734.400000000001</v>
      </c>
      <c r="C19" s="129">
        <v>288</v>
      </c>
      <c r="D19" s="129">
        <v>3.8</v>
      </c>
      <c r="E19" s="129">
        <v>97.2</v>
      </c>
      <c r="F19" s="129">
        <v>8.6</v>
      </c>
      <c r="G19" s="129">
        <v>411.6</v>
      </c>
      <c r="H19" s="129">
        <v>32748.3</v>
      </c>
      <c r="I19" s="136">
        <v>5063.1000000000004</v>
      </c>
      <c r="J19" s="129">
        <v>23031.1</v>
      </c>
      <c r="K19" s="129">
        <v>138.80000000000001</v>
      </c>
      <c r="L19" s="129">
        <v>1.9</v>
      </c>
      <c r="M19" s="129">
        <v>63</v>
      </c>
      <c r="N19" s="129">
        <v>4.2</v>
      </c>
      <c r="O19" s="129">
        <v>214.7</v>
      </c>
      <c r="P19" s="129">
        <v>23037.9</v>
      </c>
      <c r="Q19" s="129">
        <v>2460.8000000000002</v>
      </c>
    </row>
    <row r="20" spans="1:17">
      <c r="A20" s="215">
        <v>1976</v>
      </c>
      <c r="B20" s="129">
        <v>32748.3</v>
      </c>
      <c r="C20" s="129">
        <v>295.3</v>
      </c>
      <c r="D20" s="129">
        <v>22.6</v>
      </c>
      <c r="E20" s="129">
        <v>97.1</v>
      </c>
      <c r="F20" s="129">
        <v>8.9</v>
      </c>
      <c r="G20" s="129">
        <v>437.3</v>
      </c>
      <c r="H20" s="129">
        <v>32761.8</v>
      </c>
      <c r="I20" s="136">
        <v>5040.7</v>
      </c>
      <c r="J20" s="129">
        <v>23037.9</v>
      </c>
      <c r="K20" s="129">
        <v>164.3</v>
      </c>
      <c r="L20" s="129">
        <v>118.5</v>
      </c>
      <c r="M20" s="129">
        <v>63</v>
      </c>
      <c r="N20" s="129">
        <v>4.9000000000000004</v>
      </c>
      <c r="O20" s="129">
        <v>356.5</v>
      </c>
      <c r="P20" s="129">
        <v>23043.7</v>
      </c>
      <c r="Q20" s="129">
        <v>2450.1</v>
      </c>
    </row>
    <row r="21" spans="1:17">
      <c r="A21" s="215">
        <v>1977</v>
      </c>
      <c r="B21" s="129">
        <v>32761.8</v>
      </c>
      <c r="C21" s="129">
        <v>316.5</v>
      </c>
      <c r="D21" s="129">
        <v>15</v>
      </c>
      <c r="E21" s="129">
        <v>97.1</v>
      </c>
      <c r="F21" s="129">
        <v>9.5</v>
      </c>
      <c r="G21" s="129">
        <v>450.6</v>
      </c>
      <c r="H21" s="129">
        <v>32774.300000000003</v>
      </c>
      <c r="I21" s="136">
        <v>5018.7</v>
      </c>
      <c r="J21" s="129">
        <v>23043.7</v>
      </c>
      <c r="K21" s="129">
        <v>189</v>
      </c>
      <c r="L21" s="129">
        <v>58.2</v>
      </c>
      <c r="M21" s="129">
        <v>63</v>
      </c>
      <c r="N21" s="129">
        <v>5.7</v>
      </c>
      <c r="O21" s="129">
        <v>320.60000000000002</v>
      </c>
      <c r="P21" s="129">
        <v>23048.400000000001</v>
      </c>
      <c r="Q21" s="129">
        <v>2439.8000000000002</v>
      </c>
    </row>
    <row r="22" spans="1:17">
      <c r="A22" s="215">
        <v>1978</v>
      </c>
      <c r="B22" s="129">
        <v>32774.300000000003</v>
      </c>
      <c r="C22" s="129">
        <v>349.4</v>
      </c>
      <c r="D22" s="129">
        <v>1.8</v>
      </c>
      <c r="E22" s="129">
        <v>96.9</v>
      </c>
      <c r="F22" s="129">
        <v>10.5</v>
      </c>
      <c r="G22" s="129">
        <v>469.7</v>
      </c>
      <c r="H22" s="129">
        <v>32785.4</v>
      </c>
      <c r="I22" s="136">
        <v>4997.1000000000004</v>
      </c>
      <c r="J22" s="129">
        <v>23048.400000000001</v>
      </c>
      <c r="K22" s="129">
        <v>197.6</v>
      </c>
      <c r="L22" s="129">
        <v>0.2</v>
      </c>
      <c r="M22" s="129">
        <v>63</v>
      </c>
      <c r="N22" s="129">
        <v>5.9</v>
      </c>
      <c r="O22" s="129">
        <v>271.10000000000002</v>
      </c>
      <c r="P22" s="129">
        <v>23052.7</v>
      </c>
      <c r="Q22" s="129">
        <v>2429.5</v>
      </c>
    </row>
    <row r="23" spans="1:17">
      <c r="A23" s="215">
        <v>1979</v>
      </c>
      <c r="B23" s="129">
        <v>32785.4</v>
      </c>
      <c r="C23" s="129">
        <v>368.8</v>
      </c>
      <c r="D23" s="129">
        <v>1.3</v>
      </c>
      <c r="E23" s="129">
        <v>96.5</v>
      </c>
      <c r="F23" s="129">
        <v>11.1</v>
      </c>
      <c r="G23" s="129">
        <v>488</v>
      </c>
      <c r="H23" s="129">
        <v>32795.699999999997</v>
      </c>
      <c r="I23" s="136">
        <v>4975.8</v>
      </c>
      <c r="J23" s="129">
        <v>23052.7</v>
      </c>
      <c r="K23" s="129">
        <v>207.4</v>
      </c>
      <c r="L23" s="129">
        <v>11.3</v>
      </c>
      <c r="M23" s="129">
        <v>63</v>
      </c>
      <c r="N23" s="129">
        <v>6.2</v>
      </c>
      <c r="O23" s="129">
        <v>291.7</v>
      </c>
      <c r="P23" s="129">
        <v>23056.5</v>
      </c>
      <c r="Q23" s="129">
        <v>2419.5</v>
      </c>
    </row>
    <row r="24" spans="1:17">
      <c r="A24" s="215">
        <v>1980</v>
      </c>
      <c r="B24" s="129">
        <v>32795.699999999997</v>
      </c>
      <c r="C24" s="129">
        <v>326.89999999999998</v>
      </c>
      <c r="D24" s="129">
        <v>2.6</v>
      </c>
      <c r="E24" s="129">
        <v>96.2</v>
      </c>
      <c r="F24" s="129">
        <v>9.8000000000000007</v>
      </c>
      <c r="G24" s="129">
        <v>447.3</v>
      </c>
      <c r="H24" s="129">
        <v>32807.5</v>
      </c>
      <c r="I24" s="136">
        <v>4954.2</v>
      </c>
      <c r="J24" s="129">
        <v>23056.5</v>
      </c>
      <c r="K24" s="129">
        <v>207.8</v>
      </c>
      <c r="L24" s="129">
        <v>166.6</v>
      </c>
      <c r="M24" s="129">
        <v>62.5</v>
      </c>
      <c r="N24" s="129">
        <v>6.2</v>
      </c>
      <c r="O24" s="129">
        <v>446.9</v>
      </c>
      <c r="P24" s="129">
        <v>23060.3</v>
      </c>
      <c r="Q24" s="129">
        <v>2409.4</v>
      </c>
    </row>
    <row r="25" spans="1:17">
      <c r="A25" s="215">
        <v>1981</v>
      </c>
      <c r="B25" s="129">
        <v>32807.5</v>
      </c>
      <c r="C25" s="129">
        <v>355.8</v>
      </c>
      <c r="D25" s="129">
        <v>1.1000000000000001</v>
      </c>
      <c r="E25" s="129">
        <v>96.1</v>
      </c>
      <c r="F25" s="129">
        <v>10.7</v>
      </c>
      <c r="G25" s="129">
        <v>474.3</v>
      </c>
      <c r="H25" s="129">
        <v>32818</v>
      </c>
      <c r="I25" s="136">
        <v>4933</v>
      </c>
      <c r="J25" s="129">
        <v>23060.3</v>
      </c>
      <c r="K25" s="129">
        <v>223.4</v>
      </c>
      <c r="L25" s="129">
        <v>20.6</v>
      </c>
      <c r="M25" s="129">
        <v>62.4</v>
      </c>
      <c r="N25" s="129">
        <v>6.7</v>
      </c>
      <c r="O25" s="129">
        <v>316.10000000000002</v>
      </c>
      <c r="P25" s="129">
        <v>23063.4</v>
      </c>
      <c r="Q25" s="129">
        <v>2399.6</v>
      </c>
    </row>
    <row r="26" spans="1:17">
      <c r="A26" s="215">
        <v>1982</v>
      </c>
      <c r="B26" s="129">
        <v>32818</v>
      </c>
      <c r="C26" s="129">
        <v>303</v>
      </c>
      <c r="D26" s="129">
        <v>3.8</v>
      </c>
      <c r="E26" s="129">
        <v>88.6</v>
      </c>
      <c r="F26" s="129">
        <v>9.1</v>
      </c>
      <c r="G26" s="129">
        <v>417.1</v>
      </c>
      <c r="H26" s="129">
        <v>32830.6</v>
      </c>
      <c r="I26" s="136">
        <v>4911.3</v>
      </c>
      <c r="J26" s="129">
        <v>23063.4</v>
      </c>
      <c r="K26" s="129">
        <v>193.1</v>
      </c>
      <c r="L26" s="129">
        <v>0.1</v>
      </c>
      <c r="M26" s="129">
        <v>57.9</v>
      </c>
      <c r="N26" s="129">
        <v>5.8</v>
      </c>
      <c r="O26" s="129">
        <v>261.2</v>
      </c>
      <c r="P26" s="129">
        <v>23067.7</v>
      </c>
      <c r="Q26" s="129">
        <v>2389.6</v>
      </c>
    </row>
    <row r="27" spans="1:17">
      <c r="A27" s="215">
        <v>1983</v>
      </c>
      <c r="B27" s="129">
        <v>32830.6</v>
      </c>
      <c r="C27" s="129">
        <v>379.2</v>
      </c>
      <c r="D27" s="129">
        <v>109</v>
      </c>
      <c r="E27" s="129">
        <v>81.7</v>
      </c>
      <c r="F27" s="129">
        <v>11.4</v>
      </c>
      <c r="G27" s="129">
        <v>590.6</v>
      </c>
      <c r="H27" s="129">
        <v>32839.9</v>
      </c>
      <c r="I27" s="136">
        <v>4890.6000000000004</v>
      </c>
      <c r="J27" s="129">
        <v>23067.7</v>
      </c>
      <c r="K27" s="129">
        <v>231.7</v>
      </c>
      <c r="L27" s="129">
        <v>37.6</v>
      </c>
      <c r="M27" s="129">
        <v>53.7</v>
      </c>
      <c r="N27" s="129">
        <v>7</v>
      </c>
      <c r="O27" s="129">
        <v>332.7</v>
      </c>
      <c r="P27" s="129">
        <v>23070.400000000001</v>
      </c>
      <c r="Q27" s="129">
        <v>2379.9</v>
      </c>
    </row>
    <row r="28" spans="1:17">
      <c r="A28" s="215">
        <v>1984</v>
      </c>
      <c r="B28" s="129">
        <v>32839.9</v>
      </c>
      <c r="C28" s="129">
        <v>383.2</v>
      </c>
      <c r="D28" s="129">
        <v>1.3</v>
      </c>
      <c r="E28" s="129">
        <v>74.8</v>
      </c>
      <c r="F28" s="129">
        <v>11.5</v>
      </c>
      <c r="G28" s="129">
        <v>479.9</v>
      </c>
      <c r="H28" s="129">
        <v>32849.1</v>
      </c>
      <c r="I28" s="136">
        <v>4869.8999999999996</v>
      </c>
      <c r="J28" s="129">
        <v>23070.400000000001</v>
      </c>
      <c r="K28" s="129">
        <v>274.3</v>
      </c>
      <c r="L28" s="129">
        <v>1.1000000000000001</v>
      </c>
      <c r="M28" s="129">
        <v>49.6</v>
      </c>
      <c r="N28" s="129">
        <v>8.1999999999999993</v>
      </c>
      <c r="O28" s="129">
        <v>334.2</v>
      </c>
      <c r="P28" s="129">
        <v>23071.3</v>
      </c>
      <c r="Q28" s="129">
        <v>2370.8000000000002</v>
      </c>
    </row>
    <row r="29" spans="1:17">
      <c r="A29" s="215">
        <v>1985</v>
      </c>
      <c r="B29" s="129">
        <v>32849.1</v>
      </c>
      <c r="C29" s="129">
        <v>372.1</v>
      </c>
      <c r="D29" s="129">
        <v>1</v>
      </c>
      <c r="E29" s="129">
        <v>68.400000000000006</v>
      </c>
      <c r="F29" s="129">
        <v>11.2</v>
      </c>
      <c r="G29" s="129">
        <v>462.2</v>
      </c>
      <c r="H29" s="129">
        <v>32858.5</v>
      </c>
      <c r="I29" s="136">
        <v>4849.3</v>
      </c>
      <c r="J29" s="129">
        <v>23071.3</v>
      </c>
      <c r="K29" s="129">
        <v>275.5</v>
      </c>
      <c r="L29" s="129">
        <v>0.1</v>
      </c>
      <c r="M29" s="129">
        <v>45.6</v>
      </c>
      <c r="N29" s="129">
        <v>8.3000000000000007</v>
      </c>
      <c r="O29" s="129">
        <v>330.2</v>
      </c>
      <c r="P29" s="129">
        <v>23072.1</v>
      </c>
      <c r="Q29" s="129">
        <v>2361.6999999999998</v>
      </c>
    </row>
    <row r="30" spans="1:17">
      <c r="A30" s="215">
        <v>1986</v>
      </c>
      <c r="B30" s="129">
        <v>32858.5</v>
      </c>
      <c r="C30" s="129">
        <v>401.9</v>
      </c>
      <c r="D30" s="129">
        <v>91.3</v>
      </c>
      <c r="E30" s="129">
        <v>62.4</v>
      </c>
      <c r="F30" s="129">
        <v>12.1</v>
      </c>
      <c r="G30" s="129">
        <v>575.79999999999995</v>
      </c>
      <c r="H30" s="129">
        <v>32866.699999999997</v>
      </c>
      <c r="I30" s="136">
        <v>4829.1000000000004</v>
      </c>
      <c r="J30" s="129">
        <v>23072.1</v>
      </c>
      <c r="K30" s="129">
        <v>294.5</v>
      </c>
      <c r="L30" s="129">
        <v>25.5</v>
      </c>
      <c r="M30" s="129">
        <v>41.7</v>
      </c>
      <c r="N30" s="129">
        <v>8.8000000000000007</v>
      </c>
      <c r="O30" s="129">
        <v>370.6</v>
      </c>
      <c r="P30" s="129">
        <v>23072.2</v>
      </c>
      <c r="Q30" s="129">
        <v>2352.8000000000002</v>
      </c>
    </row>
    <row r="31" spans="1:17">
      <c r="A31" s="215">
        <v>1987</v>
      </c>
      <c r="B31" s="129">
        <v>32866.699999999997</v>
      </c>
      <c r="C31" s="129">
        <v>417.2</v>
      </c>
      <c r="D31" s="129">
        <v>14.7</v>
      </c>
      <c r="E31" s="129">
        <v>56.8</v>
      </c>
      <c r="F31" s="129">
        <v>12.5</v>
      </c>
      <c r="G31" s="129">
        <v>508.6</v>
      </c>
      <c r="H31" s="129">
        <v>32874.199999999997</v>
      </c>
      <c r="I31" s="136">
        <v>4809.1000000000004</v>
      </c>
      <c r="J31" s="129">
        <v>23072.2</v>
      </c>
      <c r="K31" s="129">
        <v>289.7</v>
      </c>
      <c r="L31" s="129">
        <v>2.8</v>
      </c>
      <c r="M31" s="129">
        <v>38.1</v>
      </c>
      <c r="N31" s="129">
        <v>8.6999999999999993</v>
      </c>
      <c r="O31" s="129">
        <v>339.4</v>
      </c>
      <c r="P31" s="129">
        <v>23072.3</v>
      </c>
      <c r="Q31" s="129">
        <v>2343.9</v>
      </c>
    </row>
    <row r="32" spans="1:17">
      <c r="A32" s="215">
        <v>1988</v>
      </c>
      <c r="B32" s="129">
        <v>32874.199999999997</v>
      </c>
      <c r="C32" s="129">
        <v>416.6</v>
      </c>
      <c r="D32" s="129">
        <v>144</v>
      </c>
      <c r="E32" s="129">
        <v>51.3</v>
      </c>
      <c r="F32" s="129">
        <v>12.5</v>
      </c>
      <c r="G32" s="129">
        <v>631.79999999999995</v>
      </c>
      <c r="H32" s="129">
        <v>32881.5</v>
      </c>
      <c r="I32" s="136">
        <v>4789.2</v>
      </c>
      <c r="J32" s="129">
        <v>23072.3</v>
      </c>
      <c r="K32" s="129">
        <v>285.5</v>
      </c>
      <c r="L32" s="129">
        <v>18.100000000000001</v>
      </c>
      <c r="M32" s="129">
        <v>34.799999999999997</v>
      </c>
      <c r="N32" s="129">
        <v>8.6</v>
      </c>
      <c r="O32" s="129">
        <v>347.3</v>
      </c>
      <c r="P32" s="129">
        <v>23072.6</v>
      </c>
      <c r="Q32" s="129">
        <v>2335.1</v>
      </c>
    </row>
    <row r="33" spans="1:17">
      <c r="A33" s="215">
        <v>1989</v>
      </c>
      <c r="B33" s="129">
        <v>32881.5</v>
      </c>
      <c r="C33" s="129">
        <v>382.3</v>
      </c>
      <c r="D33" s="129">
        <v>1111.8</v>
      </c>
      <c r="E33" s="129">
        <v>44.9</v>
      </c>
      <c r="F33" s="129">
        <v>11.5</v>
      </c>
      <c r="G33" s="129">
        <v>1559.1</v>
      </c>
      <c r="H33" s="129">
        <v>32890.199999999997</v>
      </c>
      <c r="I33" s="136">
        <v>4769.1000000000004</v>
      </c>
      <c r="J33" s="129">
        <v>23072.6</v>
      </c>
      <c r="K33" s="129">
        <v>288.5</v>
      </c>
      <c r="L33" s="129">
        <v>2.5</v>
      </c>
      <c r="M33" s="129">
        <v>31.7</v>
      </c>
      <c r="N33" s="129">
        <v>8.6999999999999993</v>
      </c>
      <c r="O33" s="129">
        <v>331.5</v>
      </c>
      <c r="P33" s="129">
        <v>23072.799999999999</v>
      </c>
      <c r="Q33" s="129">
        <v>2326.3000000000002</v>
      </c>
    </row>
    <row r="34" spans="1:17">
      <c r="A34" s="215">
        <v>1990</v>
      </c>
      <c r="B34" s="129">
        <v>32909.300000000003</v>
      </c>
      <c r="C34" s="129">
        <v>310.2</v>
      </c>
      <c r="D34" s="129">
        <v>40.6</v>
      </c>
      <c r="E34" s="129">
        <v>40.700000000000003</v>
      </c>
      <c r="F34" s="129">
        <v>9.3000000000000007</v>
      </c>
      <c r="G34" s="129">
        <v>412.2</v>
      </c>
      <c r="H34" s="129">
        <v>32920.800000000003</v>
      </c>
      <c r="I34" s="136">
        <v>4748.3999999999996</v>
      </c>
      <c r="J34" s="129">
        <v>23068.1</v>
      </c>
      <c r="K34" s="129">
        <v>246.7</v>
      </c>
      <c r="L34" s="129">
        <v>1.6</v>
      </c>
      <c r="M34" s="129">
        <v>28.9</v>
      </c>
      <c r="N34" s="129">
        <v>7.4</v>
      </c>
      <c r="O34" s="129">
        <v>286.39999999999998</v>
      </c>
      <c r="P34" s="129">
        <v>23069.9</v>
      </c>
      <c r="Q34" s="129">
        <v>2317.1</v>
      </c>
    </row>
    <row r="35" spans="1:17">
      <c r="A35" s="215">
        <v>1991</v>
      </c>
      <c r="B35" s="129">
        <v>32920.800000000003</v>
      </c>
      <c r="C35" s="129">
        <v>297.10000000000002</v>
      </c>
      <c r="D35" s="129">
        <v>188.1</v>
      </c>
      <c r="E35" s="129">
        <v>37.1</v>
      </c>
      <c r="F35" s="129">
        <v>8.9</v>
      </c>
      <c r="G35" s="129">
        <v>543.1</v>
      </c>
      <c r="H35" s="129">
        <v>32932.6</v>
      </c>
      <c r="I35" s="136">
        <v>4727.6000000000004</v>
      </c>
      <c r="J35" s="129">
        <v>23069.9</v>
      </c>
      <c r="K35" s="129">
        <v>231.7</v>
      </c>
      <c r="L35" s="129">
        <v>2.5</v>
      </c>
      <c r="M35" s="129">
        <v>26.5</v>
      </c>
      <c r="N35" s="129">
        <v>7</v>
      </c>
      <c r="O35" s="129">
        <v>270</v>
      </c>
      <c r="P35" s="129">
        <v>23072.2</v>
      </c>
      <c r="Q35" s="129">
        <v>2307.9</v>
      </c>
    </row>
    <row r="36" spans="1:17">
      <c r="A36" s="215">
        <v>1992</v>
      </c>
      <c r="B36" s="129">
        <v>32932.6</v>
      </c>
      <c r="C36" s="129">
        <v>317.39999999999998</v>
      </c>
      <c r="D36" s="129">
        <v>12.8</v>
      </c>
      <c r="E36" s="129">
        <v>34.1</v>
      </c>
      <c r="F36" s="129">
        <v>9.5</v>
      </c>
      <c r="G36" s="129">
        <v>384.8</v>
      </c>
      <c r="H36" s="129">
        <v>32943.599999999999</v>
      </c>
      <c r="I36" s="136">
        <v>4707.1000000000004</v>
      </c>
      <c r="J36" s="129">
        <v>23072.2</v>
      </c>
      <c r="K36" s="129">
        <v>237.2</v>
      </c>
      <c r="L36" s="129">
        <v>5.2</v>
      </c>
      <c r="M36" s="129">
        <v>24.4</v>
      </c>
      <c r="N36" s="129">
        <v>7.1</v>
      </c>
      <c r="O36" s="129">
        <v>276</v>
      </c>
      <c r="P36" s="129">
        <v>23074.3</v>
      </c>
      <c r="Q36" s="129">
        <v>2298.6999999999998</v>
      </c>
    </row>
    <row r="37" spans="1:17">
      <c r="A37" s="215">
        <v>1993</v>
      </c>
      <c r="B37" s="129">
        <v>32943.599999999999</v>
      </c>
      <c r="C37" s="129">
        <v>350.7</v>
      </c>
      <c r="D37" s="129">
        <v>66.2</v>
      </c>
      <c r="E37" s="129">
        <v>31.1</v>
      </c>
      <c r="F37" s="129">
        <v>10.5</v>
      </c>
      <c r="G37" s="129">
        <v>468</v>
      </c>
      <c r="H37" s="129">
        <v>32953.1</v>
      </c>
      <c r="I37" s="136">
        <v>4687.1000000000004</v>
      </c>
      <c r="J37" s="129">
        <v>23074.3</v>
      </c>
      <c r="K37" s="129">
        <v>249</v>
      </c>
      <c r="L37" s="129">
        <v>1.1000000000000001</v>
      </c>
      <c r="M37" s="129">
        <v>22.3</v>
      </c>
      <c r="N37" s="129">
        <v>7.5</v>
      </c>
      <c r="O37" s="129">
        <v>281.39999999999998</v>
      </c>
      <c r="P37" s="129">
        <v>23075.8</v>
      </c>
      <c r="Q37" s="129">
        <v>2289.6999999999998</v>
      </c>
    </row>
    <row r="38" spans="1:17">
      <c r="A38" s="215">
        <v>1994</v>
      </c>
      <c r="B38" s="129">
        <v>32953.1</v>
      </c>
      <c r="C38" s="129">
        <v>394</v>
      </c>
      <c r="D38" s="129">
        <v>1.5</v>
      </c>
      <c r="E38" s="129">
        <v>28.3</v>
      </c>
      <c r="F38" s="129">
        <v>11.8</v>
      </c>
      <c r="G38" s="129">
        <v>443.3</v>
      </c>
      <c r="H38" s="129">
        <v>32960.699999999997</v>
      </c>
      <c r="I38" s="136">
        <v>4667.6000000000004</v>
      </c>
      <c r="J38" s="129">
        <v>23075.8</v>
      </c>
      <c r="K38" s="129">
        <v>255</v>
      </c>
      <c r="L38" s="129">
        <v>0.2</v>
      </c>
      <c r="M38" s="129">
        <v>20.5</v>
      </c>
      <c r="N38" s="129">
        <v>7.6</v>
      </c>
      <c r="O38" s="129">
        <v>284.5</v>
      </c>
      <c r="P38" s="129">
        <v>23077</v>
      </c>
      <c r="Q38" s="129">
        <v>2280.8000000000002</v>
      </c>
    </row>
    <row r="39" spans="1:17">
      <c r="A39" s="215">
        <v>1995</v>
      </c>
      <c r="B39" s="129">
        <v>32960.699999999997</v>
      </c>
      <c r="C39" s="129">
        <v>428.1</v>
      </c>
      <c r="D39" s="129">
        <v>215.3</v>
      </c>
      <c r="E39" s="129">
        <v>25.4</v>
      </c>
      <c r="F39" s="129">
        <v>12.8</v>
      </c>
      <c r="G39" s="129">
        <v>687.9</v>
      </c>
      <c r="H39" s="129">
        <v>32967</v>
      </c>
      <c r="I39" s="136">
        <v>4648.6000000000004</v>
      </c>
      <c r="J39" s="129">
        <v>23077</v>
      </c>
      <c r="K39" s="129">
        <v>254.4</v>
      </c>
      <c r="L39" s="129">
        <v>30.6</v>
      </c>
      <c r="M39" s="129">
        <v>18.7</v>
      </c>
      <c r="N39" s="129">
        <v>7.6</v>
      </c>
      <c r="O39" s="129">
        <v>312.5</v>
      </c>
      <c r="P39" s="129">
        <v>23078.3</v>
      </c>
      <c r="Q39" s="129">
        <v>2271.9</v>
      </c>
    </row>
    <row r="40" spans="1:17">
      <c r="A40" s="215">
        <v>1996</v>
      </c>
      <c r="B40" s="129">
        <v>32967</v>
      </c>
      <c r="C40" s="129">
        <v>396.1</v>
      </c>
      <c r="D40" s="129">
        <v>217</v>
      </c>
      <c r="E40" s="129">
        <v>22.6</v>
      </c>
      <c r="F40" s="129">
        <v>11.9</v>
      </c>
      <c r="G40" s="129">
        <v>655</v>
      </c>
      <c r="H40" s="129">
        <v>32974.400000000001</v>
      </c>
      <c r="I40" s="136">
        <v>4629.3</v>
      </c>
      <c r="J40" s="129">
        <v>23078.3</v>
      </c>
      <c r="K40" s="129">
        <v>249.7</v>
      </c>
      <c r="L40" s="129">
        <v>90.3</v>
      </c>
      <c r="M40" s="129">
        <v>17</v>
      </c>
      <c r="N40" s="129">
        <v>7.5</v>
      </c>
      <c r="O40" s="129">
        <v>365.9</v>
      </c>
      <c r="P40" s="129">
        <v>23079.599999999999</v>
      </c>
      <c r="Q40" s="129">
        <v>2263.1</v>
      </c>
    </row>
    <row r="41" spans="1:17">
      <c r="A41" s="215">
        <v>1997</v>
      </c>
      <c r="B41" s="129">
        <v>32974.400000000001</v>
      </c>
      <c r="C41" s="129">
        <v>440.7</v>
      </c>
      <c r="D41" s="129">
        <v>78</v>
      </c>
      <c r="E41" s="129">
        <v>20.3</v>
      </c>
      <c r="F41" s="129">
        <v>13.2</v>
      </c>
      <c r="G41" s="129">
        <v>557.70000000000005</v>
      </c>
      <c r="H41" s="129">
        <v>32979.9</v>
      </c>
      <c r="I41" s="136">
        <v>4610.5</v>
      </c>
      <c r="J41" s="129">
        <v>23079.599999999999</v>
      </c>
      <c r="K41" s="129">
        <v>257.7</v>
      </c>
      <c r="L41" s="129">
        <v>8.1</v>
      </c>
      <c r="M41" s="129">
        <v>15.5</v>
      </c>
      <c r="N41" s="129">
        <v>7.7</v>
      </c>
      <c r="O41" s="129">
        <v>290</v>
      </c>
      <c r="P41" s="129">
        <v>23080.7</v>
      </c>
      <c r="Q41" s="129">
        <v>2254.3000000000002</v>
      </c>
    </row>
    <row r="42" spans="1:17">
      <c r="A42" s="215">
        <v>1998</v>
      </c>
      <c r="B42" s="129">
        <v>32979.9</v>
      </c>
      <c r="C42" s="129">
        <v>444.7</v>
      </c>
      <c r="D42" s="129">
        <v>8.8000000000000007</v>
      </c>
      <c r="E42" s="129">
        <v>18.100000000000001</v>
      </c>
      <c r="F42" s="129">
        <v>13.3</v>
      </c>
      <c r="G42" s="129">
        <v>490.3</v>
      </c>
      <c r="H42" s="129">
        <v>32985.1</v>
      </c>
      <c r="I42" s="136">
        <v>4591.8999999999996</v>
      </c>
      <c r="J42" s="129">
        <v>23080.7</v>
      </c>
      <c r="K42" s="129">
        <v>234</v>
      </c>
      <c r="L42" s="129">
        <v>29.1</v>
      </c>
      <c r="M42" s="129">
        <v>14.2</v>
      </c>
      <c r="N42" s="129">
        <v>7</v>
      </c>
      <c r="O42" s="129">
        <v>286.2</v>
      </c>
      <c r="P42" s="129">
        <v>23082.6</v>
      </c>
      <c r="Q42" s="129">
        <v>2245.4</v>
      </c>
    </row>
    <row r="43" spans="1:17">
      <c r="A43" s="215">
        <v>1999</v>
      </c>
      <c r="B43" s="129">
        <v>32985.1</v>
      </c>
      <c r="C43" s="129">
        <v>471.6</v>
      </c>
      <c r="D43" s="129">
        <v>46.8</v>
      </c>
      <c r="E43" s="129">
        <v>16</v>
      </c>
      <c r="F43" s="129">
        <v>14.1</v>
      </c>
      <c r="G43" s="129">
        <v>552.70000000000005</v>
      </c>
      <c r="H43" s="129">
        <v>32989.199999999997</v>
      </c>
      <c r="I43" s="136">
        <v>4573.7</v>
      </c>
      <c r="J43" s="129">
        <v>23082.6</v>
      </c>
      <c r="K43" s="129">
        <v>241.1</v>
      </c>
      <c r="L43" s="129">
        <v>36.5</v>
      </c>
      <c r="M43" s="129">
        <v>12.9</v>
      </c>
      <c r="N43" s="129">
        <v>7.2</v>
      </c>
      <c r="O43" s="129">
        <v>299.39999999999998</v>
      </c>
      <c r="P43" s="129">
        <v>23084.1</v>
      </c>
      <c r="Q43" s="129">
        <v>2236.6</v>
      </c>
    </row>
    <row r="44" spans="1:17">
      <c r="A44" s="215">
        <v>2000</v>
      </c>
      <c r="B44" s="129">
        <v>32989.199999999997</v>
      </c>
      <c r="C44" s="129">
        <v>471.7</v>
      </c>
      <c r="D44" s="129">
        <v>0.3</v>
      </c>
      <c r="E44" s="129">
        <v>14.1</v>
      </c>
      <c r="F44" s="129">
        <v>14.2</v>
      </c>
      <c r="G44" s="129">
        <v>504.3</v>
      </c>
      <c r="H44" s="129">
        <v>32993.199999999997</v>
      </c>
      <c r="I44" s="136">
        <v>4555.5</v>
      </c>
      <c r="J44" s="129">
        <v>23084.1</v>
      </c>
      <c r="K44" s="129">
        <v>241.3</v>
      </c>
      <c r="L44" s="129" t="s">
        <v>10</v>
      </c>
      <c r="M44" s="129">
        <v>11.8</v>
      </c>
      <c r="N44" s="129">
        <v>7.2</v>
      </c>
      <c r="O44" s="129">
        <v>261.89999999999998</v>
      </c>
      <c r="P44" s="129">
        <v>23085.7</v>
      </c>
      <c r="Q44" s="129">
        <v>2227.8000000000002</v>
      </c>
    </row>
    <row r="45" spans="1:17">
      <c r="A45" s="215">
        <v>2001</v>
      </c>
      <c r="B45" s="129">
        <v>32996.1</v>
      </c>
      <c r="C45" s="129">
        <v>417.5</v>
      </c>
      <c r="D45" s="129">
        <v>0.7</v>
      </c>
      <c r="E45" s="129">
        <v>12.5</v>
      </c>
      <c r="F45" s="129">
        <v>12.5</v>
      </c>
      <c r="G45" s="129">
        <v>449.3</v>
      </c>
      <c r="H45" s="129">
        <v>33002.199999999997</v>
      </c>
      <c r="I45" s="136">
        <v>4536.7</v>
      </c>
      <c r="J45" s="129">
        <v>23086</v>
      </c>
      <c r="K45" s="129">
        <v>234</v>
      </c>
      <c r="L45" s="129">
        <v>0.8</v>
      </c>
      <c r="M45" s="129">
        <v>10.8</v>
      </c>
      <c r="N45" s="129">
        <v>7</v>
      </c>
      <c r="O45" s="129">
        <v>254.4</v>
      </c>
      <c r="P45" s="129">
        <v>23087.8</v>
      </c>
      <c r="Q45" s="129">
        <v>2219.3000000000002</v>
      </c>
    </row>
    <row r="46" spans="1:17">
      <c r="A46" s="215">
        <v>2002</v>
      </c>
      <c r="B46" s="129">
        <v>33002.199999999997</v>
      </c>
      <c r="C46" s="129">
        <v>429.7</v>
      </c>
      <c r="D46" s="129">
        <v>214.6</v>
      </c>
      <c r="E46" s="129">
        <v>11.1</v>
      </c>
      <c r="F46" s="129">
        <v>12.9</v>
      </c>
      <c r="G46" s="129">
        <v>673.8</v>
      </c>
      <c r="H46" s="129">
        <v>33007.699999999997</v>
      </c>
      <c r="I46" s="136">
        <v>4518.3999999999996</v>
      </c>
      <c r="J46" s="129">
        <v>23087.8</v>
      </c>
      <c r="K46" s="129">
        <v>256.39999999999998</v>
      </c>
      <c r="L46" s="129">
        <v>9.3000000000000007</v>
      </c>
      <c r="M46" s="129">
        <v>10.1</v>
      </c>
      <c r="N46" s="129">
        <v>7.7</v>
      </c>
      <c r="O46" s="129">
        <v>284.39999999999998</v>
      </c>
      <c r="P46" s="129">
        <v>23088.6</v>
      </c>
      <c r="Q46" s="129">
        <v>2210.8000000000002</v>
      </c>
    </row>
    <row r="47" spans="1:17">
      <c r="A47" s="215">
        <v>2003</v>
      </c>
      <c r="B47" s="129">
        <v>33007.699999999997</v>
      </c>
      <c r="C47" s="129" t="s">
        <v>10</v>
      </c>
      <c r="D47" s="129">
        <v>9.8000000000000007</v>
      </c>
      <c r="E47" s="129">
        <v>10</v>
      </c>
      <c r="F47" s="129" t="s">
        <v>10</v>
      </c>
      <c r="G47" s="129">
        <v>42.3</v>
      </c>
      <c r="H47" s="129">
        <v>33030.300000000003</v>
      </c>
      <c r="I47" s="136">
        <v>4495.8</v>
      </c>
      <c r="J47" s="129">
        <v>23088.6</v>
      </c>
      <c r="K47" s="129">
        <v>235.3</v>
      </c>
      <c r="L47" s="129">
        <v>25.2</v>
      </c>
      <c r="M47" s="129">
        <v>9.5</v>
      </c>
      <c r="N47" s="129">
        <v>7.1</v>
      </c>
      <c r="O47" s="129">
        <v>278.7</v>
      </c>
      <c r="P47" s="129">
        <v>23090.2</v>
      </c>
      <c r="Q47" s="129">
        <v>2202.1</v>
      </c>
    </row>
    <row r="49" spans="1:9">
      <c r="A49" s="474" t="s">
        <v>278</v>
      </c>
      <c r="B49" s="474"/>
      <c r="C49" s="474"/>
      <c r="D49" s="474"/>
      <c r="E49" s="474"/>
      <c r="F49" s="474"/>
      <c r="G49" s="474"/>
      <c r="H49" s="474"/>
      <c r="I49" s="474"/>
    </row>
    <row r="50" spans="1:9">
      <c r="A50" s="200" t="s">
        <v>39</v>
      </c>
      <c r="B50" s="200"/>
    </row>
    <row r="51" spans="1:9">
      <c r="A51" s="200" t="s">
        <v>10</v>
      </c>
      <c r="B51" s="200" t="s">
        <v>43</v>
      </c>
    </row>
    <row r="52" spans="1:9">
      <c r="A52" s="200" t="s">
        <v>40</v>
      </c>
      <c r="B52" s="200"/>
    </row>
    <row r="53" spans="1:9">
      <c r="A53" s="200">
        <v>1</v>
      </c>
      <c r="B53" s="200" t="s">
        <v>273</v>
      </c>
    </row>
    <row r="54" spans="1:9">
      <c r="A54" s="200">
        <v>2</v>
      </c>
      <c r="B54" s="200" t="s">
        <v>279</v>
      </c>
    </row>
  </sheetData>
  <mergeCells count="4">
    <mergeCell ref="A49:I49"/>
    <mergeCell ref="A1:Q1"/>
    <mergeCell ref="B2:I2"/>
    <mergeCell ref="J2:Q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7"/>
  <sheetViews>
    <sheetView view="pageBreakPreview" zoomScaleNormal="100" zoomScaleSheetLayoutView="100" workbookViewId="0">
      <selection activeCell="L10" sqref="L10"/>
    </sheetView>
  </sheetViews>
  <sheetFormatPr defaultRowHeight="15"/>
  <cols>
    <col min="1" max="1" width="22.7109375" customWidth="1"/>
    <col min="2" max="2" width="7.28515625" customWidth="1"/>
    <col min="3" max="3" width="6" customWidth="1"/>
    <col min="5" max="5" width="14.85546875" customWidth="1"/>
    <col min="6" max="6" width="11.28515625" customWidth="1"/>
  </cols>
  <sheetData>
    <row r="1" spans="1:23" s="221" customFormat="1" ht="32.25" customHeight="1">
      <c r="A1" s="479" t="s">
        <v>379</v>
      </c>
      <c r="B1" s="479"/>
      <c r="C1" s="479"/>
      <c r="D1" s="479"/>
      <c r="E1" s="479"/>
      <c r="F1" s="479"/>
      <c r="G1" s="139"/>
      <c r="H1" s="95"/>
      <c r="I1" s="471"/>
      <c r="J1" s="471"/>
      <c r="K1" s="471"/>
      <c r="L1" s="471"/>
      <c r="M1" s="471"/>
      <c r="N1" s="471"/>
      <c r="O1" s="471"/>
      <c r="P1" s="471"/>
      <c r="Q1" s="471"/>
      <c r="R1" s="471"/>
    </row>
    <row r="2" spans="1:23" ht="48.75" customHeight="1">
      <c r="A2" s="471" t="s">
        <v>290</v>
      </c>
      <c r="B2" s="471"/>
      <c r="C2" s="476"/>
      <c r="D2" s="477" t="s">
        <v>521</v>
      </c>
      <c r="E2" s="478"/>
      <c r="F2" s="478"/>
      <c r="G2" s="139"/>
      <c r="H2" s="9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139"/>
      <c r="T2" s="139"/>
      <c r="U2" s="139"/>
      <c r="V2" s="139"/>
      <c r="W2" s="139"/>
    </row>
    <row r="3" spans="1:23" ht="39" customHeight="1">
      <c r="A3" s="245"/>
      <c r="B3" s="241" t="s">
        <v>256</v>
      </c>
      <c r="C3" s="273" t="s">
        <v>257</v>
      </c>
      <c r="D3" s="245"/>
      <c r="E3" s="241" t="s">
        <v>256</v>
      </c>
      <c r="F3" s="241" t="s">
        <v>257</v>
      </c>
      <c r="H3" s="95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91"/>
      <c r="T3" s="139"/>
      <c r="U3" s="139"/>
      <c r="V3" s="139"/>
      <c r="W3" s="139"/>
    </row>
    <row r="4" spans="1:23">
      <c r="A4" s="241">
        <v>1997</v>
      </c>
      <c r="B4" s="220">
        <v>23</v>
      </c>
      <c r="C4" s="274">
        <v>38.200000000000003</v>
      </c>
      <c r="D4" s="241">
        <v>2005</v>
      </c>
      <c r="E4" s="220" t="s">
        <v>10</v>
      </c>
      <c r="F4" s="220" t="s">
        <v>10</v>
      </c>
      <c r="G4" s="189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139"/>
      <c r="T4" s="139"/>
      <c r="U4" s="139"/>
      <c r="V4" s="139"/>
      <c r="W4" s="139"/>
    </row>
    <row r="5" spans="1:23">
      <c r="A5" s="241">
        <v>1998</v>
      </c>
      <c r="B5" s="220">
        <v>23</v>
      </c>
      <c r="C5" s="274">
        <v>38.200000000000003</v>
      </c>
      <c r="D5" s="241">
        <v>2006</v>
      </c>
      <c r="E5" s="220">
        <v>32.9</v>
      </c>
      <c r="F5" s="220">
        <v>35.1</v>
      </c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139"/>
      <c r="T5" s="139"/>
      <c r="U5" s="139"/>
      <c r="V5" s="139"/>
      <c r="W5" s="139"/>
    </row>
    <row r="6" spans="1:23">
      <c r="A6" s="241">
        <v>1999</v>
      </c>
      <c r="B6" s="220">
        <v>23</v>
      </c>
      <c r="C6" s="274">
        <v>38.200000000000003</v>
      </c>
      <c r="D6" s="241">
        <v>2007</v>
      </c>
      <c r="E6" s="220">
        <v>13.1</v>
      </c>
      <c r="F6" s="220">
        <v>18.600000000000001</v>
      </c>
      <c r="H6" s="95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191"/>
      <c r="T6" s="139"/>
      <c r="U6" s="139"/>
      <c r="V6" s="139"/>
      <c r="W6" s="139"/>
    </row>
    <row r="7" spans="1:23">
      <c r="A7" s="241">
        <v>2000</v>
      </c>
      <c r="B7" s="220">
        <v>22.9</v>
      </c>
      <c r="C7" s="274">
        <v>38.200000000000003</v>
      </c>
      <c r="D7" s="241">
        <v>2008</v>
      </c>
      <c r="E7" s="220">
        <v>-0.3</v>
      </c>
      <c r="F7" s="220">
        <v>17.100000000000001</v>
      </c>
      <c r="H7" s="95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191"/>
      <c r="T7" s="139"/>
      <c r="U7" s="139"/>
      <c r="V7" s="139"/>
      <c r="W7" s="139"/>
    </row>
    <row r="8" spans="1:23">
      <c r="A8" s="241">
        <v>2001</v>
      </c>
      <c r="B8" s="220">
        <v>22.8</v>
      </c>
      <c r="C8" s="274">
        <v>38</v>
      </c>
      <c r="D8" s="241">
        <v>2009</v>
      </c>
      <c r="E8" s="220">
        <v>-0.7</v>
      </c>
      <c r="F8" s="220">
        <v>16.8</v>
      </c>
      <c r="H8" s="95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56"/>
      <c r="T8" s="139"/>
      <c r="U8" s="139"/>
      <c r="V8" s="139"/>
      <c r="W8" s="139"/>
    </row>
    <row r="9" spans="1:23">
      <c r="A9" s="241">
        <v>2002</v>
      </c>
      <c r="B9" s="220">
        <v>22.6</v>
      </c>
      <c r="C9" s="274">
        <v>37.1</v>
      </c>
      <c r="D9" s="241">
        <v>2010</v>
      </c>
      <c r="E9" s="220">
        <v>-1.6</v>
      </c>
      <c r="F9" s="220">
        <v>10.3</v>
      </c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139"/>
      <c r="T9" s="139"/>
      <c r="U9" s="139"/>
      <c r="V9" s="139"/>
      <c r="W9" s="139"/>
    </row>
    <row r="10" spans="1:23">
      <c r="A10" s="241">
        <v>2003</v>
      </c>
      <c r="B10" s="220">
        <v>35.9</v>
      </c>
      <c r="C10" s="274">
        <v>36.9</v>
      </c>
      <c r="D10" s="241">
        <v>2011</v>
      </c>
      <c r="E10" s="220">
        <v>-2.4</v>
      </c>
      <c r="F10" s="220">
        <v>9.6</v>
      </c>
      <c r="H10" s="95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191"/>
      <c r="T10" s="139"/>
      <c r="U10" s="139"/>
      <c r="V10" s="139"/>
      <c r="W10" s="139"/>
    </row>
    <row r="11" spans="1:23">
      <c r="A11" s="241">
        <v>2004</v>
      </c>
      <c r="B11" s="220">
        <v>35.4</v>
      </c>
      <c r="C11" s="274">
        <v>37.1</v>
      </c>
      <c r="D11" s="241">
        <v>2012</v>
      </c>
      <c r="E11" s="220">
        <v>-3.5</v>
      </c>
      <c r="F11" s="220">
        <v>8.9</v>
      </c>
      <c r="H11" s="95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191"/>
      <c r="T11" s="139"/>
      <c r="U11" s="139"/>
      <c r="V11" s="139"/>
      <c r="W11" s="139"/>
    </row>
    <row r="12" spans="1:23">
      <c r="A12" s="241">
        <v>2005</v>
      </c>
      <c r="B12" s="220">
        <v>35.1</v>
      </c>
      <c r="C12" s="274">
        <v>36.9</v>
      </c>
      <c r="D12" s="241">
        <v>2013</v>
      </c>
      <c r="E12" s="220">
        <v>-3.5</v>
      </c>
      <c r="F12" s="220">
        <v>8.9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</row>
    <row r="13" spans="1:23">
      <c r="A13" s="241">
        <v>2006</v>
      </c>
      <c r="B13" s="220">
        <v>24.1</v>
      </c>
      <c r="C13" s="274">
        <v>35.5</v>
      </c>
      <c r="D13" s="241">
        <v>2014</v>
      </c>
      <c r="E13" s="244">
        <v>-3.5</v>
      </c>
      <c r="F13" s="244">
        <v>8.9</v>
      </c>
      <c r="H13" s="95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139"/>
      <c r="T13" s="139"/>
      <c r="U13" s="139"/>
      <c r="V13" s="139"/>
      <c r="W13" s="139"/>
    </row>
    <row r="14" spans="1:23">
      <c r="A14" s="139"/>
      <c r="B14" s="139"/>
      <c r="C14" s="201"/>
      <c r="D14" s="139"/>
      <c r="H14" s="9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139"/>
      <c r="T14" s="139"/>
      <c r="U14" s="139"/>
      <c r="V14" s="139"/>
      <c r="W14" s="139"/>
    </row>
    <row r="15" spans="1:23" s="221" customFormat="1" ht="14.25" customHeight="1">
      <c r="A15" s="275" t="s">
        <v>289</v>
      </c>
      <c r="B15" s="276"/>
      <c r="C15" s="277"/>
      <c r="D15" s="278" t="s">
        <v>519</v>
      </c>
      <c r="E15" s="318"/>
      <c r="F15" s="318"/>
      <c r="G15" s="220"/>
      <c r="H15" s="95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191"/>
      <c r="T15" s="139"/>
      <c r="U15" s="139"/>
      <c r="V15" s="139"/>
      <c r="W15" s="139"/>
    </row>
    <row r="16" spans="1:23" s="221" customFormat="1">
      <c r="A16" s="316" t="s">
        <v>520</v>
      </c>
      <c r="B16" s="230"/>
      <c r="C16" s="230"/>
      <c r="D16" s="139"/>
      <c r="E16" s="139"/>
      <c r="F16" s="139"/>
      <c r="G16" s="139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139"/>
      <c r="T16" s="139"/>
      <c r="U16" s="139"/>
      <c r="V16" s="139"/>
      <c r="W16" s="139"/>
    </row>
    <row r="17" spans="1:23">
      <c r="A17" s="139" t="s">
        <v>522</v>
      </c>
      <c r="B17" s="139"/>
      <c r="C17" s="139"/>
      <c r="D17" s="139"/>
      <c r="E17" s="246"/>
      <c r="F17" s="246"/>
      <c r="G17" s="246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139"/>
      <c r="T17" s="139"/>
      <c r="U17" s="139"/>
      <c r="V17" s="139"/>
      <c r="W17" s="139"/>
    </row>
    <row r="18" spans="1:23">
      <c r="B18" s="246"/>
      <c r="C18" s="246"/>
      <c r="D18" s="139"/>
      <c r="E18" s="246"/>
      <c r="F18" s="230"/>
      <c r="G18" s="230"/>
      <c r="H18" s="95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191"/>
      <c r="T18" s="139"/>
      <c r="U18" s="139"/>
      <c r="V18" s="139"/>
      <c r="W18" s="139"/>
    </row>
    <row r="19" spans="1:23">
      <c r="A19" s="139"/>
      <c r="B19" s="139"/>
      <c r="C19" s="139"/>
      <c r="D19" s="139"/>
      <c r="E19" s="139"/>
      <c r="F19" s="139"/>
      <c r="G19" s="139"/>
      <c r="H19" s="95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191"/>
      <c r="T19" s="139"/>
      <c r="U19" s="139"/>
      <c r="V19" s="139"/>
      <c r="W19" s="139"/>
    </row>
    <row r="20" spans="1:23">
      <c r="A20" s="471"/>
      <c r="B20" s="471"/>
      <c r="C20" s="471"/>
      <c r="D20" s="139"/>
      <c r="E20" s="224"/>
      <c r="F20" s="246"/>
      <c r="G20" s="246"/>
      <c r="H20" s="95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56"/>
      <c r="T20" s="139"/>
      <c r="U20" s="139"/>
      <c r="V20" s="139"/>
      <c r="W20" s="139"/>
    </row>
    <row r="21" spans="1:23">
      <c r="A21" s="471"/>
      <c r="B21" s="471"/>
      <c r="C21" s="471"/>
      <c r="D21" s="139"/>
      <c r="E21" s="139"/>
      <c r="F21" s="139"/>
      <c r="G21" s="139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139"/>
      <c r="T21" s="139"/>
      <c r="U21" s="139"/>
      <c r="V21" s="139"/>
      <c r="W21" s="139"/>
    </row>
    <row r="22" spans="1:23">
      <c r="A22" s="139"/>
      <c r="B22" s="242"/>
      <c r="C22" s="242"/>
      <c r="D22" s="139"/>
      <c r="E22" s="139"/>
      <c r="F22" s="139"/>
      <c r="G22" s="139"/>
      <c r="H22" s="95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191"/>
      <c r="T22" s="139"/>
      <c r="U22" s="139"/>
      <c r="V22" s="139"/>
      <c r="W22" s="139"/>
    </row>
    <row r="23" spans="1:23">
      <c r="A23" s="245"/>
      <c r="B23" s="230"/>
      <c r="C23" s="230"/>
      <c r="D23" s="139"/>
      <c r="E23" s="139"/>
      <c r="F23" s="139"/>
      <c r="G23" s="139"/>
      <c r="H23" s="95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191"/>
      <c r="T23" s="139"/>
      <c r="U23" s="139"/>
      <c r="V23" s="139"/>
      <c r="W23" s="139"/>
    </row>
    <row r="24" spans="1:23">
      <c r="A24" s="245"/>
      <c r="B24" s="230"/>
      <c r="C24" s="230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</row>
    <row r="25" spans="1:23">
      <c r="A25" s="245"/>
      <c r="B25" s="230"/>
      <c r="C25" s="230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</row>
    <row r="26" spans="1:23">
      <c r="A26" s="245"/>
      <c r="B26" s="230"/>
      <c r="C26" s="230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</row>
    <row r="27" spans="1:23">
      <c r="A27" s="245"/>
      <c r="B27" s="230"/>
      <c r="C27" s="230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</row>
    <row r="28" spans="1:23">
      <c r="A28" s="245"/>
      <c r="B28" s="230"/>
      <c r="C28" s="230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</row>
    <row r="29" spans="1:23">
      <c r="A29" s="245"/>
      <c r="B29" s="230"/>
      <c r="C29" s="230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</row>
    <row r="30" spans="1:23">
      <c r="A30" s="245"/>
      <c r="B30" s="230"/>
      <c r="C30" s="230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</row>
    <row r="31" spans="1:23">
      <c r="A31" s="245"/>
      <c r="B31" s="230"/>
      <c r="C31" s="230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</row>
    <row r="32" spans="1:23">
      <c r="A32" s="245"/>
      <c r="B32" s="230"/>
      <c r="C32" s="230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</row>
    <row r="33" spans="1:18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</row>
    <row r="34" spans="1:18">
      <c r="A34" s="191"/>
      <c r="B34" s="191"/>
      <c r="C34" s="191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</row>
    <row r="35" spans="1:18">
      <c r="A35" s="471"/>
      <c r="B35" s="471"/>
      <c r="C35" s="471"/>
      <c r="D35" s="471"/>
      <c r="E35" s="471"/>
      <c r="F35" s="471"/>
      <c r="G35" s="471"/>
      <c r="H35" s="471"/>
      <c r="I35" s="471"/>
      <c r="J35" s="139"/>
      <c r="K35" s="139"/>
      <c r="L35" s="139"/>
      <c r="M35" s="139"/>
      <c r="N35" s="139"/>
      <c r="O35" s="139"/>
      <c r="P35" s="139"/>
      <c r="Q35" s="139"/>
      <c r="R35" s="139"/>
    </row>
    <row r="36" spans="1:18">
      <c r="A36" s="471"/>
      <c r="B36" s="471"/>
      <c r="C36" s="471"/>
      <c r="D36" s="471"/>
      <c r="E36" s="471"/>
      <c r="F36" s="471"/>
      <c r="G36" s="471"/>
      <c r="H36" s="471"/>
      <c r="I36" s="471"/>
      <c r="J36" s="139"/>
      <c r="K36" s="139"/>
      <c r="L36" s="139"/>
      <c r="M36" s="139"/>
      <c r="N36" s="139"/>
      <c r="O36" s="139"/>
      <c r="P36" s="139"/>
      <c r="Q36" s="139"/>
      <c r="R36" s="139"/>
    </row>
    <row r="37" spans="1:18">
      <c r="A37" s="139"/>
      <c r="B37" s="242"/>
      <c r="C37" s="242"/>
      <c r="D37" s="139"/>
      <c r="E37" s="242"/>
      <c r="F37" s="242"/>
      <c r="G37" s="139"/>
      <c r="H37" s="242"/>
      <c r="I37" s="242"/>
      <c r="J37" s="139"/>
      <c r="K37" s="139"/>
      <c r="L37" s="139"/>
      <c r="M37" s="139"/>
      <c r="N37" s="139"/>
      <c r="O37" s="139"/>
      <c r="P37" s="139"/>
      <c r="Q37" s="139"/>
      <c r="R37" s="139"/>
    </row>
    <row r="38" spans="1:18">
      <c r="A38" s="245"/>
      <c r="B38" s="230"/>
      <c r="C38" s="230"/>
      <c r="D38" s="245"/>
      <c r="E38" s="230"/>
      <c r="F38" s="230"/>
      <c r="G38" s="245"/>
      <c r="H38" s="230"/>
      <c r="I38" s="230"/>
      <c r="J38" s="139"/>
      <c r="K38" s="139"/>
      <c r="L38" s="139"/>
      <c r="M38" s="139"/>
      <c r="N38" s="139"/>
      <c r="O38" s="139"/>
      <c r="P38" s="139"/>
      <c r="Q38" s="139"/>
      <c r="R38" s="139"/>
    </row>
    <row r="39" spans="1:18">
      <c r="A39" s="245"/>
      <c r="B39" s="230"/>
      <c r="C39" s="230"/>
      <c r="D39" s="245"/>
      <c r="E39" s="230"/>
      <c r="F39" s="230"/>
      <c r="G39" s="245"/>
      <c r="H39" s="230"/>
      <c r="I39" s="230"/>
      <c r="J39" s="139"/>
      <c r="K39" s="139"/>
      <c r="L39" s="139"/>
    </row>
    <row r="40" spans="1:18">
      <c r="A40" s="245"/>
      <c r="B40" s="230"/>
      <c r="C40" s="230"/>
      <c r="D40" s="245"/>
      <c r="E40" s="230"/>
      <c r="F40" s="230"/>
      <c r="G40" s="245"/>
      <c r="H40" s="230"/>
      <c r="I40" s="230"/>
      <c r="J40" s="139"/>
      <c r="K40" s="139"/>
      <c r="L40" s="139"/>
    </row>
    <row r="41" spans="1:18">
      <c r="A41" s="245"/>
      <c r="B41" s="230"/>
      <c r="C41" s="230"/>
      <c r="D41" s="245"/>
      <c r="E41" s="230"/>
      <c r="F41" s="230"/>
      <c r="G41" s="245"/>
      <c r="H41" s="230"/>
      <c r="I41" s="230"/>
      <c r="J41" s="139"/>
      <c r="K41" s="139"/>
      <c r="L41" s="139"/>
    </row>
    <row r="42" spans="1:18">
      <c r="A42" s="245"/>
      <c r="B42" s="230"/>
      <c r="C42" s="230"/>
      <c r="D42" s="245"/>
      <c r="E42" s="230"/>
      <c r="F42" s="230"/>
      <c r="G42" s="245"/>
      <c r="H42" s="230"/>
      <c r="I42" s="230"/>
      <c r="J42" s="139"/>
      <c r="K42" s="139"/>
      <c r="L42" s="139"/>
    </row>
    <row r="43" spans="1:18">
      <c r="A43" s="245"/>
      <c r="B43" s="230"/>
      <c r="C43" s="230"/>
      <c r="D43" s="245"/>
      <c r="E43" s="230"/>
      <c r="F43" s="230"/>
      <c r="G43" s="245"/>
      <c r="H43" s="230"/>
      <c r="I43" s="230"/>
      <c r="J43" s="139"/>
      <c r="K43" s="139"/>
      <c r="L43" s="139"/>
    </row>
    <row r="44" spans="1:18">
      <c r="A44" s="245"/>
      <c r="B44" s="230"/>
      <c r="C44" s="230"/>
      <c r="D44" s="245"/>
      <c r="E44" s="230"/>
      <c r="F44" s="230"/>
      <c r="G44" s="245"/>
      <c r="H44" s="230"/>
      <c r="I44" s="230"/>
      <c r="J44" s="139"/>
      <c r="K44" s="139"/>
      <c r="L44" s="139"/>
    </row>
    <row r="45" spans="1:18">
      <c r="A45" s="245"/>
      <c r="B45" s="230"/>
      <c r="C45" s="230"/>
      <c r="D45" s="245"/>
      <c r="E45" s="230"/>
      <c r="F45" s="230"/>
      <c r="G45" s="245"/>
      <c r="H45" s="230"/>
      <c r="I45" s="230"/>
      <c r="J45" s="139"/>
      <c r="K45" s="139"/>
      <c r="L45" s="139"/>
    </row>
    <row r="46" spans="1:18">
      <c r="A46" s="245"/>
      <c r="B46" s="230"/>
      <c r="C46" s="230"/>
      <c r="D46" s="245"/>
      <c r="E46" s="230"/>
      <c r="F46" s="230"/>
      <c r="G46" s="245"/>
      <c r="H46" s="230"/>
      <c r="I46" s="230"/>
      <c r="J46" s="139"/>
      <c r="K46" s="139"/>
      <c r="L46" s="139"/>
    </row>
    <row r="47" spans="1:18">
      <c r="A47" s="245"/>
      <c r="B47" s="230"/>
      <c r="C47" s="230"/>
      <c r="D47" s="245"/>
      <c r="E47" s="230"/>
      <c r="F47" s="230"/>
      <c r="G47" s="245"/>
      <c r="H47" s="230"/>
      <c r="I47" s="230"/>
      <c r="J47" s="139"/>
      <c r="K47" s="139"/>
      <c r="L47" s="139"/>
    </row>
    <row r="48" spans="1:18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</row>
    <row r="49" spans="1:12">
      <c r="A49" s="191"/>
      <c r="B49" s="191"/>
      <c r="C49" s="191"/>
      <c r="D49" s="191"/>
      <c r="E49" s="191"/>
      <c r="F49" s="191"/>
      <c r="G49" s="191"/>
      <c r="H49" s="191"/>
      <c r="I49" s="191"/>
      <c r="J49" s="139"/>
      <c r="K49" s="139"/>
      <c r="L49" s="139"/>
    </row>
    <row r="50" spans="1:12">
      <c r="A50" s="471"/>
      <c r="B50" s="471"/>
      <c r="C50" s="471"/>
      <c r="D50" s="139"/>
      <c r="E50" s="139"/>
      <c r="F50" s="139"/>
      <c r="G50" s="139"/>
      <c r="H50" s="139"/>
      <c r="I50" s="139"/>
      <c r="J50" s="139"/>
      <c r="K50" s="139"/>
      <c r="L50" s="139"/>
    </row>
    <row r="51" spans="1:12">
      <c r="A51" s="471"/>
      <c r="B51" s="471"/>
      <c r="C51" s="471"/>
      <c r="D51" s="139"/>
      <c r="E51" s="139"/>
      <c r="F51" s="139"/>
      <c r="G51" s="139"/>
      <c r="H51" s="139"/>
      <c r="I51" s="139"/>
      <c r="J51" s="139"/>
      <c r="K51" s="139"/>
      <c r="L51" s="139"/>
    </row>
    <row r="52" spans="1:12">
      <c r="A52" s="139"/>
      <c r="B52" s="242"/>
      <c r="C52" s="242"/>
      <c r="D52" s="139"/>
      <c r="E52" s="139"/>
      <c r="F52" s="139"/>
      <c r="G52" s="139"/>
      <c r="H52" s="139"/>
      <c r="I52" s="139"/>
      <c r="J52" s="139"/>
      <c r="K52" s="139"/>
      <c r="L52" s="139"/>
    </row>
    <row r="53" spans="1:12">
      <c r="A53" s="245"/>
      <c r="B53" s="230"/>
      <c r="C53" s="230"/>
      <c r="D53" s="139"/>
      <c r="E53" s="139"/>
      <c r="F53" s="139"/>
      <c r="G53" s="139"/>
      <c r="H53" s="139"/>
      <c r="I53" s="139"/>
      <c r="J53" s="139"/>
      <c r="K53" s="139"/>
      <c r="L53" s="139"/>
    </row>
    <row r="54" spans="1:12">
      <c r="A54" s="245"/>
      <c r="B54" s="230"/>
      <c r="C54" s="230"/>
      <c r="D54" s="139"/>
      <c r="E54" s="139"/>
      <c r="F54" s="139"/>
      <c r="G54" s="139"/>
      <c r="H54" s="139"/>
      <c r="I54" s="139"/>
      <c r="J54" s="139"/>
      <c r="K54" s="139"/>
      <c r="L54" s="139"/>
    </row>
    <row r="55" spans="1:12">
      <c r="A55" s="245"/>
      <c r="B55" s="230"/>
      <c r="C55" s="230"/>
      <c r="D55" s="139"/>
      <c r="E55" s="139"/>
      <c r="F55" s="139"/>
      <c r="G55" s="139"/>
      <c r="H55" s="139"/>
      <c r="I55" s="139"/>
      <c r="J55" s="139"/>
      <c r="K55" s="139"/>
      <c r="L55" s="139"/>
    </row>
    <row r="56" spans="1:12">
      <c r="A56" s="245"/>
      <c r="B56" s="230"/>
      <c r="C56" s="230"/>
      <c r="D56" s="139"/>
      <c r="E56" s="139"/>
      <c r="F56" s="139"/>
      <c r="G56" s="139"/>
      <c r="H56" s="139"/>
      <c r="I56" s="139"/>
      <c r="J56" s="139"/>
      <c r="K56" s="139"/>
      <c r="L56" s="139"/>
    </row>
    <row r="57" spans="1:12">
      <c r="A57" s="245"/>
      <c r="B57" s="230"/>
      <c r="C57" s="230"/>
      <c r="D57" s="139"/>
      <c r="E57" s="139"/>
      <c r="F57" s="139"/>
      <c r="G57" s="139"/>
      <c r="H57" s="139"/>
      <c r="I57" s="139"/>
      <c r="J57" s="139"/>
      <c r="K57" s="139"/>
      <c r="L57" s="139"/>
    </row>
    <row r="58" spans="1:12">
      <c r="A58" s="245"/>
      <c r="B58" s="230"/>
      <c r="C58" s="230"/>
      <c r="D58" s="139"/>
      <c r="E58" s="139"/>
      <c r="F58" s="139"/>
      <c r="G58" s="139"/>
      <c r="H58" s="139"/>
      <c r="I58" s="139"/>
      <c r="J58" s="139"/>
      <c r="K58" s="139"/>
      <c r="L58" s="139"/>
    </row>
    <row r="59" spans="1:12">
      <c r="A59" s="245"/>
      <c r="B59" s="230"/>
      <c r="C59" s="230"/>
      <c r="D59" s="139"/>
      <c r="E59" s="139"/>
      <c r="F59" s="139"/>
      <c r="G59" s="139"/>
      <c r="H59" s="139"/>
      <c r="I59" s="139"/>
      <c r="J59" s="139"/>
      <c r="K59" s="139"/>
      <c r="L59" s="139"/>
    </row>
    <row r="60" spans="1:12">
      <c r="A60" s="245"/>
      <c r="B60" s="230"/>
      <c r="C60" s="230"/>
      <c r="D60" s="139"/>
      <c r="E60" s="139"/>
      <c r="F60" s="139"/>
      <c r="G60" s="139"/>
      <c r="H60" s="139"/>
      <c r="I60" s="139"/>
      <c r="J60" s="139"/>
      <c r="K60" s="139"/>
      <c r="L60" s="139"/>
    </row>
    <row r="61" spans="1:12">
      <c r="A61" s="245"/>
      <c r="B61" s="230"/>
      <c r="C61" s="230"/>
      <c r="D61" s="139"/>
      <c r="E61" s="139"/>
      <c r="F61" s="139"/>
      <c r="G61" s="139"/>
      <c r="H61" s="139"/>
      <c r="I61" s="139"/>
      <c r="J61" s="139"/>
      <c r="K61" s="139"/>
      <c r="L61" s="139"/>
    </row>
    <row r="62" spans="1:12">
      <c r="A62" s="245"/>
      <c r="B62" s="230"/>
      <c r="C62" s="230"/>
      <c r="D62" s="139"/>
      <c r="E62" s="139"/>
      <c r="F62" s="139"/>
      <c r="G62" s="139"/>
      <c r="H62" s="139"/>
      <c r="I62" s="139"/>
      <c r="J62" s="139"/>
      <c r="K62" s="139"/>
      <c r="L62" s="139"/>
    </row>
    <row r="63" spans="1:12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</row>
    <row r="64" spans="1:12" ht="15" customHeight="1">
      <c r="A64" s="191"/>
      <c r="B64" s="191"/>
      <c r="C64" s="191"/>
      <c r="D64" s="139"/>
      <c r="E64" s="139"/>
      <c r="F64" s="139"/>
      <c r="G64" s="139"/>
      <c r="H64" s="139"/>
      <c r="I64" s="139"/>
      <c r="J64" s="139"/>
      <c r="K64" s="139"/>
      <c r="L64" s="139"/>
    </row>
    <row r="65" spans="1:12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</row>
    <row r="66" spans="1:12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</row>
    <row r="67" spans="1:12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</row>
    <row r="68" spans="1:12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</row>
    <row r="69" spans="1:12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</row>
    <row r="70" spans="1:12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</row>
    <row r="71" spans="1:12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</row>
    <row r="72" spans="1:1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</row>
    <row r="73" spans="1:12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</row>
    <row r="74" spans="1:12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</row>
    <row r="75" spans="1:12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</row>
    <row r="76" spans="1:12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</row>
    <row r="77" spans="1:12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</row>
  </sheetData>
  <mergeCells count="10">
    <mergeCell ref="I1:R1"/>
    <mergeCell ref="I13:R13"/>
    <mergeCell ref="A2:C2"/>
    <mergeCell ref="D2:F2"/>
    <mergeCell ref="A1:F1"/>
    <mergeCell ref="G35:I36"/>
    <mergeCell ref="A20:C21"/>
    <mergeCell ref="A35:C36"/>
    <mergeCell ref="A50:C51"/>
    <mergeCell ref="D35:F36"/>
  </mergeCells>
  <printOptions gridLines="1"/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D80"/>
  <sheetViews>
    <sheetView view="pageBreakPreview" topLeftCell="A43" zoomScaleNormal="100" zoomScaleSheetLayoutView="100" workbookViewId="0">
      <selection activeCell="C24" sqref="C24"/>
    </sheetView>
  </sheetViews>
  <sheetFormatPr defaultRowHeight="15"/>
  <cols>
    <col min="1" max="1" width="15.7109375" customWidth="1"/>
  </cols>
  <sheetData>
    <row r="1" spans="1:4" ht="45" customHeight="1">
      <c r="A1" s="471" t="s">
        <v>380</v>
      </c>
      <c r="B1" s="471"/>
      <c r="C1" s="471"/>
      <c r="D1" s="471"/>
    </row>
    <row r="2" spans="1:4" ht="15" customHeight="1">
      <c r="A2" s="246"/>
      <c r="B2" s="457" t="s">
        <v>357</v>
      </c>
      <c r="C2" s="457"/>
      <c r="D2" s="457"/>
    </row>
    <row r="3" spans="1:4" ht="45">
      <c r="A3" s="246"/>
      <c r="B3" s="242" t="s">
        <v>89</v>
      </c>
      <c r="C3" s="242" t="s">
        <v>358</v>
      </c>
      <c r="D3" s="242" t="s">
        <v>359</v>
      </c>
    </row>
    <row r="4" spans="1:4">
      <c r="A4" s="246"/>
      <c r="B4" s="246"/>
      <c r="C4" s="246"/>
      <c r="D4" s="246"/>
    </row>
    <row r="5" spans="1:4">
      <c r="A5" s="241">
        <v>1946</v>
      </c>
      <c r="B5" s="254">
        <v>221.7</v>
      </c>
      <c r="C5" s="254"/>
      <c r="D5" s="254"/>
    </row>
    <row r="6" spans="1:4">
      <c r="A6" s="241">
        <v>1947</v>
      </c>
      <c r="B6" s="254">
        <v>218.7</v>
      </c>
      <c r="C6" s="254"/>
      <c r="D6" s="254"/>
    </row>
    <row r="7" spans="1:4">
      <c r="A7" s="241">
        <v>1948</v>
      </c>
      <c r="B7" s="254">
        <v>206.7</v>
      </c>
      <c r="C7" s="254"/>
      <c r="D7" s="254"/>
    </row>
    <row r="8" spans="1:4">
      <c r="A8" s="241">
        <v>1949</v>
      </c>
      <c r="B8" s="254">
        <v>201.8</v>
      </c>
      <c r="C8" s="254"/>
      <c r="D8" s="254"/>
    </row>
    <row r="9" spans="1:4">
      <c r="A9" s="241">
        <v>1950</v>
      </c>
      <c r="B9" s="254">
        <v>193.5</v>
      </c>
      <c r="C9" s="254"/>
      <c r="D9" s="254"/>
    </row>
    <row r="10" spans="1:4">
      <c r="A10" s="241">
        <v>1951</v>
      </c>
      <c r="B10" s="254">
        <v>213.1</v>
      </c>
      <c r="C10" s="254"/>
      <c r="D10" s="254"/>
    </row>
    <row r="11" spans="1:4">
      <c r="A11" s="241">
        <v>1952</v>
      </c>
      <c r="B11" s="254">
        <v>220.5</v>
      </c>
      <c r="C11" s="254"/>
      <c r="D11" s="254"/>
    </row>
    <row r="12" spans="1:4">
      <c r="A12" s="241">
        <v>1953</v>
      </c>
      <c r="B12" s="254">
        <v>231</v>
      </c>
      <c r="C12" s="254"/>
      <c r="D12" s="254"/>
    </row>
    <row r="13" spans="1:4">
      <c r="A13" s="241">
        <v>1954</v>
      </c>
      <c r="B13" s="254">
        <v>194.3</v>
      </c>
      <c r="C13" s="254"/>
      <c r="D13" s="254"/>
    </row>
    <row r="14" spans="1:4">
      <c r="A14" s="241">
        <v>1955</v>
      </c>
      <c r="B14" s="254">
        <v>201.6</v>
      </c>
      <c r="C14" s="254"/>
      <c r="D14" s="254"/>
    </row>
    <row r="15" spans="1:4">
      <c r="A15" s="241">
        <v>1956</v>
      </c>
      <c r="B15" s="254">
        <v>224</v>
      </c>
      <c r="C15" s="254"/>
      <c r="D15" s="254"/>
    </row>
    <row r="16" spans="1:4">
      <c r="A16" s="241">
        <v>1957</v>
      </c>
      <c r="B16" s="254">
        <v>207.8</v>
      </c>
      <c r="C16" s="254"/>
      <c r="D16" s="254"/>
    </row>
    <row r="17" spans="1:4">
      <c r="A17" s="241">
        <v>1958</v>
      </c>
      <c r="B17" s="254">
        <v>175.1</v>
      </c>
      <c r="C17" s="254"/>
      <c r="D17" s="254"/>
    </row>
    <row r="18" spans="1:4">
      <c r="A18" s="241">
        <v>1959</v>
      </c>
      <c r="B18" s="254">
        <v>203.8</v>
      </c>
      <c r="C18" s="254"/>
      <c r="D18" s="254"/>
    </row>
    <row r="19" spans="1:4">
      <c r="A19" s="241">
        <v>1960</v>
      </c>
      <c r="B19" s="254">
        <v>195.3</v>
      </c>
      <c r="C19" s="254"/>
      <c r="D19" s="254"/>
    </row>
    <row r="20" spans="1:4">
      <c r="A20" s="241">
        <v>1961</v>
      </c>
      <c r="B20" s="254">
        <v>189.2</v>
      </c>
      <c r="C20" s="254"/>
      <c r="D20" s="254"/>
    </row>
    <row r="21" spans="1:4">
      <c r="A21" s="241">
        <v>1962</v>
      </c>
      <c r="B21" s="254">
        <v>230.5</v>
      </c>
      <c r="C21" s="254"/>
      <c r="D21" s="254"/>
    </row>
    <row r="22" spans="1:4">
      <c r="A22" s="241">
        <v>1963</v>
      </c>
      <c r="B22" s="254">
        <v>254.9</v>
      </c>
      <c r="C22" s="254"/>
      <c r="D22" s="254"/>
    </row>
    <row r="23" spans="1:4">
      <c r="A23" s="241">
        <v>1964</v>
      </c>
      <c r="B23" s="254">
        <v>278.3</v>
      </c>
      <c r="C23" s="254"/>
      <c r="D23" s="254"/>
    </row>
    <row r="24" spans="1:4">
      <c r="A24" s="241">
        <v>1965</v>
      </c>
      <c r="B24" s="254">
        <v>280.60000000000002</v>
      </c>
      <c r="C24" s="254"/>
      <c r="D24" s="254"/>
    </row>
    <row r="25" spans="1:4">
      <c r="A25" s="241">
        <v>1966</v>
      </c>
      <c r="B25" s="254">
        <v>262.7</v>
      </c>
      <c r="C25" s="254"/>
      <c r="D25" s="254"/>
    </row>
    <row r="26" spans="1:4">
      <c r="A26" s="241">
        <v>1967</v>
      </c>
      <c r="B26" s="254">
        <v>300.8</v>
      </c>
      <c r="C26" s="254"/>
      <c r="D26" s="254"/>
    </row>
    <row r="27" spans="1:4">
      <c r="A27" s="241">
        <v>1968</v>
      </c>
      <c r="B27" s="254">
        <v>301.7</v>
      </c>
      <c r="C27" s="254"/>
      <c r="D27" s="254"/>
    </row>
    <row r="28" spans="1:4">
      <c r="A28" s="241">
        <v>1969</v>
      </c>
      <c r="B28" s="254">
        <v>338.6</v>
      </c>
      <c r="C28" s="254"/>
      <c r="D28" s="254"/>
    </row>
    <row r="29" spans="1:4">
      <c r="A29" s="241">
        <v>1970</v>
      </c>
      <c r="B29" s="254">
        <v>325.5</v>
      </c>
      <c r="C29" s="254"/>
      <c r="D29" s="254"/>
    </row>
    <row r="30" spans="1:4">
      <c r="A30" s="241">
        <v>1971</v>
      </c>
      <c r="B30" s="254">
        <v>355.7</v>
      </c>
      <c r="C30" s="254"/>
      <c r="D30" s="254"/>
    </row>
    <row r="31" spans="1:4">
      <c r="A31" s="241">
        <v>1972</v>
      </c>
      <c r="B31" s="254">
        <v>422.2</v>
      </c>
      <c r="C31" s="254"/>
      <c r="D31" s="254"/>
    </row>
    <row r="32" spans="1:4">
      <c r="A32" s="241">
        <v>1973</v>
      </c>
      <c r="B32" s="254">
        <v>447.2</v>
      </c>
      <c r="C32" s="254"/>
      <c r="D32" s="254"/>
    </row>
    <row r="33" spans="1:4">
      <c r="A33" s="241">
        <v>1974</v>
      </c>
      <c r="B33" s="254">
        <v>434.5</v>
      </c>
      <c r="C33" s="254"/>
      <c r="D33" s="254"/>
    </row>
    <row r="34" spans="1:4">
      <c r="A34" s="241">
        <v>1975</v>
      </c>
      <c r="B34" s="254">
        <v>379.4</v>
      </c>
      <c r="C34" s="254"/>
      <c r="D34" s="254"/>
    </row>
    <row r="35" spans="1:4">
      <c r="A35" s="241">
        <v>1976</v>
      </c>
      <c r="B35" s="254">
        <v>464.9</v>
      </c>
      <c r="C35" s="254"/>
      <c r="D35" s="254"/>
    </row>
    <row r="36" spans="1:4">
      <c r="A36" s="241">
        <v>1977</v>
      </c>
      <c r="B36" s="254">
        <v>531</v>
      </c>
      <c r="C36" s="254"/>
      <c r="D36" s="254"/>
    </row>
    <row r="37" spans="1:4">
      <c r="A37" s="241">
        <v>1978</v>
      </c>
      <c r="B37" s="254">
        <v>631</v>
      </c>
      <c r="C37" s="254"/>
      <c r="D37" s="254"/>
    </row>
    <row r="38" spans="1:4">
      <c r="A38" s="241">
        <v>1979</v>
      </c>
      <c r="B38" s="254">
        <v>649.1</v>
      </c>
      <c r="C38" s="254"/>
      <c r="D38" s="254"/>
    </row>
    <row r="39" spans="1:4">
      <c r="A39" s="241">
        <v>1980</v>
      </c>
      <c r="B39" s="254">
        <v>668.6</v>
      </c>
      <c r="C39" s="254"/>
      <c r="D39" s="254"/>
    </row>
    <row r="40" spans="1:4">
      <c r="A40" s="241">
        <v>1981</v>
      </c>
      <c r="B40" s="254">
        <v>600.5</v>
      </c>
      <c r="C40" s="254"/>
      <c r="D40" s="254"/>
    </row>
    <row r="41" spans="1:4">
      <c r="A41" s="241">
        <v>1982</v>
      </c>
      <c r="B41" s="254">
        <v>543</v>
      </c>
      <c r="C41" s="254"/>
      <c r="D41" s="254"/>
    </row>
    <row r="42" spans="1:4">
      <c r="A42" s="241">
        <v>1983</v>
      </c>
      <c r="B42" s="254">
        <v>722</v>
      </c>
      <c r="C42" s="254"/>
      <c r="D42" s="254"/>
    </row>
    <row r="43" spans="1:4">
      <c r="A43" s="241">
        <v>1984</v>
      </c>
      <c r="B43" s="254">
        <v>736.7</v>
      </c>
      <c r="C43" s="254"/>
      <c r="D43" s="254"/>
    </row>
    <row r="44" spans="1:4">
      <c r="A44" s="241">
        <v>1985</v>
      </c>
      <c r="B44" s="254">
        <v>893.1</v>
      </c>
      <c r="C44" s="254">
        <v>857.4</v>
      </c>
      <c r="D44" s="254">
        <v>35.700000000000003</v>
      </c>
    </row>
    <row r="45" spans="1:4">
      <c r="A45" s="241">
        <v>1986</v>
      </c>
      <c r="B45" s="254">
        <v>934.1</v>
      </c>
      <c r="C45" s="254">
        <v>887.3</v>
      </c>
      <c r="D45" s="254">
        <v>46.7</v>
      </c>
    </row>
    <row r="46" spans="1:4">
      <c r="A46" s="241">
        <v>1987</v>
      </c>
      <c r="B46" s="254">
        <v>994.6</v>
      </c>
      <c r="C46" s="254">
        <v>944.8</v>
      </c>
      <c r="D46" s="254">
        <v>49.7</v>
      </c>
    </row>
    <row r="47" spans="1:4">
      <c r="A47" s="241">
        <v>1988</v>
      </c>
      <c r="B47" s="254">
        <v>924</v>
      </c>
      <c r="C47" s="254">
        <v>879.1</v>
      </c>
      <c r="D47" s="254">
        <v>44.9</v>
      </c>
    </row>
    <row r="48" spans="1:4">
      <c r="A48" s="241">
        <v>1989</v>
      </c>
      <c r="B48" s="254">
        <v>897.5</v>
      </c>
      <c r="C48" s="254">
        <v>852.6</v>
      </c>
      <c r="D48" s="254">
        <v>44.9</v>
      </c>
    </row>
    <row r="49" spans="1:4">
      <c r="A49" s="241">
        <v>1990</v>
      </c>
      <c r="B49" s="254">
        <v>803.1</v>
      </c>
      <c r="C49" s="254">
        <v>762.8</v>
      </c>
      <c r="D49" s="254">
        <v>40.299999999999997</v>
      </c>
    </row>
    <row r="50" spans="1:4">
      <c r="A50" s="241">
        <v>1991</v>
      </c>
      <c r="B50" s="254">
        <v>752.2</v>
      </c>
      <c r="C50" s="254">
        <v>714.4</v>
      </c>
      <c r="D50" s="254">
        <v>37.799999999999997</v>
      </c>
    </row>
    <row r="51" spans="1:4">
      <c r="A51" s="241">
        <v>1992</v>
      </c>
      <c r="B51" s="254">
        <v>871.6</v>
      </c>
      <c r="C51" s="254">
        <v>825.4</v>
      </c>
      <c r="D51" s="254">
        <v>46.2</v>
      </c>
    </row>
    <row r="52" spans="1:4">
      <c r="A52" s="241">
        <v>1993</v>
      </c>
      <c r="B52" s="254">
        <v>1049.5999999999999</v>
      </c>
      <c r="C52" s="254">
        <v>987.8</v>
      </c>
      <c r="D52" s="254">
        <v>61.8</v>
      </c>
    </row>
    <row r="53" spans="1:4">
      <c r="A53" s="241">
        <v>1994</v>
      </c>
      <c r="B53" s="254">
        <v>1182.4000000000001</v>
      </c>
      <c r="C53" s="254">
        <v>1129</v>
      </c>
      <c r="D53" s="254">
        <v>53.5</v>
      </c>
    </row>
    <row r="54" spans="1:4">
      <c r="A54" s="241">
        <v>1995</v>
      </c>
      <c r="B54" s="254">
        <v>1195.0999999999999</v>
      </c>
      <c r="C54" s="254">
        <v>1148.9000000000001</v>
      </c>
      <c r="D54" s="254">
        <v>46.2</v>
      </c>
    </row>
    <row r="55" spans="1:4">
      <c r="A55" s="241">
        <v>1996</v>
      </c>
      <c r="B55" s="254">
        <v>1279.4000000000001</v>
      </c>
      <c r="C55" s="254">
        <v>1238.5</v>
      </c>
      <c r="D55" s="254">
        <v>40.9</v>
      </c>
    </row>
    <row r="56" spans="1:4">
      <c r="A56" s="241">
        <v>1997</v>
      </c>
      <c r="B56" s="254">
        <v>1363.6</v>
      </c>
      <c r="C56" s="254">
        <v>1306.5999999999999</v>
      </c>
      <c r="D56" s="254">
        <v>56.9</v>
      </c>
    </row>
    <row r="57" spans="1:4">
      <c r="A57" s="241">
        <v>1998</v>
      </c>
      <c r="B57" s="254">
        <v>1396.5</v>
      </c>
      <c r="C57" s="254">
        <v>1354</v>
      </c>
      <c r="D57" s="254">
        <v>42.5</v>
      </c>
    </row>
    <row r="58" spans="1:4">
      <c r="A58" s="241">
        <v>1999</v>
      </c>
      <c r="B58" s="254">
        <v>1789.1</v>
      </c>
      <c r="C58" s="254">
        <v>1720.7</v>
      </c>
      <c r="D58" s="254">
        <v>68.400000000000006</v>
      </c>
    </row>
    <row r="59" spans="1:4">
      <c r="A59" s="241">
        <v>2000</v>
      </c>
      <c r="B59" s="254">
        <v>1698.9</v>
      </c>
      <c r="C59" s="254">
        <v>1616.3</v>
      </c>
      <c r="D59" s="254">
        <v>82.6</v>
      </c>
    </row>
    <row r="60" spans="1:4">
      <c r="A60" s="241">
        <v>2001</v>
      </c>
      <c r="B60" s="254">
        <v>1595.9</v>
      </c>
      <c r="C60" s="254">
        <v>1508.8</v>
      </c>
      <c r="D60" s="254">
        <v>87</v>
      </c>
    </row>
    <row r="61" spans="1:4">
      <c r="A61" s="241">
        <v>2002</v>
      </c>
      <c r="B61" s="254">
        <v>1699.2</v>
      </c>
      <c r="C61" s="254">
        <v>1602.3</v>
      </c>
      <c r="D61" s="254">
        <v>96.9</v>
      </c>
    </row>
    <row r="62" spans="1:4">
      <c r="A62" s="241">
        <v>2003</v>
      </c>
      <c r="B62" s="254">
        <v>1664.7</v>
      </c>
      <c r="C62" s="254">
        <v>1574.5</v>
      </c>
      <c r="D62" s="254">
        <v>90.2</v>
      </c>
    </row>
    <row r="63" spans="1:4">
      <c r="A63" s="241">
        <v>2004</v>
      </c>
      <c r="B63" s="254">
        <v>1710.5</v>
      </c>
      <c r="C63" s="254">
        <v>1617.8</v>
      </c>
      <c r="D63" s="254">
        <v>92.7</v>
      </c>
    </row>
    <row r="64" spans="1:4">
      <c r="A64" s="241">
        <v>2005</v>
      </c>
      <c r="B64" s="254">
        <v>1550.5</v>
      </c>
      <c r="C64" s="254">
        <v>1466.5</v>
      </c>
      <c r="D64" s="254">
        <v>84</v>
      </c>
    </row>
    <row r="65" spans="1:4">
      <c r="A65" s="241">
        <v>2006</v>
      </c>
      <c r="B65" s="254">
        <v>1436.3</v>
      </c>
      <c r="C65" s="254">
        <v>1358.5</v>
      </c>
      <c r="D65" s="254">
        <v>77.8</v>
      </c>
    </row>
    <row r="66" spans="1:4">
      <c r="A66" s="241">
        <v>2007</v>
      </c>
      <c r="B66" s="254">
        <v>1215.7</v>
      </c>
      <c r="C66" s="254">
        <v>1149.8</v>
      </c>
      <c r="D66" s="254">
        <v>65.900000000000006</v>
      </c>
    </row>
    <row r="67" spans="1:4">
      <c r="A67" s="241">
        <v>2008</v>
      </c>
      <c r="B67" s="254">
        <v>1033.4000000000001</v>
      </c>
      <c r="C67" s="254">
        <v>977.4</v>
      </c>
      <c r="D67" s="254">
        <v>56</v>
      </c>
    </row>
    <row r="68" spans="1:4">
      <c r="A68" s="241">
        <v>2009</v>
      </c>
      <c r="B68" s="254">
        <v>786.1</v>
      </c>
      <c r="C68" s="254">
        <v>743.5</v>
      </c>
      <c r="D68" s="254">
        <v>42.6</v>
      </c>
    </row>
    <row r="69" spans="1:4">
      <c r="A69" s="241">
        <v>2010</v>
      </c>
      <c r="B69" s="254">
        <v>968.8</v>
      </c>
      <c r="C69" s="254">
        <v>916.3</v>
      </c>
      <c r="D69" s="254">
        <v>52.5</v>
      </c>
    </row>
    <row r="70" spans="1:4">
      <c r="A70" s="241">
        <v>2011</v>
      </c>
      <c r="B70" s="254">
        <v>872.3</v>
      </c>
      <c r="C70" s="254">
        <v>825</v>
      </c>
      <c r="D70" s="254">
        <v>47.3</v>
      </c>
    </row>
    <row r="71" spans="1:4">
      <c r="A71" s="246"/>
      <c r="B71" s="246"/>
      <c r="C71" s="246"/>
      <c r="D71" s="246"/>
    </row>
    <row r="72" spans="1:4">
      <c r="A72" s="456" t="s">
        <v>11</v>
      </c>
      <c r="B72" s="456"/>
      <c r="C72" s="456"/>
      <c r="D72" s="456"/>
    </row>
    <row r="73" spans="1:4">
      <c r="A73" s="245" t="s">
        <v>360</v>
      </c>
      <c r="B73" s="173">
        <f>((B70/B20)^(1/50)-1)*100</f>
        <v>3.1038529047222818</v>
      </c>
      <c r="C73" s="173" t="s">
        <v>10</v>
      </c>
      <c r="D73" s="173" t="s">
        <v>10</v>
      </c>
    </row>
    <row r="74" spans="1:4">
      <c r="A74" s="245" t="s">
        <v>361</v>
      </c>
      <c r="B74" s="173">
        <f>((B32/B20)^(1/12)-1)*100</f>
        <v>7.431520368522726</v>
      </c>
      <c r="C74" s="173" t="s">
        <v>10</v>
      </c>
      <c r="D74" s="173" t="s">
        <v>10</v>
      </c>
    </row>
    <row r="75" spans="1:4">
      <c r="A75" s="245" t="s">
        <v>362</v>
      </c>
      <c r="B75" s="173">
        <f>((B40/B32)^(1/8)-1)*100</f>
        <v>3.7531765454847932</v>
      </c>
      <c r="C75" s="173" t="s">
        <v>10</v>
      </c>
      <c r="D75" s="173" t="s">
        <v>10</v>
      </c>
    </row>
    <row r="76" spans="1:4">
      <c r="A76" s="245" t="s">
        <v>363</v>
      </c>
      <c r="B76" s="173">
        <f>((B48/B40)^(1/8)-1)*100</f>
        <v>5.1514293867111149</v>
      </c>
      <c r="C76" s="173" t="s">
        <v>10</v>
      </c>
      <c r="D76" s="173" t="s">
        <v>10</v>
      </c>
    </row>
    <row r="77" spans="1:4">
      <c r="A77" s="245" t="s">
        <v>14</v>
      </c>
      <c r="B77" s="253">
        <f>((B59/B48)^(1/11)-1)*100</f>
        <v>5.9726858941701488</v>
      </c>
      <c r="C77" s="253">
        <f>((C59/C48)^(1/11)-1)*100</f>
        <v>5.9869567482232489</v>
      </c>
      <c r="D77" s="253">
        <f>((D59/D48)^(1/11)-1)*100</f>
        <v>5.6979831672430592</v>
      </c>
    </row>
    <row r="78" spans="1:4">
      <c r="A78" s="245" t="s">
        <v>364</v>
      </c>
      <c r="B78" s="253">
        <f>((B70/B59)^(1/11)-1)*100</f>
        <v>-5.8800600393895675</v>
      </c>
      <c r="C78" s="253">
        <f t="shared" ref="C78:D78" si="0">((C70/C59)^(1/11)-1)*100</f>
        <v>-5.9306027219581221</v>
      </c>
      <c r="D78" s="253">
        <f t="shared" si="0"/>
        <v>-4.9418866820736707</v>
      </c>
    </row>
    <row r="79" spans="1:4">
      <c r="A79" s="246"/>
      <c r="B79" s="253"/>
      <c r="C79" s="246"/>
      <c r="D79" s="246"/>
    </row>
    <row r="80" spans="1:4">
      <c r="A80" s="246" t="s">
        <v>365</v>
      </c>
      <c r="B80" s="246"/>
      <c r="C80" s="246"/>
      <c r="D80" s="246"/>
    </row>
  </sheetData>
  <mergeCells count="3">
    <mergeCell ref="B2:D2"/>
    <mergeCell ref="A1:D1"/>
    <mergeCell ref="A72:D72"/>
  </mergeCells>
  <printOptions gridLines="1"/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D80"/>
  <sheetViews>
    <sheetView view="pageBreakPreview" topLeftCell="A49" zoomScaleNormal="100" zoomScaleSheetLayoutView="100" workbookViewId="0">
      <selection activeCell="C24" sqref="C24"/>
    </sheetView>
  </sheetViews>
  <sheetFormatPr defaultRowHeight="15"/>
  <cols>
    <col min="1" max="1" width="15.7109375" style="258" customWidth="1"/>
    <col min="2" max="16384" width="9.140625" style="258"/>
  </cols>
  <sheetData>
    <row r="1" spans="1:4" ht="45" customHeight="1">
      <c r="A1" s="471" t="s">
        <v>381</v>
      </c>
      <c r="B1" s="471"/>
      <c r="C1" s="471"/>
      <c r="D1" s="471"/>
    </row>
    <row r="2" spans="1:4" ht="15" customHeight="1">
      <c r="A2" s="246"/>
      <c r="B2" s="457" t="s">
        <v>357</v>
      </c>
      <c r="C2" s="457"/>
      <c r="D2" s="457"/>
    </row>
    <row r="3" spans="1:4" ht="45">
      <c r="A3" s="246"/>
      <c r="B3" s="242" t="s">
        <v>89</v>
      </c>
      <c r="C3" s="242" t="s">
        <v>358</v>
      </c>
      <c r="D3" s="242" t="s">
        <v>359</v>
      </c>
    </row>
    <row r="4" spans="1:4">
      <c r="A4" s="246"/>
      <c r="B4" s="246"/>
      <c r="C4" s="246"/>
      <c r="D4" s="246"/>
    </row>
    <row r="5" spans="1:4">
      <c r="A5" s="241">
        <v>1946</v>
      </c>
      <c r="B5" s="254">
        <v>120.8</v>
      </c>
      <c r="C5" s="254"/>
      <c r="D5" s="254"/>
    </row>
    <row r="6" spans="1:4">
      <c r="A6" s="241">
        <v>1947</v>
      </c>
      <c r="B6" s="254">
        <v>142.6</v>
      </c>
      <c r="C6" s="254"/>
      <c r="D6" s="254"/>
    </row>
    <row r="7" spans="1:4">
      <c r="A7" s="241">
        <v>1948</v>
      </c>
      <c r="B7" s="254">
        <v>137.6</v>
      </c>
      <c r="C7" s="254"/>
      <c r="D7" s="254"/>
    </row>
    <row r="8" spans="1:4">
      <c r="A8" s="241">
        <v>1949</v>
      </c>
      <c r="B8" s="254">
        <v>130.80000000000001</v>
      </c>
      <c r="C8" s="254"/>
      <c r="D8" s="254"/>
    </row>
    <row r="9" spans="1:4">
      <c r="A9" s="241">
        <v>1950</v>
      </c>
      <c r="B9" s="254">
        <v>164.2</v>
      </c>
      <c r="C9" s="254"/>
      <c r="D9" s="254"/>
    </row>
    <row r="10" spans="1:4">
      <c r="A10" s="241">
        <v>1951</v>
      </c>
      <c r="B10" s="254">
        <v>178.3</v>
      </c>
      <c r="C10" s="254"/>
      <c r="D10" s="254"/>
    </row>
    <row r="11" spans="1:4">
      <c r="A11" s="241">
        <v>1952</v>
      </c>
      <c r="B11" s="254">
        <v>185.2</v>
      </c>
      <c r="C11" s="254"/>
      <c r="D11" s="254"/>
    </row>
    <row r="12" spans="1:4">
      <c r="A12" s="241">
        <v>1953</v>
      </c>
      <c r="B12" s="254">
        <v>161.1</v>
      </c>
      <c r="C12" s="254"/>
      <c r="D12" s="254"/>
    </row>
    <row r="13" spans="1:4">
      <c r="A13" s="241">
        <v>1954</v>
      </c>
      <c r="B13" s="254">
        <v>143.5</v>
      </c>
      <c r="C13" s="254"/>
      <c r="D13" s="254"/>
    </row>
    <row r="14" spans="1:4">
      <c r="A14" s="241">
        <v>1955</v>
      </c>
      <c r="B14" s="254">
        <v>149.4</v>
      </c>
      <c r="C14" s="254"/>
      <c r="D14" s="254"/>
    </row>
    <row r="15" spans="1:4">
      <c r="A15" s="241">
        <v>1956</v>
      </c>
      <c r="B15" s="254">
        <v>159.1</v>
      </c>
      <c r="C15" s="254"/>
      <c r="D15" s="254"/>
    </row>
    <row r="16" spans="1:4">
      <c r="A16" s="241">
        <v>1957</v>
      </c>
      <c r="B16" s="254">
        <v>130.19999999999999</v>
      </c>
      <c r="C16" s="254"/>
      <c r="D16" s="254"/>
    </row>
    <row r="17" spans="1:4">
      <c r="A17" s="241">
        <v>1958</v>
      </c>
      <c r="B17" s="254">
        <v>125.8</v>
      </c>
      <c r="C17" s="254"/>
      <c r="D17" s="254"/>
    </row>
    <row r="18" spans="1:4">
      <c r="A18" s="241">
        <v>1959</v>
      </c>
      <c r="B18" s="254">
        <v>124.3</v>
      </c>
      <c r="C18" s="254"/>
      <c r="D18" s="254"/>
    </row>
    <row r="19" spans="1:4">
      <c r="A19" s="241">
        <v>1960</v>
      </c>
      <c r="B19" s="254">
        <v>114.8</v>
      </c>
      <c r="C19" s="254"/>
      <c r="D19" s="254"/>
    </row>
    <row r="20" spans="1:4">
      <c r="A20" s="241">
        <v>1961</v>
      </c>
      <c r="B20" s="254">
        <v>123.4</v>
      </c>
      <c r="C20" s="254"/>
      <c r="D20" s="254"/>
    </row>
    <row r="21" spans="1:4">
      <c r="A21" s="241">
        <v>1962</v>
      </c>
      <c r="B21" s="254">
        <v>128.5</v>
      </c>
      <c r="C21" s="254"/>
      <c r="D21" s="254"/>
    </row>
    <row r="22" spans="1:4">
      <c r="A22" s="241">
        <v>1963</v>
      </c>
      <c r="B22" s="254">
        <v>147.19999999999999</v>
      </c>
      <c r="C22" s="254"/>
      <c r="D22" s="254"/>
    </row>
    <row r="23" spans="1:4">
      <c r="A23" s="241">
        <v>1964</v>
      </c>
      <c r="B23" s="254">
        <v>155.5</v>
      </c>
      <c r="C23" s="254"/>
      <c r="D23" s="254"/>
    </row>
    <row r="24" spans="1:4">
      <c r="A24" s="241">
        <v>1965</v>
      </c>
      <c r="B24" s="254">
        <v>158.9</v>
      </c>
      <c r="C24" s="254"/>
      <c r="D24" s="254"/>
    </row>
    <row r="25" spans="1:4">
      <c r="A25" s="241">
        <v>1966</v>
      </c>
      <c r="B25" s="254">
        <v>152.1</v>
      </c>
      <c r="C25" s="254"/>
      <c r="D25" s="254"/>
    </row>
    <row r="26" spans="1:4">
      <c r="A26" s="241">
        <v>1967</v>
      </c>
      <c r="B26" s="254">
        <v>143.1</v>
      </c>
      <c r="C26" s="254"/>
      <c r="D26" s="254"/>
    </row>
    <row r="27" spans="1:4">
      <c r="A27" s="241">
        <v>1968</v>
      </c>
      <c r="B27" s="254">
        <v>174.5</v>
      </c>
      <c r="C27" s="254"/>
      <c r="D27" s="254"/>
    </row>
    <row r="28" spans="1:4">
      <c r="A28" s="241">
        <v>1969</v>
      </c>
      <c r="B28" s="254">
        <v>164.8</v>
      </c>
      <c r="C28" s="254"/>
      <c r="D28" s="254"/>
    </row>
    <row r="29" spans="1:4">
      <c r="A29" s="241">
        <v>1970</v>
      </c>
      <c r="B29" s="254">
        <v>164.7</v>
      </c>
      <c r="C29" s="254"/>
      <c r="D29" s="254"/>
    </row>
    <row r="30" spans="1:4">
      <c r="A30" s="241">
        <v>1971</v>
      </c>
      <c r="B30" s="254">
        <v>188.9</v>
      </c>
      <c r="C30" s="254"/>
      <c r="D30" s="254"/>
    </row>
    <row r="31" spans="1:4">
      <c r="A31" s="241">
        <v>1972</v>
      </c>
      <c r="B31" s="254">
        <v>212.9</v>
      </c>
      <c r="C31" s="254"/>
      <c r="D31" s="254"/>
    </row>
    <row r="32" spans="1:4">
      <c r="A32" s="241">
        <v>1973</v>
      </c>
      <c r="B32" s="254">
        <v>229.6</v>
      </c>
      <c r="C32" s="254"/>
      <c r="D32" s="254"/>
    </row>
    <row r="33" spans="1:4">
      <c r="A33" s="241">
        <v>1974</v>
      </c>
      <c r="B33" s="254">
        <v>247.8</v>
      </c>
      <c r="C33" s="254"/>
      <c r="D33" s="254"/>
    </row>
    <row r="34" spans="1:4">
      <c r="A34" s="241">
        <v>1975</v>
      </c>
      <c r="B34" s="254">
        <v>186.5</v>
      </c>
      <c r="C34" s="254"/>
      <c r="D34" s="254"/>
    </row>
    <row r="35" spans="1:4">
      <c r="A35" s="241">
        <v>1976</v>
      </c>
      <c r="B35" s="254">
        <v>231.1</v>
      </c>
      <c r="C35" s="254"/>
      <c r="D35" s="254"/>
    </row>
    <row r="36" spans="1:4">
      <c r="A36" s="241">
        <v>1977</v>
      </c>
      <c r="B36" s="254">
        <v>277.60000000000002</v>
      </c>
      <c r="C36" s="254"/>
      <c r="D36" s="254"/>
    </row>
    <row r="37" spans="1:4">
      <c r="A37" s="241">
        <v>1978</v>
      </c>
      <c r="B37" s="254">
        <v>319</v>
      </c>
      <c r="C37" s="254"/>
      <c r="D37" s="254"/>
    </row>
    <row r="38" spans="1:4">
      <c r="A38" s="241">
        <v>1979</v>
      </c>
      <c r="B38" s="254">
        <v>312.10000000000002</v>
      </c>
      <c r="C38" s="254"/>
      <c r="D38" s="254"/>
    </row>
    <row r="39" spans="1:4">
      <c r="A39" s="241">
        <v>1980</v>
      </c>
      <c r="B39" s="254">
        <v>369.9</v>
      </c>
      <c r="C39" s="254"/>
      <c r="D39" s="254"/>
    </row>
    <row r="40" spans="1:4">
      <c r="A40" s="241">
        <v>1981</v>
      </c>
      <c r="B40" s="254">
        <v>346.1</v>
      </c>
      <c r="C40" s="254"/>
      <c r="D40" s="254"/>
    </row>
    <row r="41" spans="1:4">
      <c r="A41" s="241">
        <v>1982</v>
      </c>
      <c r="B41" s="254">
        <v>322</v>
      </c>
      <c r="C41" s="254"/>
      <c r="D41" s="254"/>
    </row>
    <row r="42" spans="1:4">
      <c r="A42" s="241">
        <v>1983</v>
      </c>
      <c r="B42" s="254">
        <v>362.9</v>
      </c>
      <c r="C42" s="254"/>
      <c r="D42" s="254"/>
    </row>
    <row r="43" spans="1:4">
      <c r="A43" s="241">
        <v>1984</v>
      </c>
      <c r="B43" s="254">
        <v>418.6</v>
      </c>
      <c r="C43" s="254"/>
      <c r="D43" s="254"/>
    </row>
    <row r="44" spans="1:4">
      <c r="A44" s="241">
        <v>1985</v>
      </c>
      <c r="B44" s="254">
        <v>445.1</v>
      </c>
      <c r="C44" s="254">
        <v>396.1</v>
      </c>
      <c r="D44" s="254">
        <v>49</v>
      </c>
    </row>
    <row r="45" spans="1:4">
      <c r="A45" s="241">
        <v>1986</v>
      </c>
      <c r="B45" s="254">
        <v>504.2</v>
      </c>
      <c r="C45" s="254">
        <v>443.7</v>
      </c>
      <c r="D45" s="254">
        <v>60.5</v>
      </c>
    </row>
    <row r="46" spans="1:4">
      <c r="A46" s="241">
        <v>1987</v>
      </c>
      <c r="B46" s="254">
        <v>488.7</v>
      </c>
      <c r="C46" s="254">
        <v>430.1</v>
      </c>
      <c r="D46" s="254">
        <v>58.6</v>
      </c>
    </row>
    <row r="47" spans="1:4">
      <c r="A47" s="241">
        <v>1988</v>
      </c>
      <c r="B47" s="254">
        <v>499.3</v>
      </c>
      <c r="C47" s="254">
        <v>445.6</v>
      </c>
      <c r="D47" s="254">
        <v>53.6</v>
      </c>
    </row>
    <row r="48" spans="1:4">
      <c r="A48" s="241">
        <v>1989</v>
      </c>
      <c r="B48" s="254">
        <v>460.2</v>
      </c>
      <c r="C48" s="254">
        <v>409.6</v>
      </c>
      <c r="D48" s="254">
        <v>50.6</v>
      </c>
    </row>
    <row r="49" spans="1:4">
      <c r="A49" s="241">
        <v>1990</v>
      </c>
      <c r="B49" s="254">
        <v>398.2</v>
      </c>
      <c r="C49" s="254">
        <v>357.2</v>
      </c>
      <c r="D49" s="254">
        <v>41</v>
      </c>
    </row>
    <row r="50" spans="1:4">
      <c r="A50" s="241">
        <v>1991</v>
      </c>
      <c r="B50" s="254">
        <v>376.9</v>
      </c>
      <c r="C50" s="254">
        <v>338.1</v>
      </c>
      <c r="D50" s="254">
        <v>38.799999999999997</v>
      </c>
    </row>
    <row r="51" spans="1:4">
      <c r="A51" s="241">
        <v>1992</v>
      </c>
      <c r="B51" s="254">
        <v>398.8</v>
      </c>
      <c r="C51" s="254">
        <v>360.9</v>
      </c>
      <c r="D51" s="254">
        <v>37.9</v>
      </c>
    </row>
    <row r="52" spans="1:4">
      <c r="A52" s="241">
        <v>1993</v>
      </c>
      <c r="B52" s="254">
        <v>440.2</v>
      </c>
      <c r="C52" s="254">
        <v>416.2</v>
      </c>
      <c r="D52" s="254">
        <v>23.9</v>
      </c>
    </row>
    <row r="53" spans="1:4">
      <c r="A53" s="241">
        <v>1994</v>
      </c>
      <c r="B53" s="254">
        <v>489.2</v>
      </c>
      <c r="C53" s="254">
        <v>451.7</v>
      </c>
      <c r="D53" s="254">
        <v>37.5</v>
      </c>
    </row>
    <row r="54" spans="1:4">
      <c r="A54" s="241">
        <v>1995</v>
      </c>
      <c r="B54" s="254">
        <v>493</v>
      </c>
      <c r="C54" s="254">
        <v>465.4</v>
      </c>
      <c r="D54" s="254">
        <v>27.5</v>
      </c>
    </row>
    <row r="55" spans="1:4">
      <c r="A55" s="241">
        <v>1996</v>
      </c>
      <c r="B55" s="254">
        <v>534.70000000000005</v>
      </c>
      <c r="C55" s="254">
        <v>510</v>
      </c>
      <c r="D55" s="254">
        <v>24.7</v>
      </c>
    </row>
    <row r="56" spans="1:4">
      <c r="A56" s="241">
        <v>1997</v>
      </c>
      <c r="B56" s="254">
        <v>572</v>
      </c>
      <c r="C56" s="254">
        <v>549.29999999999995</v>
      </c>
      <c r="D56" s="254">
        <v>22.7</v>
      </c>
    </row>
    <row r="57" spans="1:4">
      <c r="A57" s="241">
        <v>1998</v>
      </c>
      <c r="B57" s="254">
        <v>546.20000000000005</v>
      </c>
      <c r="C57" s="254">
        <v>526.70000000000005</v>
      </c>
      <c r="D57" s="254">
        <v>19.600000000000001</v>
      </c>
    </row>
    <row r="58" spans="1:4">
      <c r="A58" s="241">
        <v>1999</v>
      </c>
      <c r="B58" s="254">
        <v>646</v>
      </c>
      <c r="C58" s="254">
        <v>625.29999999999995</v>
      </c>
      <c r="D58" s="254">
        <v>20.6</v>
      </c>
    </row>
    <row r="59" spans="1:4">
      <c r="A59" s="241">
        <v>2000</v>
      </c>
      <c r="B59" s="254">
        <v>717.6</v>
      </c>
      <c r="C59" s="254">
        <v>680.9</v>
      </c>
      <c r="D59" s="254">
        <v>36.700000000000003</v>
      </c>
    </row>
    <row r="60" spans="1:4">
      <c r="A60" s="241">
        <v>2001</v>
      </c>
      <c r="B60" s="254">
        <v>715.9</v>
      </c>
      <c r="C60" s="254">
        <v>682.2</v>
      </c>
      <c r="D60" s="254">
        <v>33.700000000000003</v>
      </c>
    </row>
    <row r="61" spans="1:4">
      <c r="A61" s="241">
        <v>2002</v>
      </c>
      <c r="B61" s="254">
        <v>783.3</v>
      </c>
      <c r="C61" s="254">
        <v>740.3</v>
      </c>
      <c r="D61" s="254">
        <v>43</v>
      </c>
    </row>
    <row r="62" spans="1:4">
      <c r="A62" s="241">
        <v>2003</v>
      </c>
      <c r="B62" s="254">
        <v>752.4</v>
      </c>
      <c r="C62" s="254">
        <v>708.5</v>
      </c>
      <c r="D62" s="254">
        <v>43.9</v>
      </c>
    </row>
    <row r="63" spans="1:4">
      <c r="A63" s="241">
        <v>2004</v>
      </c>
      <c r="B63" s="254">
        <v>738.1</v>
      </c>
      <c r="C63" s="254">
        <v>695</v>
      </c>
      <c r="D63" s="254">
        <v>43.1</v>
      </c>
    </row>
    <row r="64" spans="1:4">
      <c r="A64" s="241">
        <v>2005</v>
      </c>
      <c r="B64" s="254">
        <v>758.6</v>
      </c>
      <c r="C64" s="254">
        <v>714.3</v>
      </c>
      <c r="D64" s="254">
        <v>44.3</v>
      </c>
    </row>
    <row r="65" spans="1:4">
      <c r="A65" s="241">
        <v>2006</v>
      </c>
      <c r="B65" s="254">
        <v>763</v>
      </c>
      <c r="C65" s="254">
        <v>718.4</v>
      </c>
      <c r="D65" s="254">
        <v>44.5</v>
      </c>
    </row>
    <row r="66" spans="1:4">
      <c r="A66" s="241">
        <v>2007</v>
      </c>
      <c r="B66" s="254">
        <v>646.1</v>
      </c>
      <c r="C66" s="254">
        <v>608.4</v>
      </c>
      <c r="D66" s="254">
        <v>37.700000000000003</v>
      </c>
    </row>
    <row r="67" spans="1:4">
      <c r="A67" s="241">
        <v>2008</v>
      </c>
      <c r="B67" s="254">
        <v>459.1</v>
      </c>
      <c r="C67" s="254">
        <v>432.3</v>
      </c>
      <c r="D67" s="254">
        <v>26.8</v>
      </c>
    </row>
    <row r="68" spans="1:4">
      <c r="A68" s="241">
        <v>2009</v>
      </c>
      <c r="B68" s="254">
        <v>295.10000000000002</v>
      </c>
      <c r="C68" s="254">
        <v>277.89999999999998</v>
      </c>
      <c r="D68" s="254">
        <v>17.2</v>
      </c>
    </row>
    <row r="69" spans="1:4">
      <c r="A69" s="241">
        <v>2010</v>
      </c>
      <c r="B69" s="254">
        <v>297.39999999999998</v>
      </c>
      <c r="C69" s="254">
        <v>280</v>
      </c>
      <c r="D69" s="254">
        <v>17.399999999999999</v>
      </c>
    </row>
    <row r="70" spans="1:4">
      <c r="A70" s="241">
        <v>2011</v>
      </c>
      <c r="B70" s="254">
        <v>260.7</v>
      </c>
      <c r="C70" s="254">
        <v>245.5</v>
      </c>
      <c r="D70" s="254">
        <v>15.2</v>
      </c>
    </row>
    <row r="71" spans="1:4">
      <c r="A71" s="246"/>
      <c r="B71" s="246"/>
      <c r="C71" s="246"/>
      <c r="D71" s="246"/>
    </row>
    <row r="72" spans="1:4">
      <c r="A72" s="456" t="s">
        <v>11</v>
      </c>
      <c r="B72" s="456"/>
      <c r="C72" s="456"/>
      <c r="D72" s="456"/>
    </row>
    <row r="73" spans="1:4">
      <c r="A73" s="245" t="s">
        <v>360</v>
      </c>
      <c r="B73" s="173">
        <f>((B70/B20)^(1/50)-1)*100</f>
        <v>1.5071226770069224</v>
      </c>
      <c r="C73" s="173" t="s">
        <v>10</v>
      </c>
      <c r="D73" s="173" t="s">
        <v>10</v>
      </c>
    </row>
    <row r="74" spans="1:4">
      <c r="A74" s="245" t="s">
        <v>361</v>
      </c>
      <c r="B74" s="173">
        <f>((B32/B20)^(1/12)-1)*100</f>
        <v>5.3104318431552944</v>
      </c>
      <c r="C74" s="173" t="s">
        <v>10</v>
      </c>
      <c r="D74" s="173" t="s">
        <v>10</v>
      </c>
    </row>
    <row r="75" spans="1:4">
      <c r="A75" s="245" t="s">
        <v>362</v>
      </c>
      <c r="B75" s="173">
        <f>((B40/B32)^(1/8)-1)*100</f>
        <v>5.2637201474948103</v>
      </c>
      <c r="C75" s="173" t="s">
        <v>10</v>
      </c>
      <c r="D75" s="173" t="s">
        <v>10</v>
      </c>
    </row>
    <row r="76" spans="1:4">
      <c r="A76" s="245" t="s">
        <v>363</v>
      </c>
      <c r="B76" s="173">
        <f>((B48/B40)^(1/8)-1)*100</f>
        <v>3.6258550033121173</v>
      </c>
      <c r="C76" s="173" t="s">
        <v>10</v>
      </c>
      <c r="D76" s="173" t="s">
        <v>10</v>
      </c>
    </row>
    <row r="77" spans="1:4">
      <c r="A77" s="245" t="s">
        <v>14</v>
      </c>
      <c r="B77" s="253">
        <f>((B59/B48)^(1/11)-1)*100</f>
        <v>4.1213090580868306</v>
      </c>
      <c r="C77" s="253">
        <f>((C59/C48)^(1/11)-1)*100</f>
        <v>4.7287119907474473</v>
      </c>
      <c r="D77" s="253">
        <f>((D59/D48)^(1/11)-1)*100</f>
        <v>-2.877557628965588</v>
      </c>
    </row>
    <row r="78" spans="1:4">
      <c r="A78" s="245" t="s">
        <v>364</v>
      </c>
      <c r="B78" s="253">
        <f>((B70/B59)^(1/11)-1)*100</f>
        <v>-8.793979041069699</v>
      </c>
      <c r="C78" s="253">
        <f t="shared" ref="C78:D78" si="0">((C70/C59)^(1/11)-1)*100</f>
        <v>-8.8567777594167225</v>
      </c>
      <c r="D78" s="253">
        <f t="shared" si="0"/>
        <v>-7.700795773070257</v>
      </c>
    </row>
    <row r="79" spans="1:4">
      <c r="A79" s="246"/>
      <c r="B79" s="253"/>
      <c r="C79" s="246"/>
      <c r="D79" s="246"/>
    </row>
    <row r="80" spans="1:4">
      <c r="A80" s="246" t="s">
        <v>365</v>
      </c>
      <c r="B80" s="246"/>
      <c r="C80" s="246"/>
      <c r="D80" s="246"/>
    </row>
  </sheetData>
  <mergeCells count="3">
    <mergeCell ref="A1:D1"/>
    <mergeCell ref="B2:D2"/>
    <mergeCell ref="A72:D72"/>
  </mergeCells>
  <printOptions gridLines="1"/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X233"/>
  <sheetViews>
    <sheetView view="pageBreakPreview" topLeftCell="A205" zoomScaleNormal="100" zoomScaleSheetLayoutView="100" workbookViewId="0">
      <selection activeCell="B178" sqref="B178"/>
    </sheetView>
  </sheetViews>
  <sheetFormatPr defaultRowHeight="15"/>
  <cols>
    <col min="1" max="1" width="14.42578125" style="3" customWidth="1"/>
    <col min="2" max="7" width="25" style="3" customWidth="1"/>
    <col min="8" max="16384" width="9.140625" style="3"/>
  </cols>
  <sheetData>
    <row r="1" spans="1:24">
      <c r="A1" s="461" t="s">
        <v>501</v>
      </c>
      <c r="B1" s="461"/>
      <c r="C1" s="461"/>
      <c r="D1" s="461"/>
      <c r="E1" s="461"/>
      <c r="F1" s="461"/>
      <c r="G1" s="461"/>
    </row>
    <row r="2" spans="1:24">
      <c r="A2" s="223"/>
    </row>
    <row r="3" spans="1:24">
      <c r="A3" s="475" t="s">
        <v>492</v>
      </c>
      <c r="B3" s="475"/>
      <c r="C3" s="475"/>
      <c r="D3" s="475"/>
      <c r="E3" s="475"/>
      <c r="F3" s="475"/>
      <c r="G3" s="475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</row>
    <row r="4" spans="1:24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</row>
    <row r="5" spans="1:24">
      <c r="B5" s="461" t="s">
        <v>132</v>
      </c>
      <c r="C5" s="461"/>
      <c r="D5" s="461"/>
      <c r="E5" s="461"/>
      <c r="F5" s="461"/>
      <c r="G5" s="461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</row>
    <row r="6" spans="1:24" ht="30">
      <c r="A6" s="223"/>
      <c r="B6" s="294" t="s">
        <v>8</v>
      </c>
      <c r="C6" s="146" t="s">
        <v>441</v>
      </c>
      <c r="D6" s="146" t="s">
        <v>248</v>
      </c>
      <c r="E6" s="146" t="s">
        <v>249</v>
      </c>
      <c r="F6" s="146" t="s">
        <v>442</v>
      </c>
      <c r="G6" s="146" t="s">
        <v>443</v>
      </c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</row>
    <row r="7" spans="1:24">
      <c r="A7" s="223">
        <v>1997</v>
      </c>
      <c r="B7" s="408" t="s">
        <v>9</v>
      </c>
      <c r="C7" s="408">
        <v>526872</v>
      </c>
      <c r="D7" s="408">
        <v>1274137</v>
      </c>
      <c r="E7" s="408" t="s">
        <v>9</v>
      </c>
      <c r="F7" s="408" t="s">
        <v>9</v>
      </c>
      <c r="G7" s="408" t="s">
        <v>9</v>
      </c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</row>
    <row r="8" spans="1:24">
      <c r="A8" s="223">
        <v>1998</v>
      </c>
      <c r="B8" s="190">
        <f t="shared" ref="B8:B23" si="0">C8+D8+E8</f>
        <v>3939571</v>
      </c>
      <c r="C8" s="408">
        <v>571755</v>
      </c>
      <c r="D8" s="408">
        <v>1352655</v>
      </c>
      <c r="E8" s="408">
        <v>2015161</v>
      </c>
      <c r="F8" s="408">
        <v>1460205</v>
      </c>
      <c r="G8" s="408">
        <v>554956</v>
      </c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</row>
    <row r="9" spans="1:24">
      <c r="A9" s="223">
        <v>1999</v>
      </c>
      <c r="B9" s="190">
        <f t="shared" si="0"/>
        <v>4164769</v>
      </c>
      <c r="C9" s="408">
        <v>591029</v>
      </c>
      <c r="D9" s="408">
        <v>1550242</v>
      </c>
      <c r="E9" s="408">
        <v>2023498</v>
      </c>
      <c r="F9" s="408">
        <v>1444447</v>
      </c>
      <c r="G9" s="408">
        <v>579051</v>
      </c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</row>
    <row r="10" spans="1:24">
      <c r="A10" s="223">
        <v>2000</v>
      </c>
      <c r="B10" s="190">
        <f t="shared" si="0"/>
        <v>4442642</v>
      </c>
      <c r="C10" s="408">
        <v>557456</v>
      </c>
      <c r="D10" s="408">
        <v>1815403</v>
      </c>
      <c r="E10" s="408">
        <v>2069783</v>
      </c>
      <c r="F10" s="408">
        <v>1445511</v>
      </c>
      <c r="G10" s="408">
        <v>624272</v>
      </c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</row>
    <row r="11" spans="1:24">
      <c r="A11" s="223">
        <v>2001</v>
      </c>
      <c r="B11" s="190">
        <f t="shared" si="0"/>
        <v>4253082</v>
      </c>
      <c r="C11" s="408">
        <v>531308</v>
      </c>
      <c r="D11" s="408">
        <v>1723516</v>
      </c>
      <c r="E11" s="408">
        <v>1998258</v>
      </c>
      <c r="F11" s="408">
        <v>1374059</v>
      </c>
      <c r="G11" s="408">
        <v>624199</v>
      </c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</row>
    <row r="12" spans="1:24">
      <c r="A12" s="223">
        <v>2002</v>
      </c>
      <c r="B12" s="190">
        <f t="shared" si="0"/>
        <v>4465179</v>
      </c>
      <c r="C12" s="408">
        <v>551963</v>
      </c>
      <c r="D12" s="408">
        <v>1810244</v>
      </c>
      <c r="E12" s="408">
        <v>2102972</v>
      </c>
      <c r="F12" s="408">
        <v>1472461</v>
      </c>
      <c r="G12" s="408">
        <v>630511</v>
      </c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</row>
    <row r="13" spans="1:24">
      <c r="A13" s="223">
        <v>2003</v>
      </c>
      <c r="B13" s="190">
        <f t="shared" si="0"/>
        <v>4503042</v>
      </c>
      <c r="C13" s="408">
        <v>585310</v>
      </c>
      <c r="D13" s="408">
        <v>1796210</v>
      </c>
      <c r="E13" s="408">
        <v>2121522</v>
      </c>
      <c r="F13" s="408">
        <v>1506165</v>
      </c>
      <c r="G13" s="408">
        <v>615357</v>
      </c>
      <c r="H13" s="297"/>
      <c r="I13" s="297"/>
      <c r="J13" s="297"/>
      <c r="K13" s="297"/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</row>
    <row r="14" spans="1:24">
      <c r="A14" s="223">
        <v>2004</v>
      </c>
      <c r="B14" s="190">
        <f t="shared" si="0"/>
        <v>4691979</v>
      </c>
      <c r="C14" s="408">
        <v>613091</v>
      </c>
      <c r="D14" s="408">
        <v>1854890</v>
      </c>
      <c r="E14" s="408">
        <v>2223998</v>
      </c>
      <c r="F14" s="408">
        <v>1589834</v>
      </c>
      <c r="G14" s="408">
        <v>634164</v>
      </c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</row>
    <row r="15" spans="1:24">
      <c r="A15" s="223">
        <v>2005</v>
      </c>
      <c r="B15" s="190">
        <f t="shared" si="0"/>
        <v>4941978</v>
      </c>
      <c r="C15" s="408">
        <v>639871</v>
      </c>
      <c r="D15" s="408">
        <v>1873784</v>
      </c>
      <c r="E15" s="408">
        <v>2428323</v>
      </c>
      <c r="F15" s="408">
        <v>1787107</v>
      </c>
      <c r="G15" s="408">
        <v>641216</v>
      </c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</row>
    <row r="16" spans="1:24">
      <c r="A16" s="223">
        <v>2006</v>
      </c>
      <c r="B16" s="190">
        <f t="shared" si="0"/>
        <v>4782794</v>
      </c>
      <c r="C16" s="408">
        <v>634756</v>
      </c>
      <c r="D16" s="408">
        <v>1748633</v>
      </c>
      <c r="E16" s="408">
        <v>2399405</v>
      </c>
      <c r="F16" s="408">
        <v>1792848</v>
      </c>
      <c r="G16" s="408">
        <v>606557</v>
      </c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</row>
    <row r="17" spans="1:24">
      <c r="A17" s="223">
        <v>2007</v>
      </c>
      <c r="B17" s="190">
        <f t="shared" si="0"/>
        <v>4527095</v>
      </c>
      <c r="C17" s="408">
        <v>600856</v>
      </c>
      <c r="D17" s="408">
        <v>1571434</v>
      </c>
      <c r="E17" s="408">
        <v>2354805</v>
      </c>
      <c r="F17" s="408">
        <v>1693613</v>
      </c>
      <c r="G17" s="408">
        <v>661192</v>
      </c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</row>
    <row r="18" spans="1:24">
      <c r="A18" s="223">
        <v>2008</v>
      </c>
      <c r="B18" s="190">
        <f t="shared" si="0"/>
        <v>4332859</v>
      </c>
      <c r="C18" s="408">
        <v>700242</v>
      </c>
      <c r="D18" s="408">
        <v>1441833</v>
      </c>
      <c r="E18" s="408">
        <v>2190784</v>
      </c>
      <c r="F18" s="408">
        <v>1550641</v>
      </c>
      <c r="G18" s="408">
        <v>640143</v>
      </c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</row>
    <row r="19" spans="1:24">
      <c r="A19" s="223">
        <v>2009</v>
      </c>
      <c r="B19" s="190">
        <f t="shared" si="0"/>
        <v>3833099</v>
      </c>
      <c r="C19" s="408">
        <v>701735</v>
      </c>
      <c r="D19" s="408">
        <v>1264549</v>
      </c>
      <c r="E19" s="408">
        <v>1866815</v>
      </c>
      <c r="F19" s="408">
        <v>1231278</v>
      </c>
      <c r="G19" s="408">
        <v>635538</v>
      </c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</row>
    <row r="20" spans="1:24">
      <c r="A20" s="223">
        <v>2010</v>
      </c>
      <c r="B20" s="190">
        <f t="shared" si="0"/>
        <v>3910989</v>
      </c>
      <c r="C20" s="408">
        <v>542175</v>
      </c>
      <c r="D20" s="408">
        <v>1476080</v>
      </c>
      <c r="E20" s="408">
        <v>1892734</v>
      </c>
      <c r="F20" s="408">
        <v>1228024</v>
      </c>
      <c r="G20" s="408">
        <v>664710</v>
      </c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</row>
    <row r="21" spans="1:24">
      <c r="A21" s="223">
        <v>2011</v>
      </c>
      <c r="B21" s="190">
        <f t="shared" si="0"/>
        <v>3783541</v>
      </c>
      <c r="C21" s="408">
        <v>603928</v>
      </c>
      <c r="D21" s="408">
        <v>1392055</v>
      </c>
      <c r="E21" s="408">
        <v>1787558</v>
      </c>
      <c r="F21" s="408">
        <v>1156474</v>
      </c>
      <c r="G21" s="408">
        <v>631084</v>
      </c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</row>
    <row r="22" spans="1:24">
      <c r="A22" s="223">
        <v>2012</v>
      </c>
      <c r="B22" s="190">
        <f t="shared" si="0"/>
        <v>3675441</v>
      </c>
      <c r="C22" s="408">
        <v>524070</v>
      </c>
      <c r="D22" s="408">
        <v>1338498</v>
      </c>
      <c r="E22" s="408">
        <v>1812873</v>
      </c>
      <c r="F22" s="408">
        <v>1207006</v>
      </c>
      <c r="G22" s="408">
        <v>605867</v>
      </c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</row>
    <row r="23" spans="1:24">
      <c r="A23" s="223">
        <v>2013</v>
      </c>
      <c r="B23" s="190">
        <f t="shared" si="0"/>
        <v>3557437</v>
      </c>
      <c r="C23" s="408">
        <v>480637</v>
      </c>
      <c r="D23" s="408">
        <v>1337226</v>
      </c>
      <c r="E23" s="408">
        <v>1739574</v>
      </c>
      <c r="F23" s="408">
        <v>1146259</v>
      </c>
      <c r="G23" s="408">
        <v>593314</v>
      </c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</row>
    <row r="24" spans="1:24">
      <c r="A24" s="223"/>
      <c r="B24" s="190"/>
      <c r="C24" s="190"/>
      <c r="D24" s="190"/>
      <c r="E24" s="190"/>
      <c r="F24" s="190"/>
      <c r="G24" s="190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</row>
    <row r="25" spans="1:24">
      <c r="A25" s="223" t="s">
        <v>32</v>
      </c>
      <c r="B25" s="190"/>
      <c r="C25" s="190"/>
      <c r="D25" s="190"/>
      <c r="E25" s="190"/>
      <c r="F25" s="190"/>
      <c r="G25" s="190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</row>
    <row r="26" spans="1:24">
      <c r="A26" s="295" t="s">
        <v>444</v>
      </c>
      <c r="B26" s="296" t="str">
        <f t="shared" ref="B26:G26" si="1">IFERROR(((B23/B7)^(1/16)-1)*100,"..")</f>
        <v>..</v>
      </c>
      <c r="C26" s="296">
        <f t="shared" si="1"/>
        <v>-0.57238887283774798</v>
      </c>
      <c r="D26" s="296">
        <f t="shared" si="1"/>
        <v>0.3025080869023089</v>
      </c>
      <c r="E26" s="296" t="str">
        <f t="shared" si="1"/>
        <v>..</v>
      </c>
      <c r="F26" s="296" t="str">
        <f t="shared" si="1"/>
        <v>..</v>
      </c>
      <c r="G26" s="296" t="str">
        <f t="shared" si="1"/>
        <v>..</v>
      </c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</row>
    <row r="27" spans="1:24">
      <c r="A27" s="295" t="s">
        <v>15</v>
      </c>
      <c r="B27" s="296">
        <f t="shared" ref="B27:G27" si="2">IFERROR(((B23/B10)^(1/13)-1)*100,"..")</f>
        <v>-1.69477361230852</v>
      </c>
      <c r="C27" s="296">
        <f t="shared" si="2"/>
        <v>-1.1340686296325564</v>
      </c>
      <c r="D27" s="296">
        <f t="shared" si="2"/>
        <v>-2.324181608090703</v>
      </c>
      <c r="E27" s="296">
        <f t="shared" si="2"/>
        <v>-1.3280526346120758</v>
      </c>
      <c r="F27" s="296">
        <f t="shared" si="2"/>
        <v>-1.7684778622482744</v>
      </c>
      <c r="G27" s="296">
        <f t="shared" si="2"/>
        <v>-0.39048485592705351</v>
      </c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</row>
    <row r="28" spans="1:24">
      <c r="A28" s="295" t="s">
        <v>68</v>
      </c>
      <c r="B28" s="296">
        <f t="shared" ref="B28:G28" si="3">IFERROR(((B17/B10)^(1/7)-1)*100,"..")</f>
        <v>0.26937944635008204</v>
      </c>
      <c r="C28" s="296">
        <f t="shared" si="3"/>
        <v>1.0767806963660087</v>
      </c>
      <c r="D28" s="296">
        <f t="shared" si="3"/>
        <v>-2.0405909212897977</v>
      </c>
      <c r="E28" s="296">
        <f t="shared" si="3"/>
        <v>1.8601484588676387</v>
      </c>
      <c r="F28" s="296">
        <f t="shared" si="3"/>
        <v>2.2886718625627411</v>
      </c>
      <c r="G28" s="296">
        <f t="shared" si="3"/>
        <v>0.82420798573448195</v>
      </c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</row>
    <row r="29" spans="1:24">
      <c r="A29" s="295" t="s">
        <v>69</v>
      </c>
      <c r="B29" s="296">
        <f t="shared" ref="B29:G29" si="4">IFERROR(((B23/B17)^(1/6)-1)*100,"..")</f>
        <v>-3.9377101130845915</v>
      </c>
      <c r="C29" s="296">
        <f t="shared" si="4"/>
        <v>-3.6523485179797976</v>
      </c>
      <c r="D29" s="296">
        <f t="shared" si="4"/>
        <v>-2.6539999364336486</v>
      </c>
      <c r="E29" s="296">
        <f t="shared" si="4"/>
        <v>-4.9217178400145167</v>
      </c>
      <c r="F29" s="296">
        <f t="shared" si="4"/>
        <v>-6.2988840272180653</v>
      </c>
      <c r="G29" s="296">
        <f t="shared" si="4"/>
        <v>-1.7891429492171596</v>
      </c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</row>
    <row r="30" spans="1:24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</row>
    <row r="31" spans="1:24">
      <c r="A31" s="448" t="s">
        <v>617</v>
      </c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</row>
    <row r="32" spans="1:24">
      <c r="A32" s="297" t="s">
        <v>448</v>
      </c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</row>
    <row r="33" spans="1:24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</row>
    <row r="34" spans="1:24">
      <c r="A34" s="475" t="s">
        <v>493</v>
      </c>
      <c r="B34" s="475"/>
      <c r="C34" s="475"/>
      <c r="D34" s="475"/>
      <c r="E34" s="475"/>
      <c r="F34" s="475"/>
      <c r="G34" s="475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</row>
    <row r="35" spans="1:24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</row>
    <row r="36" spans="1:24">
      <c r="B36" s="461" t="s">
        <v>132</v>
      </c>
      <c r="C36" s="461"/>
      <c r="D36" s="461"/>
      <c r="E36" s="461"/>
      <c r="F36" s="461"/>
      <c r="G36" s="461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</row>
    <row r="37" spans="1:24" ht="30">
      <c r="B37" s="294" t="s">
        <v>8</v>
      </c>
      <c r="C37" s="146" t="s">
        <v>441</v>
      </c>
      <c r="D37" s="146" t="s">
        <v>248</v>
      </c>
      <c r="E37" s="146" t="s">
        <v>249</v>
      </c>
      <c r="F37" s="146" t="s">
        <v>442</v>
      </c>
      <c r="G37" s="146" t="s">
        <v>443</v>
      </c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</row>
    <row r="38" spans="1:24">
      <c r="A38" s="223">
        <v>1997</v>
      </c>
      <c r="B38" s="408" t="s">
        <v>9</v>
      </c>
      <c r="C38" s="408">
        <v>29362</v>
      </c>
      <c r="D38" s="408">
        <v>69217</v>
      </c>
      <c r="E38" s="408" t="s">
        <v>9</v>
      </c>
      <c r="F38" s="408" t="s">
        <v>9</v>
      </c>
      <c r="G38" s="408" t="s">
        <v>9</v>
      </c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</row>
    <row r="39" spans="1:24">
      <c r="A39" s="223">
        <v>1998</v>
      </c>
      <c r="B39" s="190">
        <f t="shared" ref="B39:B54" si="5">C39+D39+E39</f>
        <v>165510</v>
      </c>
      <c r="C39" s="408">
        <v>32994</v>
      </c>
      <c r="D39" s="408">
        <v>69418</v>
      </c>
      <c r="E39" s="408">
        <v>63098</v>
      </c>
      <c r="F39" s="408">
        <v>41043</v>
      </c>
      <c r="G39" s="408">
        <v>22055</v>
      </c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</row>
    <row r="40" spans="1:24">
      <c r="A40" s="223">
        <v>1999</v>
      </c>
      <c r="B40" s="190">
        <f t="shared" si="5"/>
        <v>170295</v>
      </c>
      <c r="C40" s="408">
        <v>34853</v>
      </c>
      <c r="D40" s="408">
        <v>73822</v>
      </c>
      <c r="E40" s="408">
        <v>61620</v>
      </c>
      <c r="F40" s="408">
        <v>39230</v>
      </c>
      <c r="G40" s="408">
        <v>22390</v>
      </c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</row>
    <row r="41" spans="1:24">
      <c r="A41" s="223">
        <v>2000</v>
      </c>
      <c r="B41" s="190">
        <f t="shared" si="5"/>
        <v>175860</v>
      </c>
      <c r="C41" s="408">
        <v>31719</v>
      </c>
      <c r="D41" s="408">
        <v>81364</v>
      </c>
      <c r="E41" s="408">
        <v>62777</v>
      </c>
      <c r="F41" s="408">
        <v>40434</v>
      </c>
      <c r="G41" s="408">
        <v>22343</v>
      </c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</row>
    <row r="42" spans="1:24">
      <c r="A42" s="223">
        <v>2001</v>
      </c>
      <c r="B42" s="190">
        <f t="shared" si="5"/>
        <v>164149</v>
      </c>
      <c r="C42" s="408">
        <v>27756</v>
      </c>
      <c r="D42" s="408">
        <v>77455</v>
      </c>
      <c r="E42" s="408">
        <v>58938</v>
      </c>
      <c r="F42" s="408">
        <v>37742</v>
      </c>
      <c r="G42" s="408">
        <v>21196</v>
      </c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</row>
    <row r="43" spans="1:24">
      <c r="A43" s="223">
        <v>2002</v>
      </c>
      <c r="B43" s="190">
        <f t="shared" si="5"/>
        <v>160178</v>
      </c>
      <c r="C43" s="408">
        <v>26752</v>
      </c>
      <c r="D43" s="408">
        <v>78199</v>
      </c>
      <c r="E43" s="408">
        <v>55227</v>
      </c>
      <c r="F43" s="408">
        <v>34668</v>
      </c>
      <c r="G43" s="408">
        <v>20559</v>
      </c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</row>
    <row r="44" spans="1:24">
      <c r="A44" s="223">
        <v>2003</v>
      </c>
      <c r="B44" s="190">
        <f t="shared" si="5"/>
        <v>158534</v>
      </c>
      <c r="C44" s="408">
        <v>27466</v>
      </c>
      <c r="D44" s="408">
        <v>77789</v>
      </c>
      <c r="E44" s="408">
        <v>53279</v>
      </c>
      <c r="F44" s="408">
        <v>33737</v>
      </c>
      <c r="G44" s="408">
        <v>19541</v>
      </c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</row>
    <row r="45" spans="1:24">
      <c r="A45" s="223">
        <v>2004</v>
      </c>
      <c r="B45" s="190">
        <f t="shared" si="5"/>
        <v>153493</v>
      </c>
      <c r="C45" s="408">
        <v>27670</v>
      </c>
      <c r="D45" s="408">
        <v>72226</v>
      </c>
      <c r="E45" s="408">
        <v>53597</v>
      </c>
      <c r="F45" s="408">
        <v>34064</v>
      </c>
      <c r="G45" s="408">
        <v>19534</v>
      </c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</row>
    <row r="46" spans="1:24">
      <c r="A46" s="223">
        <v>2005</v>
      </c>
      <c r="B46" s="190">
        <f t="shared" si="5"/>
        <v>154205</v>
      </c>
      <c r="C46" s="408">
        <v>27328</v>
      </c>
      <c r="D46" s="408">
        <v>69440</v>
      </c>
      <c r="E46" s="408">
        <v>57437</v>
      </c>
      <c r="F46" s="408">
        <v>38462</v>
      </c>
      <c r="G46" s="408">
        <v>18975</v>
      </c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</row>
    <row r="47" spans="1:24">
      <c r="A47" s="223">
        <v>2006</v>
      </c>
      <c r="B47" s="190">
        <f t="shared" si="5"/>
        <v>145504</v>
      </c>
      <c r="C47" s="408">
        <v>26948</v>
      </c>
      <c r="D47" s="408">
        <v>63264</v>
      </c>
      <c r="E47" s="408">
        <v>55292</v>
      </c>
      <c r="F47" s="408">
        <v>37581</v>
      </c>
      <c r="G47" s="408">
        <v>17711</v>
      </c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</row>
    <row r="48" spans="1:24">
      <c r="A48" s="223">
        <v>2007</v>
      </c>
      <c r="B48" s="190">
        <f t="shared" si="5"/>
        <v>133913</v>
      </c>
      <c r="C48" s="408">
        <v>24271</v>
      </c>
      <c r="D48" s="408">
        <v>56283</v>
      </c>
      <c r="E48" s="408">
        <v>53359</v>
      </c>
      <c r="F48" s="408">
        <v>33219</v>
      </c>
      <c r="G48" s="408">
        <v>20140</v>
      </c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</row>
    <row r="49" spans="1:24">
      <c r="A49" s="223">
        <v>2008</v>
      </c>
      <c r="B49" s="190">
        <f t="shared" si="5"/>
        <v>125184</v>
      </c>
      <c r="C49" s="408">
        <v>25163</v>
      </c>
      <c r="D49" s="408">
        <v>51263</v>
      </c>
      <c r="E49" s="408">
        <v>48758</v>
      </c>
      <c r="F49" s="408">
        <v>29863</v>
      </c>
      <c r="G49" s="408">
        <v>18895</v>
      </c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</row>
    <row r="50" spans="1:24">
      <c r="A50" s="223">
        <v>2009</v>
      </c>
      <c r="B50" s="190">
        <f t="shared" si="5"/>
        <v>113642</v>
      </c>
      <c r="C50" s="408">
        <v>24264</v>
      </c>
      <c r="D50" s="408">
        <v>46998</v>
      </c>
      <c r="E50" s="408">
        <v>42380</v>
      </c>
      <c r="F50" s="408">
        <v>24996</v>
      </c>
      <c r="G50" s="408">
        <v>17383</v>
      </c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</row>
    <row r="51" spans="1:24">
      <c r="A51" s="223">
        <v>2010</v>
      </c>
      <c r="B51" s="190">
        <f t="shared" si="5"/>
        <v>113770</v>
      </c>
      <c r="C51" s="408">
        <v>17152</v>
      </c>
      <c r="D51" s="408">
        <v>51951</v>
      </c>
      <c r="E51" s="408">
        <v>44667</v>
      </c>
      <c r="F51" s="408">
        <v>25245</v>
      </c>
      <c r="G51" s="408">
        <v>19423</v>
      </c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</row>
    <row r="52" spans="1:24">
      <c r="A52" s="223">
        <v>2011</v>
      </c>
      <c r="B52" s="190">
        <f t="shared" si="5"/>
        <v>108654</v>
      </c>
      <c r="C52" s="408">
        <v>22402</v>
      </c>
      <c r="D52" s="408">
        <v>48788</v>
      </c>
      <c r="E52" s="408">
        <v>37464</v>
      </c>
      <c r="F52" s="408">
        <v>21554</v>
      </c>
      <c r="G52" s="408">
        <v>15910</v>
      </c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</row>
    <row r="53" spans="1:24">
      <c r="A53" s="223">
        <v>2012</v>
      </c>
      <c r="B53" s="190">
        <f t="shared" si="5"/>
        <v>98117</v>
      </c>
      <c r="C53" s="408">
        <v>16983</v>
      </c>
      <c r="D53" s="408">
        <v>43768</v>
      </c>
      <c r="E53" s="408">
        <v>37366</v>
      </c>
      <c r="F53" s="408">
        <v>22021</v>
      </c>
      <c r="G53" s="408">
        <v>15345</v>
      </c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</row>
    <row r="54" spans="1:24">
      <c r="A54" s="223">
        <v>2013</v>
      </c>
      <c r="B54" s="190">
        <f t="shared" si="5"/>
        <v>95221</v>
      </c>
      <c r="C54" s="408">
        <v>14439</v>
      </c>
      <c r="D54" s="408">
        <v>44764</v>
      </c>
      <c r="E54" s="408">
        <v>36018</v>
      </c>
      <c r="F54" s="408">
        <v>21017</v>
      </c>
      <c r="G54" s="408">
        <v>15001</v>
      </c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</row>
    <row r="55" spans="1:24">
      <c r="A55" s="223"/>
      <c r="B55" s="190"/>
      <c r="C55" s="190"/>
      <c r="D55" s="190"/>
      <c r="E55" s="190"/>
      <c r="F55" s="190"/>
      <c r="G55" s="190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</row>
    <row r="56" spans="1:24">
      <c r="A56" s="223" t="s">
        <v>32</v>
      </c>
      <c r="B56" s="190"/>
      <c r="C56" s="190"/>
      <c r="D56" s="190"/>
      <c r="E56" s="190"/>
      <c r="F56" s="190"/>
      <c r="G56" s="190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</row>
    <row r="57" spans="1:24">
      <c r="A57" s="295" t="s">
        <v>444</v>
      </c>
      <c r="B57" s="296" t="str">
        <f t="shared" ref="B57:G57" si="6">IFERROR(((B54/B38)^(1/16)-1)*100,"..")</f>
        <v>..</v>
      </c>
      <c r="C57" s="296">
        <f t="shared" si="6"/>
        <v>-4.3390988699052224</v>
      </c>
      <c r="D57" s="296">
        <f t="shared" si="6"/>
        <v>-2.6872474125196444</v>
      </c>
      <c r="E57" s="296" t="str">
        <f t="shared" si="6"/>
        <v>..</v>
      </c>
      <c r="F57" s="296" t="str">
        <f t="shared" si="6"/>
        <v>..</v>
      </c>
      <c r="G57" s="296" t="str">
        <f t="shared" si="6"/>
        <v>..</v>
      </c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</row>
    <row r="58" spans="1:24">
      <c r="A58" s="295" t="s">
        <v>15</v>
      </c>
      <c r="B58" s="296">
        <f t="shared" ref="B58:G58" si="7">IFERROR(((B54/B41)^(1/13)-1)*100,"..")</f>
        <v>-4.6095161912709575</v>
      </c>
      <c r="C58" s="296">
        <f t="shared" si="7"/>
        <v>-5.8741202395248271</v>
      </c>
      <c r="D58" s="296">
        <f t="shared" si="7"/>
        <v>-4.4923411017426362</v>
      </c>
      <c r="E58" s="296">
        <f t="shared" si="7"/>
        <v>-4.1835831729424839</v>
      </c>
      <c r="F58" s="296">
        <f t="shared" si="7"/>
        <v>-4.9088041513876579</v>
      </c>
      <c r="G58" s="296">
        <f t="shared" si="7"/>
        <v>-3.0181038084284961</v>
      </c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</row>
    <row r="59" spans="1:24">
      <c r="A59" s="295" t="s">
        <v>68</v>
      </c>
      <c r="B59" s="296">
        <f t="shared" ref="B59:G59" si="8">IFERROR(((B48/B41)^(1/7)-1)*100,"..")</f>
        <v>-3.81803018069653</v>
      </c>
      <c r="C59" s="296">
        <f t="shared" si="8"/>
        <v>-3.7511709243974289</v>
      </c>
      <c r="D59" s="296">
        <f t="shared" si="8"/>
        <v>-5.1286692481944174</v>
      </c>
      <c r="E59" s="296">
        <f t="shared" si="8"/>
        <v>-2.2953342247502895</v>
      </c>
      <c r="F59" s="296">
        <f t="shared" si="8"/>
        <v>-2.7687895156675579</v>
      </c>
      <c r="G59" s="296">
        <f t="shared" si="8"/>
        <v>-1.471989948523722</v>
      </c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</row>
    <row r="60" spans="1:24">
      <c r="A60" s="295" t="s">
        <v>69</v>
      </c>
      <c r="B60" s="296">
        <f t="shared" ref="B60:G60" si="9">IFERROR(((B54/B48)^(1/6)-1)*100,"..")</f>
        <v>-5.5246883759227261</v>
      </c>
      <c r="C60" s="296">
        <f t="shared" si="9"/>
        <v>-8.2917848813006785</v>
      </c>
      <c r="D60" s="296">
        <f t="shared" si="9"/>
        <v>-3.7445619436016875</v>
      </c>
      <c r="E60" s="296">
        <f t="shared" si="9"/>
        <v>-6.3404675793389149</v>
      </c>
      <c r="F60" s="296">
        <f t="shared" si="9"/>
        <v>-7.3460309094066423</v>
      </c>
      <c r="G60" s="296">
        <f t="shared" si="9"/>
        <v>-4.7912658974083477</v>
      </c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</row>
    <row r="61" spans="1:24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</row>
    <row r="62" spans="1:24">
      <c r="A62" s="448" t="s">
        <v>617</v>
      </c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</row>
    <row r="63" spans="1:24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</row>
    <row r="64" spans="1:24">
      <c r="A64" s="475" t="s">
        <v>495</v>
      </c>
      <c r="B64" s="475"/>
      <c r="C64" s="475"/>
      <c r="D64" s="475"/>
      <c r="E64" s="475"/>
      <c r="F64" s="475"/>
      <c r="G64" s="475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</row>
    <row r="65" spans="1:24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</row>
    <row r="66" spans="1:24">
      <c r="B66" s="461" t="s">
        <v>132</v>
      </c>
      <c r="C66" s="461"/>
      <c r="D66" s="461"/>
      <c r="E66" s="461"/>
      <c r="F66" s="461"/>
      <c r="G66" s="461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</row>
    <row r="67" spans="1:24" ht="30">
      <c r="B67" s="301" t="s">
        <v>8</v>
      </c>
      <c r="C67" s="146" t="s">
        <v>441</v>
      </c>
      <c r="D67" s="146" t="s">
        <v>248</v>
      </c>
      <c r="E67" s="146" t="s">
        <v>249</v>
      </c>
      <c r="F67" s="146" t="s">
        <v>442</v>
      </c>
      <c r="G67" s="146" t="s">
        <v>443</v>
      </c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</row>
    <row r="68" spans="1:24">
      <c r="A68" s="223">
        <v>1997</v>
      </c>
      <c r="B68" s="302" t="s">
        <v>10</v>
      </c>
      <c r="C68" s="302">
        <v>534.4</v>
      </c>
      <c r="D68" s="302">
        <v>2001</v>
      </c>
      <c r="E68" s="302" t="s">
        <v>10</v>
      </c>
      <c r="F68" s="302" t="s">
        <v>10</v>
      </c>
      <c r="G68" s="302" t="s">
        <v>10</v>
      </c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</row>
    <row r="69" spans="1:24">
      <c r="A69" s="223">
        <v>1998</v>
      </c>
      <c r="B69" s="302">
        <v>5975.4</v>
      </c>
      <c r="C69" s="302">
        <v>613.79999999999995</v>
      </c>
      <c r="D69" s="302">
        <v>2155.6999999999998</v>
      </c>
      <c r="E69" s="302">
        <v>3205.9</v>
      </c>
      <c r="F69" s="302">
        <v>2051.1</v>
      </c>
      <c r="G69" s="302">
        <v>1214.4000000000001</v>
      </c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</row>
    <row r="70" spans="1:24">
      <c r="A70" s="223">
        <v>1999</v>
      </c>
      <c r="B70" s="302">
        <v>6239.5999999999995</v>
      </c>
      <c r="C70" s="302">
        <v>682.7</v>
      </c>
      <c r="D70" s="302">
        <v>2242.6999999999998</v>
      </c>
      <c r="E70" s="302">
        <v>3314.2</v>
      </c>
      <c r="F70" s="302">
        <v>2085.1</v>
      </c>
      <c r="G70" s="302">
        <v>1320.8</v>
      </c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</row>
    <row r="71" spans="1:24">
      <c r="A71" s="223">
        <v>2000</v>
      </c>
      <c r="B71" s="302">
        <v>6668.6</v>
      </c>
      <c r="C71" s="302">
        <v>866.7</v>
      </c>
      <c r="D71" s="302">
        <v>2417.8000000000002</v>
      </c>
      <c r="E71" s="302">
        <v>3384.1</v>
      </c>
      <c r="F71" s="302">
        <v>2275.8000000000002</v>
      </c>
      <c r="G71" s="302">
        <v>1073.3</v>
      </c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</row>
    <row r="72" spans="1:24">
      <c r="A72" s="223">
        <v>2001</v>
      </c>
      <c r="B72" s="302">
        <v>6869.1</v>
      </c>
      <c r="C72" s="302">
        <v>893.3</v>
      </c>
      <c r="D72" s="302">
        <v>2612.9</v>
      </c>
      <c r="E72" s="302">
        <v>3362.9</v>
      </c>
      <c r="F72" s="302">
        <v>2242.9</v>
      </c>
      <c r="G72" s="302">
        <v>1101.4000000000001</v>
      </c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</row>
    <row r="73" spans="1:24">
      <c r="A73" s="223">
        <v>2002</v>
      </c>
      <c r="B73" s="302">
        <v>7271.6</v>
      </c>
      <c r="C73" s="302">
        <v>909</v>
      </c>
      <c r="D73" s="302">
        <v>2857.2</v>
      </c>
      <c r="E73" s="302">
        <v>3505.4</v>
      </c>
      <c r="F73" s="302">
        <v>2298.5</v>
      </c>
      <c r="G73" s="302">
        <v>1213.4000000000001</v>
      </c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</row>
    <row r="74" spans="1:24">
      <c r="A74" s="223">
        <v>2003</v>
      </c>
      <c r="B74" s="302">
        <v>6968.5</v>
      </c>
      <c r="C74" s="302">
        <v>846.3</v>
      </c>
      <c r="D74" s="302">
        <v>2769.7</v>
      </c>
      <c r="E74" s="302">
        <v>3352.5</v>
      </c>
      <c r="F74" s="302">
        <v>2197.1</v>
      </c>
      <c r="G74" s="302">
        <v>1162.5999999999999</v>
      </c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</row>
    <row r="75" spans="1:24">
      <c r="A75" s="223">
        <v>2004</v>
      </c>
      <c r="B75" s="302">
        <v>6685.4</v>
      </c>
      <c r="C75" s="302">
        <v>963.7</v>
      </c>
      <c r="D75" s="302">
        <v>2594.1999999999998</v>
      </c>
      <c r="E75" s="302">
        <v>3127.5</v>
      </c>
      <c r="F75" s="302">
        <v>1956.2</v>
      </c>
      <c r="G75" s="302">
        <v>1198.3</v>
      </c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</row>
    <row r="76" spans="1:24">
      <c r="A76" s="223">
        <v>2005</v>
      </c>
      <c r="B76" s="302">
        <v>7214.2</v>
      </c>
      <c r="C76" s="302">
        <v>1039.7</v>
      </c>
      <c r="D76" s="302">
        <v>2857.8</v>
      </c>
      <c r="E76" s="302">
        <v>3316.7</v>
      </c>
      <c r="F76" s="302">
        <v>2200.6</v>
      </c>
      <c r="G76" s="302">
        <v>1117.3</v>
      </c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</row>
    <row r="77" spans="1:24">
      <c r="A77" s="223">
        <v>2006</v>
      </c>
      <c r="B77" s="302">
        <v>6998.4000000000005</v>
      </c>
      <c r="C77" s="302">
        <v>979.3</v>
      </c>
      <c r="D77" s="302">
        <v>2855.8</v>
      </c>
      <c r="E77" s="302">
        <v>3163.3</v>
      </c>
      <c r="F77" s="302">
        <v>2117.9</v>
      </c>
      <c r="G77" s="302">
        <v>1042</v>
      </c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</row>
    <row r="78" spans="1:24">
      <c r="A78" s="223">
        <v>2007</v>
      </c>
      <c r="B78" s="302">
        <v>6550.6</v>
      </c>
      <c r="C78" s="302">
        <v>870.5</v>
      </c>
      <c r="D78" s="302">
        <v>2562.9</v>
      </c>
      <c r="E78" s="302">
        <v>3117.2</v>
      </c>
      <c r="F78" s="302">
        <v>2066.3000000000002</v>
      </c>
      <c r="G78" s="302">
        <v>1050.9000000000001</v>
      </c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</row>
    <row r="79" spans="1:24">
      <c r="A79" s="223">
        <v>2008</v>
      </c>
      <c r="B79" s="302">
        <v>6239</v>
      </c>
      <c r="C79" s="302">
        <v>864.6</v>
      </c>
      <c r="D79" s="302">
        <v>2444.9</v>
      </c>
      <c r="E79" s="302">
        <v>2929.5</v>
      </c>
      <c r="F79" s="302">
        <v>1873.9</v>
      </c>
      <c r="G79" s="302">
        <v>1055.3</v>
      </c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</row>
    <row r="80" spans="1:24">
      <c r="A80" s="223">
        <v>2009</v>
      </c>
      <c r="B80" s="302">
        <v>5567.1</v>
      </c>
      <c r="C80" s="302">
        <v>790</v>
      </c>
      <c r="D80" s="302">
        <v>2132.4</v>
      </c>
      <c r="E80" s="302">
        <v>2644.7</v>
      </c>
      <c r="F80" s="302">
        <v>1606.4</v>
      </c>
      <c r="G80" s="302">
        <v>1042.9000000000001</v>
      </c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</row>
    <row r="81" spans="1:24">
      <c r="A81" s="223">
        <v>2010</v>
      </c>
      <c r="B81" s="302">
        <v>5831.7</v>
      </c>
      <c r="C81" s="302">
        <v>871.2</v>
      </c>
      <c r="D81" s="302">
        <v>2219.5</v>
      </c>
      <c r="E81" s="302">
        <v>2741</v>
      </c>
      <c r="F81" s="302">
        <v>1747.5</v>
      </c>
      <c r="G81" s="302">
        <v>991.8</v>
      </c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</row>
    <row r="82" spans="1:24">
      <c r="A82" s="223">
        <v>2011</v>
      </c>
      <c r="B82" s="302">
        <v>5771.7000000000007</v>
      </c>
      <c r="C82" s="302">
        <v>900.9</v>
      </c>
      <c r="D82" s="302">
        <v>2228.3000000000002</v>
      </c>
      <c r="E82" s="302">
        <v>2642.5</v>
      </c>
      <c r="F82" s="302">
        <v>1726.6</v>
      </c>
      <c r="G82" s="302">
        <v>912.8</v>
      </c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</row>
    <row r="83" spans="1:24">
      <c r="A83" s="223">
        <v>2012</v>
      </c>
      <c r="B83" s="302">
        <f t="shared" ref="B83" si="10">C83+D83+E83</f>
        <v>5624.6</v>
      </c>
      <c r="C83" s="302">
        <v>901.6</v>
      </c>
      <c r="D83" s="302">
        <v>2258.4</v>
      </c>
      <c r="E83" s="302">
        <v>2464.6</v>
      </c>
      <c r="F83" s="302">
        <v>1629.5</v>
      </c>
      <c r="G83" s="302">
        <v>832.1</v>
      </c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</row>
    <row r="84" spans="1:24">
      <c r="A84" s="223">
        <v>2013</v>
      </c>
      <c r="B84" s="302">
        <f>C84+D84+E84</f>
        <v>5809.1</v>
      </c>
      <c r="C84" s="302">
        <v>917.1</v>
      </c>
      <c r="D84" s="302">
        <v>2436.1999999999998</v>
      </c>
      <c r="E84" s="302">
        <v>2455.8000000000002</v>
      </c>
      <c r="F84" s="302">
        <v>1629.1</v>
      </c>
      <c r="G84" s="302">
        <v>823.7</v>
      </c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</row>
    <row r="85" spans="1:24">
      <c r="A85" s="223"/>
      <c r="B85" s="302"/>
      <c r="C85" s="302"/>
      <c r="D85" s="302"/>
      <c r="E85" s="302"/>
      <c r="F85" s="302"/>
      <c r="G85" s="302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</row>
    <row r="86" spans="1:24">
      <c r="A86" s="223" t="s">
        <v>32</v>
      </c>
      <c r="B86" s="302"/>
      <c r="C86" s="302"/>
      <c r="D86" s="302"/>
      <c r="E86" s="302"/>
      <c r="F86" s="302"/>
      <c r="G86" s="302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</row>
    <row r="87" spans="1:24">
      <c r="A87" s="295" t="s">
        <v>444</v>
      </c>
      <c r="B87" s="296" t="str">
        <f t="shared" ref="B87:G87" si="11">IFERROR(((B84/B68)^(1/16)-1)*100,"..")</f>
        <v>..</v>
      </c>
      <c r="C87" s="296">
        <f t="shared" si="11"/>
        <v>3.4330640616295316</v>
      </c>
      <c r="D87" s="296">
        <f t="shared" si="11"/>
        <v>1.2375474759052985</v>
      </c>
      <c r="E87" s="296" t="str">
        <f t="shared" si="11"/>
        <v>..</v>
      </c>
      <c r="F87" s="296" t="str">
        <f t="shared" si="11"/>
        <v>..</v>
      </c>
      <c r="G87" s="296" t="str">
        <f t="shared" si="11"/>
        <v>..</v>
      </c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</row>
    <row r="88" spans="1:24">
      <c r="A88" s="295" t="s">
        <v>15</v>
      </c>
      <c r="B88" s="296">
        <f t="shared" ref="B88:G88" si="12">IFERROR(((B84/B71)^(1/13)-1)*100,"..")</f>
        <v>-1.0558044506406739</v>
      </c>
      <c r="C88" s="296">
        <f t="shared" si="12"/>
        <v>0.4357437018724708</v>
      </c>
      <c r="D88" s="296">
        <f t="shared" si="12"/>
        <v>5.8335566253742144E-2</v>
      </c>
      <c r="E88" s="296">
        <f t="shared" si="12"/>
        <v>-2.4362585327697306</v>
      </c>
      <c r="F88" s="296">
        <f t="shared" si="12"/>
        <v>-2.5387854339564808</v>
      </c>
      <c r="G88" s="296">
        <f t="shared" si="12"/>
        <v>-2.015465534661165</v>
      </c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</row>
    <row r="89" spans="1:24">
      <c r="A89" s="295" t="s">
        <v>68</v>
      </c>
      <c r="B89" s="296">
        <f t="shared" ref="B89:G89" si="13">IFERROR(((B78/B71)^(1/7)-1)*100,"..")</f>
        <v>-0.2547220932956118</v>
      </c>
      <c r="C89" s="296">
        <f t="shared" si="13"/>
        <v>6.2517577924459111E-2</v>
      </c>
      <c r="D89" s="296">
        <f t="shared" si="13"/>
        <v>0.83606702478753459</v>
      </c>
      <c r="E89" s="296">
        <f t="shared" si="13"/>
        <v>-1.1667518838158975</v>
      </c>
      <c r="F89" s="296">
        <f t="shared" si="13"/>
        <v>-1.370128127303949</v>
      </c>
      <c r="G89" s="296">
        <f t="shared" si="13"/>
        <v>-0.30084760981717862</v>
      </c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</row>
    <row r="90" spans="1:24">
      <c r="A90" s="295" t="s">
        <v>69</v>
      </c>
      <c r="B90" s="296">
        <f t="shared" ref="B90:G90" si="14">IFERROR(((B84/B78)^(1/6)-1)*100,"..")</f>
        <v>-1.9822726643278776</v>
      </c>
      <c r="C90" s="296">
        <f t="shared" si="14"/>
        <v>0.87293401279902039</v>
      </c>
      <c r="D90" s="296">
        <f t="shared" si="14"/>
        <v>-0.84143960489473368</v>
      </c>
      <c r="E90" s="296">
        <f t="shared" si="14"/>
        <v>-3.8967544747670391</v>
      </c>
      <c r="F90" s="296">
        <f t="shared" si="14"/>
        <v>-3.8847290273695045</v>
      </c>
      <c r="G90" s="296">
        <f t="shared" si="14"/>
        <v>-3.9786194723289148</v>
      </c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</row>
    <row r="91" spans="1:24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</row>
    <row r="92" spans="1:24">
      <c r="A92" s="297" t="s">
        <v>449</v>
      </c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</row>
    <row r="93" spans="1:24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</row>
    <row r="94" spans="1:24">
      <c r="A94" s="475" t="s">
        <v>494</v>
      </c>
      <c r="B94" s="475"/>
      <c r="C94" s="475"/>
      <c r="D94" s="475"/>
      <c r="E94" s="475"/>
      <c r="F94" s="475"/>
      <c r="G94" s="475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</row>
    <row r="95" spans="1:24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</row>
    <row r="96" spans="1:24">
      <c r="B96" s="461" t="s">
        <v>132</v>
      </c>
      <c r="C96" s="461"/>
      <c r="D96" s="461"/>
      <c r="E96" s="461"/>
      <c r="F96" s="461"/>
      <c r="G96" s="461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</row>
    <row r="97" spans="1:24" ht="30">
      <c r="B97" s="301" t="s">
        <v>8</v>
      </c>
      <c r="C97" s="146" t="s">
        <v>441</v>
      </c>
      <c r="D97" s="146" t="s">
        <v>248</v>
      </c>
      <c r="E97" s="146" t="s">
        <v>249</v>
      </c>
      <c r="F97" s="146" t="s">
        <v>442</v>
      </c>
      <c r="G97" s="146" t="s">
        <v>443</v>
      </c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</row>
    <row r="98" spans="1:24">
      <c r="A98" s="223">
        <v>1997</v>
      </c>
      <c r="B98" s="296" t="str">
        <f t="shared" ref="B98:G107" si="15">IFERROR(B7/B68/1000,"..")</f>
        <v>..</v>
      </c>
      <c r="C98" s="296">
        <f t="shared" si="15"/>
        <v>0.98591317365269471</v>
      </c>
      <c r="D98" s="296">
        <f t="shared" si="15"/>
        <v>0.63675012493753125</v>
      </c>
      <c r="E98" s="296" t="str">
        <f t="shared" si="15"/>
        <v>..</v>
      </c>
      <c r="F98" s="296" t="str">
        <f t="shared" si="15"/>
        <v>..</v>
      </c>
      <c r="G98" s="296" t="str">
        <f t="shared" si="15"/>
        <v>..</v>
      </c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</row>
    <row r="99" spans="1:24">
      <c r="A99" s="223">
        <v>1998</v>
      </c>
      <c r="B99" s="296">
        <f t="shared" si="15"/>
        <v>0.65929828965424919</v>
      </c>
      <c r="C99" s="296">
        <f t="shared" si="15"/>
        <v>0.9315004887585534</v>
      </c>
      <c r="D99" s="296">
        <f t="shared" si="15"/>
        <v>0.62747831330890202</v>
      </c>
      <c r="E99" s="296">
        <f t="shared" si="15"/>
        <v>0.62857887020805392</v>
      </c>
      <c r="F99" s="296">
        <f t="shared" si="15"/>
        <v>0.71191311978938132</v>
      </c>
      <c r="G99" s="296">
        <f t="shared" si="15"/>
        <v>0.45697957839262182</v>
      </c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</row>
    <row r="100" spans="1:24">
      <c r="A100" s="223">
        <v>1999</v>
      </c>
      <c r="B100" s="296">
        <f t="shared" si="15"/>
        <v>0.66747371626386309</v>
      </c>
      <c r="C100" s="296">
        <f t="shared" si="15"/>
        <v>0.86572286509447771</v>
      </c>
      <c r="D100" s="296">
        <f t="shared" si="15"/>
        <v>0.6912391314041112</v>
      </c>
      <c r="E100" s="296">
        <f t="shared" si="15"/>
        <v>0.61055397984430637</v>
      </c>
      <c r="F100" s="296">
        <f t="shared" si="15"/>
        <v>0.6927471104503381</v>
      </c>
      <c r="G100" s="296">
        <f t="shared" si="15"/>
        <v>0.43840929739551793</v>
      </c>
      <c r="H100" s="297"/>
      <c r="I100" s="297"/>
      <c r="J100" s="297"/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</row>
    <row r="101" spans="1:24">
      <c r="A101" s="223">
        <v>2000</v>
      </c>
      <c r="B101" s="296">
        <f t="shared" si="15"/>
        <v>0.66620310110068082</v>
      </c>
      <c r="C101" s="296">
        <f t="shared" si="15"/>
        <v>0.64319372331833391</v>
      </c>
      <c r="D101" s="296">
        <f t="shared" si="15"/>
        <v>0.75084911903383234</v>
      </c>
      <c r="E101" s="296">
        <f t="shared" si="15"/>
        <v>0.61161992848911084</v>
      </c>
      <c r="F101" s="296">
        <f t="shared" si="15"/>
        <v>0.63516609543896652</v>
      </c>
      <c r="G101" s="296">
        <f t="shared" si="15"/>
        <v>0.58163793906643069</v>
      </c>
      <c r="H101" s="297"/>
      <c r="I101" s="297"/>
      <c r="J101" s="297"/>
      <c r="K101" s="297"/>
      <c r="L101" s="297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</row>
    <row r="102" spans="1:24">
      <c r="A102" s="223">
        <v>2001</v>
      </c>
      <c r="B102" s="296">
        <f t="shared" si="15"/>
        <v>0.61916146220028823</v>
      </c>
      <c r="C102" s="296">
        <f t="shared" si="15"/>
        <v>0.59476995410276501</v>
      </c>
      <c r="D102" s="296">
        <f t="shared" si="15"/>
        <v>0.65961804891117148</v>
      </c>
      <c r="E102" s="296">
        <f t="shared" si="15"/>
        <v>0.59420678580986641</v>
      </c>
      <c r="F102" s="296">
        <f t="shared" si="15"/>
        <v>0.6126260644701057</v>
      </c>
      <c r="G102" s="296">
        <f t="shared" si="15"/>
        <v>0.56673234065734512</v>
      </c>
      <c r="H102" s="297"/>
      <c r="I102" s="297"/>
      <c r="J102" s="297"/>
      <c r="K102" s="297"/>
      <c r="L102" s="297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</row>
    <row r="103" spans="1:24">
      <c r="A103" s="223">
        <v>2002</v>
      </c>
      <c r="B103" s="296">
        <f t="shared" si="15"/>
        <v>0.61405729138016385</v>
      </c>
      <c r="C103" s="296">
        <f t="shared" si="15"/>
        <v>0.60722002200220027</v>
      </c>
      <c r="D103" s="296">
        <f t="shared" si="15"/>
        <v>0.63357272854542923</v>
      </c>
      <c r="E103" s="296">
        <f t="shared" si="15"/>
        <v>0.59992354652821356</v>
      </c>
      <c r="F103" s="296">
        <f t="shared" si="15"/>
        <v>0.64061822927996526</v>
      </c>
      <c r="G103" s="296">
        <f t="shared" si="15"/>
        <v>0.51962337234217904</v>
      </c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</row>
    <row r="104" spans="1:24">
      <c r="A104" s="223">
        <v>2003</v>
      </c>
      <c r="B104" s="296">
        <f t="shared" si="15"/>
        <v>0.64619961254215397</v>
      </c>
      <c r="C104" s="296">
        <f t="shared" si="15"/>
        <v>0.69161053999763678</v>
      </c>
      <c r="D104" s="296">
        <f t="shared" si="15"/>
        <v>0.64852150052352253</v>
      </c>
      <c r="E104" s="296">
        <f t="shared" si="15"/>
        <v>0.63281789709172254</v>
      </c>
      <c r="F104" s="296">
        <f t="shared" si="15"/>
        <v>0.68552409994993402</v>
      </c>
      <c r="G104" s="296">
        <f t="shared" si="15"/>
        <v>0.52929382418716675</v>
      </c>
      <c r="H104" s="297"/>
      <c r="I104" s="297"/>
      <c r="J104" s="297"/>
      <c r="K104" s="297"/>
      <c r="L104" s="297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</row>
    <row r="105" spans="1:24">
      <c r="A105" s="223">
        <v>2004</v>
      </c>
      <c r="B105" s="296">
        <f t="shared" si="15"/>
        <v>0.70182472252969164</v>
      </c>
      <c r="C105" s="296">
        <f t="shared" si="15"/>
        <v>0.63618449725018156</v>
      </c>
      <c r="D105" s="296">
        <f t="shared" si="15"/>
        <v>0.71501426258576828</v>
      </c>
      <c r="E105" s="296">
        <f t="shared" si="15"/>
        <v>0.71111047162270191</v>
      </c>
      <c r="F105" s="296">
        <f t="shared" si="15"/>
        <v>0.81271546876597478</v>
      </c>
      <c r="G105" s="296">
        <f t="shared" si="15"/>
        <v>0.52921972794792627</v>
      </c>
      <c r="H105" s="297"/>
      <c r="I105" s="297"/>
      <c r="J105" s="297"/>
      <c r="K105" s="297"/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</row>
    <row r="106" spans="1:24">
      <c r="A106" s="223">
        <v>2005</v>
      </c>
      <c r="B106" s="296">
        <f t="shared" si="15"/>
        <v>0.68503479249258403</v>
      </c>
      <c r="C106" s="296">
        <f t="shared" si="15"/>
        <v>0.61543810714629221</v>
      </c>
      <c r="D106" s="296">
        <f t="shared" si="15"/>
        <v>0.65567359507313316</v>
      </c>
      <c r="E106" s="296">
        <f t="shared" si="15"/>
        <v>0.73215033014743569</v>
      </c>
      <c r="F106" s="296">
        <f t="shared" si="15"/>
        <v>0.81209988185040449</v>
      </c>
      <c r="G106" s="296">
        <f t="shared" si="15"/>
        <v>0.57389778931352375</v>
      </c>
      <c r="H106" s="297"/>
      <c r="I106" s="297"/>
      <c r="J106" s="297"/>
      <c r="K106" s="297"/>
      <c r="L106" s="297"/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</row>
    <row r="107" spans="1:24">
      <c r="A107" s="223">
        <v>2006</v>
      </c>
      <c r="B107" s="296">
        <f t="shared" si="15"/>
        <v>0.68341249428440776</v>
      </c>
      <c r="C107" s="296">
        <f t="shared" si="15"/>
        <v>0.64817318492800979</v>
      </c>
      <c r="D107" s="296">
        <f t="shared" si="15"/>
        <v>0.6123093353876321</v>
      </c>
      <c r="E107" s="296">
        <f t="shared" si="15"/>
        <v>0.7585132614674549</v>
      </c>
      <c r="F107" s="296">
        <f t="shared" si="15"/>
        <v>0.84652155436989474</v>
      </c>
      <c r="G107" s="296">
        <f t="shared" si="15"/>
        <v>0.58210844529750472</v>
      </c>
      <c r="H107" s="297"/>
      <c r="I107" s="297"/>
      <c r="J107" s="297"/>
      <c r="K107" s="297"/>
      <c r="L107" s="297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</row>
    <row r="108" spans="1:24">
      <c r="A108" s="223">
        <v>2007</v>
      </c>
      <c r="B108" s="296">
        <f t="shared" ref="B108:G113" si="16">IFERROR(B17/B78/1000,"..")</f>
        <v>0.69109623545934717</v>
      </c>
      <c r="C108" s="296">
        <f t="shared" si="16"/>
        <v>0.69024238943136129</v>
      </c>
      <c r="D108" s="296">
        <f t="shared" si="16"/>
        <v>0.61314682586132896</v>
      </c>
      <c r="E108" s="296">
        <f t="shared" si="16"/>
        <v>0.75542313614782508</v>
      </c>
      <c r="F108" s="296">
        <f t="shared" si="16"/>
        <v>0.81963558050621876</v>
      </c>
      <c r="G108" s="296">
        <f t="shared" si="16"/>
        <v>0.62916738034066033</v>
      </c>
      <c r="H108" s="297"/>
      <c r="I108" s="297"/>
      <c r="J108" s="297"/>
      <c r="K108" s="297"/>
      <c r="L108" s="297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</row>
    <row r="109" spans="1:24">
      <c r="A109" s="223">
        <v>2008</v>
      </c>
      <c r="B109" s="296">
        <f t="shared" si="16"/>
        <v>0.69447972431479399</v>
      </c>
      <c r="C109" s="296">
        <f t="shared" si="16"/>
        <v>0.8099028452463567</v>
      </c>
      <c r="D109" s="296">
        <f t="shared" si="16"/>
        <v>0.58973086833817334</v>
      </c>
      <c r="E109" s="296">
        <f t="shared" si="16"/>
        <v>0.74783546680320878</v>
      </c>
      <c r="F109" s="296">
        <f t="shared" si="16"/>
        <v>0.82749399647793376</v>
      </c>
      <c r="G109" s="296">
        <f t="shared" si="16"/>
        <v>0.60659812375627786</v>
      </c>
      <c r="H109" s="297"/>
      <c r="I109" s="297"/>
      <c r="J109" s="297"/>
      <c r="K109" s="297"/>
      <c r="L109" s="297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</row>
    <row r="110" spans="1:24">
      <c r="A110" s="223">
        <v>2009</v>
      </c>
      <c r="B110" s="296">
        <f t="shared" si="16"/>
        <v>0.68852706076772463</v>
      </c>
      <c r="C110" s="296">
        <f t="shared" si="16"/>
        <v>0.8882721518987341</v>
      </c>
      <c r="D110" s="296">
        <f t="shared" si="16"/>
        <v>0.59301678859501028</v>
      </c>
      <c r="E110" s="296">
        <f t="shared" si="16"/>
        <v>0.70587023102809399</v>
      </c>
      <c r="F110" s="296">
        <f t="shared" si="16"/>
        <v>0.7664828187250996</v>
      </c>
      <c r="G110" s="296">
        <f t="shared" si="16"/>
        <v>0.60939495637165586</v>
      </c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</row>
    <row r="111" spans="1:24">
      <c r="A111" s="223">
        <v>2010</v>
      </c>
      <c r="B111" s="296">
        <f t="shared" si="16"/>
        <v>0.67064303719327134</v>
      </c>
      <c r="C111" s="296">
        <f t="shared" si="16"/>
        <v>0.62233126721763088</v>
      </c>
      <c r="D111" s="296">
        <f t="shared" si="16"/>
        <v>0.66505068709168735</v>
      </c>
      <c r="E111" s="296">
        <f t="shared" si="16"/>
        <v>0.69052681503101054</v>
      </c>
      <c r="F111" s="296">
        <f t="shared" si="16"/>
        <v>0.70273190271816888</v>
      </c>
      <c r="G111" s="296">
        <f t="shared" si="16"/>
        <v>0.67020568663036906</v>
      </c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</row>
    <row r="112" spans="1:24">
      <c r="A112" s="223">
        <v>2011</v>
      </c>
      <c r="B112" s="296">
        <f t="shared" si="16"/>
        <v>0.65553320512154123</v>
      </c>
      <c r="C112" s="296">
        <f t="shared" si="16"/>
        <v>0.67036075036075038</v>
      </c>
      <c r="D112" s="296">
        <f t="shared" si="16"/>
        <v>0.62471615132612301</v>
      </c>
      <c r="E112" s="296">
        <f t="shared" si="16"/>
        <v>0.67646471144749298</v>
      </c>
      <c r="F112" s="296">
        <f t="shared" si="16"/>
        <v>0.66979844781651809</v>
      </c>
      <c r="G112" s="296">
        <f t="shared" si="16"/>
        <v>0.6913716038562665</v>
      </c>
      <c r="H112" s="297"/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</row>
    <row r="113" spans="1:24">
      <c r="A113" s="223">
        <v>2012</v>
      </c>
      <c r="B113" s="296">
        <f t="shared" si="16"/>
        <v>0.65345820147210465</v>
      </c>
      <c r="C113" s="296">
        <f t="shared" si="16"/>
        <v>0.58126663708961845</v>
      </c>
      <c r="D113" s="296">
        <f t="shared" si="16"/>
        <v>0.59267534537725819</v>
      </c>
      <c r="E113" s="296">
        <f t="shared" si="16"/>
        <v>0.73556479753306825</v>
      </c>
      <c r="F113" s="296">
        <f t="shared" si="16"/>
        <v>0.74072169377109542</v>
      </c>
      <c r="G113" s="296">
        <f t="shared" si="16"/>
        <v>0.72811801466169923</v>
      </c>
      <c r="H113" s="297"/>
      <c r="I113" s="297"/>
      <c r="J113" s="297"/>
      <c r="K113" s="297"/>
      <c r="L113" s="297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</row>
    <row r="114" spans="1:24">
      <c r="A114" s="223">
        <v>2013</v>
      </c>
      <c r="B114" s="296">
        <f>IFERROR(B23/B84/1000,"..")</f>
        <v>0.61239038749548114</v>
      </c>
      <c r="C114" s="296">
        <f t="shared" ref="C114:G114" si="17">IFERROR(C23/C84/1000,"..")</f>
        <v>0.52408352415221893</v>
      </c>
      <c r="D114" s="296">
        <f t="shared" si="17"/>
        <v>0.54889828421311881</v>
      </c>
      <c r="E114" s="296">
        <f t="shared" si="17"/>
        <v>0.70835328609821635</v>
      </c>
      <c r="F114" s="296">
        <f t="shared" si="17"/>
        <v>0.70361487938125344</v>
      </c>
      <c r="G114" s="296">
        <f t="shared" si="17"/>
        <v>0.72030350855894132</v>
      </c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</row>
    <row r="115" spans="1:24">
      <c r="A115" s="223"/>
      <c r="B115" s="296"/>
      <c r="C115" s="296"/>
      <c r="D115" s="296"/>
      <c r="E115" s="296"/>
      <c r="F115" s="296"/>
      <c r="G115" s="296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</row>
    <row r="116" spans="1:24">
      <c r="A116" s="223" t="s">
        <v>32</v>
      </c>
      <c r="B116" s="296"/>
      <c r="C116" s="296"/>
      <c r="D116" s="296"/>
      <c r="E116" s="296"/>
      <c r="F116" s="296"/>
      <c r="G116" s="296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</row>
    <row r="117" spans="1:24">
      <c r="A117" s="295" t="s">
        <v>444</v>
      </c>
      <c r="B117" s="296" t="str">
        <f t="shared" ref="B117:G117" si="18">IFERROR(((B114/B98)^(1/16)-1)*100,"..")</f>
        <v>..</v>
      </c>
      <c r="C117" s="296">
        <f t="shared" si="18"/>
        <v>-3.8725072787949677</v>
      </c>
      <c r="D117" s="296">
        <f t="shared" si="18"/>
        <v>-0.92360928560178968</v>
      </c>
      <c r="E117" s="296" t="str">
        <f t="shared" si="18"/>
        <v>..</v>
      </c>
      <c r="F117" s="296" t="str">
        <f t="shared" si="18"/>
        <v>..</v>
      </c>
      <c r="G117" s="296" t="str">
        <f t="shared" si="18"/>
        <v>..</v>
      </c>
      <c r="H117" s="297"/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  <c r="S117" s="297"/>
      <c r="T117" s="297"/>
      <c r="U117" s="297"/>
      <c r="V117" s="297"/>
      <c r="W117" s="297"/>
      <c r="X117" s="297"/>
    </row>
    <row r="118" spans="1:24">
      <c r="A118" s="295" t="s">
        <v>15</v>
      </c>
      <c r="B118" s="296">
        <f t="shared" ref="B118:G118" si="19">IFERROR(((B114/B101)^(1/13)-1)*100,"..")</f>
        <v>-0.6457874139257469</v>
      </c>
      <c r="C118" s="296">
        <f t="shared" si="19"/>
        <v>-1.5630016502538813</v>
      </c>
      <c r="D118" s="296">
        <f t="shared" si="19"/>
        <v>-2.3811281297667186</v>
      </c>
      <c r="E118" s="296">
        <f t="shared" si="19"/>
        <v>1.1358788434019607</v>
      </c>
      <c r="F118" s="296">
        <f t="shared" si="19"/>
        <v>0.7903734579320254</v>
      </c>
      <c r="G118" s="296">
        <f t="shared" si="19"/>
        <v>1.6584052652808712</v>
      </c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</row>
    <row r="119" spans="1:24">
      <c r="A119" s="295" t="s">
        <v>68</v>
      </c>
      <c r="B119" s="296">
        <f t="shared" ref="B119:G119" si="20">IFERROR(((B108/B101)^(1/7)-1)*100,"..")</f>
        <v>0.52543995128861987</v>
      </c>
      <c r="C119" s="296">
        <f t="shared" si="20"/>
        <v>1.0136294218778819</v>
      </c>
      <c r="D119" s="296">
        <f t="shared" si="20"/>
        <v>-2.852806571055766</v>
      </c>
      <c r="E119" s="296">
        <f t="shared" si="20"/>
        <v>3.0626336788255992</v>
      </c>
      <c r="F119" s="296">
        <f t="shared" si="20"/>
        <v>3.7096266277109269</v>
      </c>
      <c r="G119" s="296">
        <f t="shared" si="20"/>
        <v>1.1284505119448118</v>
      </c>
      <c r="H119" s="297"/>
      <c r="I119" s="297"/>
      <c r="J119" s="297"/>
      <c r="K119" s="297"/>
      <c r="L119" s="297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</row>
    <row r="120" spans="1:24">
      <c r="A120" s="295" t="s">
        <v>69</v>
      </c>
      <c r="B120" s="296">
        <f t="shared" ref="B120:G120" si="21">IFERROR(((B114/B108)^(1/6)-1)*100,"..")</f>
        <v>-1.9949834605531125</v>
      </c>
      <c r="C120" s="296">
        <f t="shared" si="21"/>
        <v>-4.4861216490487461</v>
      </c>
      <c r="D120" s="296">
        <f t="shared" si="21"/>
        <v>-1.8279413540461142</v>
      </c>
      <c r="E120" s="296">
        <f t="shared" si="21"/>
        <v>-1.066523153974408</v>
      </c>
      <c r="F120" s="296">
        <f t="shared" si="21"/>
        <v>-2.5117288599602494</v>
      </c>
      <c r="G120" s="296">
        <f t="shared" si="21"/>
        <v>2.2801968801946071</v>
      </c>
      <c r="H120" s="297"/>
      <c r="I120" s="297"/>
      <c r="J120" s="297"/>
      <c r="K120" s="297"/>
      <c r="L120" s="297"/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</row>
    <row r="121" spans="1:24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</row>
    <row r="122" spans="1:24">
      <c r="A122" s="297" t="s">
        <v>450</v>
      </c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97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</row>
    <row r="123" spans="1:24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</row>
    <row r="124" spans="1:24">
      <c r="A124" s="475" t="s">
        <v>496</v>
      </c>
      <c r="B124" s="475"/>
      <c r="C124" s="475"/>
      <c r="D124" s="475"/>
      <c r="E124" s="475"/>
      <c r="F124" s="475"/>
      <c r="G124" s="475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</row>
    <row r="125" spans="1:24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</row>
    <row r="126" spans="1:24">
      <c r="B126" s="461" t="s">
        <v>132</v>
      </c>
      <c r="C126" s="461"/>
      <c r="D126" s="461"/>
      <c r="E126" s="461"/>
      <c r="F126" s="461"/>
      <c r="G126" s="461"/>
      <c r="H126" s="297"/>
      <c r="I126" s="297"/>
      <c r="J126" s="297"/>
      <c r="K126" s="297"/>
      <c r="L126" s="297"/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</row>
    <row r="127" spans="1:24" ht="30">
      <c r="B127" s="301" t="s">
        <v>8</v>
      </c>
      <c r="C127" s="146" t="s">
        <v>441</v>
      </c>
      <c r="D127" s="146" t="s">
        <v>248</v>
      </c>
      <c r="E127" s="146" t="s">
        <v>249</v>
      </c>
      <c r="F127" s="146" t="s">
        <v>442</v>
      </c>
      <c r="G127" s="146" t="s">
        <v>443</v>
      </c>
      <c r="H127" s="297"/>
      <c r="I127" s="297"/>
      <c r="J127" s="297"/>
      <c r="K127" s="297"/>
      <c r="L127" s="297"/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</row>
    <row r="128" spans="1:24">
      <c r="A128" s="223">
        <v>1997</v>
      </c>
      <c r="B128" s="304" t="str">
        <f>IFERROR(B98/'16A'!$B4,"..")</f>
        <v>..</v>
      </c>
      <c r="C128" s="304">
        <f>IFERROR(C98/'16A'!$B4,"..")</f>
        <v>0.71205730880734486</v>
      </c>
      <c r="D128" s="304">
        <f>IFERROR(D98/'16A'!$B4,"..")</f>
        <v>0.45988084190614353</v>
      </c>
      <c r="E128" s="304" t="str">
        <f>IFERROR(E98/'16A'!$B4,"..")</f>
        <v>..</v>
      </c>
      <c r="F128" s="304" t="str">
        <f>IFERROR(F98/'16A'!$B4,"..")</f>
        <v>..</v>
      </c>
      <c r="G128" s="304" t="str">
        <f>IFERROR(G98/'16A'!$B4,"..")</f>
        <v>..</v>
      </c>
      <c r="H128" s="297"/>
      <c r="I128" s="297"/>
      <c r="J128" s="297"/>
      <c r="K128" s="297"/>
      <c r="L128" s="297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</row>
    <row r="129" spans="1:24">
      <c r="A129" s="223">
        <v>1998</v>
      </c>
      <c r="B129" s="304">
        <f>IFERROR(B99/'16A'!$B5,"..")</f>
        <v>0.44441925782660502</v>
      </c>
      <c r="C129" s="304">
        <f>IFERROR(C99/'16A'!$B5,"..")</f>
        <v>0.62790509603216904</v>
      </c>
      <c r="D129" s="304">
        <f>IFERROR(D99/'16A'!$B5,"..")</f>
        <v>0.42297007390884395</v>
      </c>
      <c r="E129" s="304">
        <f>IFERROR(E99/'16A'!$B5,"..")</f>
        <v>0.42371193641325533</v>
      </c>
      <c r="F129" s="304">
        <f>IFERROR(F99/'16A'!$B5,"..")</f>
        <v>0.47988581996737883</v>
      </c>
      <c r="G129" s="304">
        <f>IFERROR(G99/'16A'!$B5,"..")</f>
        <v>0.30804042458182185</v>
      </c>
      <c r="H129" s="297"/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</row>
    <row r="130" spans="1:24">
      <c r="A130" s="223">
        <v>1999</v>
      </c>
      <c r="B130" s="304">
        <f>IFERROR(B100/'16A'!$B6,"..")</f>
        <v>0.44926399361887209</v>
      </c>
      <c r="C130" s="304">
        <f>IFERROR(C100/'16A'!$B6,"..")</f>
        <v>0.58270176377366689</v>
      </c>
      <c r="D130" s="304">
        <f>IFERROR(D100/'16A'!$B6,"..")</f>
        <v>0.46526004717987479</v>
      </c>
      <c r="E130" s="304">
        <f>IFERROR(E100/'16A'!$B6,"..")</f>
        <v>0.41095239051527577</v>
      </c>
      <c r="F130" s="304">
        <f>IFERROR(F100/'16A'!$B6,"..")</f>
        <v>0.46627503948907556</v>
      </c>
      <c r="G130" s="304">
        <f>IFERROR(G100/'16A'!$B6,"..")</f>
        <v>0.29508504528093227</v>
      </c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</row>
    <row r="131" spans="1:24">
      <c r="A131" s="223">
        <v>2000</v>
      </c>
      <c r="B131" s="304">
        <f>IFERROR(B101/'16A'!$B7,"..")</f>
        <v>0.44850256876693512</v>
      </c>
      <c r="C131" s="304">
        <f>IFERROR(C101/'16A'!$B7,"..")</f>
        <v>0.43301214996813125</v>
      </c>
      <c r="D131" s="304">
        <f>IFERROR(D101/'16A'!$B7,"..")</f>
        <v>0.50548812830003786</v>
      </c>
      <c r="E131" s="304">
        <f>IFERROR(E101/'16A'!$B7,"..")</f>
        <v>0.41175597739368591</v>
      </c>
      <c r="F131" s="304">
        <f>IFERROR(F101/'16A'!$B7,"..")</f>
        <v>0.42760777445704035</v>
      </c>
      <c r="G131" s="304">
        <f>IFERROR(G101/'16A'!$B7,"..")</f>
        <v>0.3915714432019381</v>
      </c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</row>
    <row r="132" spans="1:24">
      <c r="A132" s="223">
        <v>2001</v>
      </c>
      <c r="B132" s="304">
        <f>IFERROR(B102/'16A'!$B8,"..")</f>
        <v>0.39975821319879029</v>
      </c>
      <c r="C132" s="304">
        <f>IFERROR(C102/'16A'!$B8,"..")</f>
        <v>0.38400996934065507</v>
      </c>
      <c r="D132" s="304">
        <f>IFERROR(D102/'16A'!$B8,"..")</f>
        <v>0.42587878723805916</v>
      </c>
      <c r="E132" s="304">
        <f>IFERROR(E102/'16A'!$B8,"..")</f>
        <v>0.38364636281110898</v>
      </c>
      <c r="F132" s="304">
        <f>IFERROR(F102/'16A'!$B8,"..")</f>
        <v>0.39553866938242133</v>
      </c>
      <c r="G132" s="304">
        <f>IFERROR(G102/'16A'!$B8,"..")</f>
        <v>0.36590763749740846</v>
      </c>
      <c r="H132" s="297"/>
      <c r="I132" s="297"/>
      <c r="J132" s="297"/>
      <c r="K132" s="297"/>
      <c r="L132" s="297"/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</row>
    <row r="133" spans="1:24">
      <c r="A133" s="223">
        <v>2002</v>
      </c>
      <c r="B133" s="304">
        <f>IFERROR(B103/'16A'!$B9,"..")</f>
        <v>0.39103392446712404</v>
      </c>
      <c r="C133" s="304">
        <f>IFERROR(C103/'16A'!$B9,"..")</f>
        <v>0.38667992637112431</v>
      </c>
      <c r="D133" s="304">
        <f>IFERROR(D103/'16A'!$B9,"..")</f>
        <v>0.40346142608553703</v>
      </c>
      <c r="E133" s="304">
        <f>IFERROR(E103/'16A'!$B9,"..")</f>
        <v>0.38203350415706944</v>
      </c>
      <c r="F133" s="304">
        <f>IFERROR(F103/'16A'!$B9,"..")</f>
        <v>0.40794802666944896</v>
      </c>
      <c r="G133" s="304">
        <f>IFERROR(G103/'16A'!$B9,"..")</f>
        <v>0.33089806013883555</v>
      </c>
      <c r="H133" s="297"/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  <c r="S133" s="297"/>
      <c r="T133" s="297"/>
      <c r="U133" s="297"/>
      <c r="V133" s="297"/>
      <c r="W133" s="297"/>
      <c r="X133" s="297"/>
    </row>
    <row r="134" spans="1:24">
      <c r="A134" s="223">
        <v>2003</v>
      </c>
      <c r="B134" s="304">
        <f>IFERROR(B104/'16A'!$B10,"..")</f>
        <v>0.46123689093710468</v>
      </c>
      <c r="C134" s="304">
        <f>IFERROR(C104/'16A'!$B10,"..")</f>
        <v>0.49364977789588627</v>
      </c>
      <c r="D134" s="304">
        <f>IFERROR(D104/'16A'!$B10,"..")</f>
        <v>0.46289418130504156</v>
      </c>
      <c r="E134" s="304">
        <f>IFERROR(E104/'16A'!$B10,"..")</f>
        <v>0.45168544474313255</v>
      </c>
      <c r="F134" s="304">
        <f>IFERROR(F104/'16A'!$B10,"..")</f>
        <v>0.4893054690631502</v>
      </c>
      <c r="G134" s="304">
        <f>IFERROR(G104/'16A'!$B10,"..")</f>
        <v>0.37779322847299573</v>
      </c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7"/>
      <c r="T134" s="297"/>
      <c r="U134" s="297"/>
      <c r="V134" s="297"/>
      <c r="W134" s="297"/>
      <c r="X134" s="297"/>
    </row>
    <row r="135" spans="1:24">
      <c r="A135" s="223">
        <v>2004</v>
      </c>
      <c r="B135" s="304">
        <f>IFERROR(B105/'16A'!$B11,"..")</f>
        <v>0.53933348834131267</v>
      </c>
      <c r="C135" s="304">
        <f>IFERROR(C105/'16A'!$B11,"..")</f>
        <v>0.48889073456099102</v>
      </c>
      <c r="D135" s="304">
        <f>IFERROR(D105/'16A'!$B11,"..")</f>
        <v>0.54946929635676811</v>
      </c>
      <c r="E135" s="304">
        <f>IFERROR(E105/'16A'!$B11,"..")</f>
        <v>0.54646933763448646</v>
      </c>
      <c r="F135" s="304">
        <f>IFERROR(F105/'16A'!$B11,"..")</f>
        <v>0.62455005463269986</v>
      </c>
      <c r="G135" s="304">
        <f>IFERROR(G105/'16A'!$B11,"..")</f>
        <v>0.40669117631592155</v>
      </c>
      <c r="H135" s="297"/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  <c r="S135" s="297"/>
      <c r="T135" s="297"/>
      <c r="U135" s="297"/>
      <c r="V135" s="297"/>
      <c r="W135" s="297"/>
      <c r="X135" s="297"/>
    </row>
    <row r="136" spans="1:24">
      <c r="A136" s="223">
        <v>2005</v>
      </c>
      <c r="B136" s="304">
        <f>IFERROR(B106/'16A'!$B12,"..")</f>
        <v>0.56548777411350137</v>
      </c>
      <c r="C136" s="304">
        <f>IFERROR(C106/'16A'!$B12,"..")</f>
        <v>0.50803656854925505</v>
      </c>
      <c r="D136" s="304">
        <f>IFERROR(D106/'16A'!$B12,"..")</f>
        <v>0.54125046769345986</v>
      </c>
      <c r="E136" s="304">
        <f>IFERROR(E106/'16A'!$B12,"..")</f>
        <v>0.60438106947103809</v>
      </c>
      <c r="F136" s="304">
        <f>IFERROR(F106/'16A'!$B12,"..")</f>
        <v>0.67037843855265822</v>
      </c>
      <c r="G136" s="304">
        <f>IFERROR(G106/'16A'!$B12,"..")</f>
        <v>0.473745548407422</v>
      </c>
      <c r="H136" s="297"/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</row>
    <row r="137" spans="1:24">
      <c r="A137" s="223">
        <v>2006</v>
      </c>
      <c r="B137" s="304">
        <f>IFERROR(B107/'16A'!$B13,"..")</f>
        <v>0.6024733739401259</v>
      </c>
      <c r="C137" s="304">
        <f>IFERROR(C107/'16A'!$B13,"..")</f>
        <v>0.57140758895546684</v>
      </c>
      <c r="D137" s="304">
        <f>IFERROR(D107/'16A'!$B13,"..")</f>
        <v>0.53979123043732657</v>
      </c>
      <c r="E137" s="304">
        <f>IFERROR(E107/'16A'!$B13,"..")</f>
        <v>0.66867967389611227</v>
      </c>
      <c r="F137" s="304">
        <f>IFERROR(F107/'16A'!$B13,"..")</f>
        <v>0.74626481259797794</v>
      </c>
      <c r="G137" s="304">
        <f>IFERROR(G107/'16A'!$B13,"..")</f>
        <v>0.51316714571431321</v>
      </c>
      <c r="H137" s="297"/>
      <c r="I137" s="297"/>
      <c r="J137" s="297"/>
      <c r="K137" s="297"/>
      <c r="L137" s="297"/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</row>
    <row r="138" spans="1:24">
      <c r="A138" s="223">
        <v>2007</v>
      </c>
      <c r="B138" s="304">
        <f>IFERROR(B108/'16A'!$B14,"..")</f>
        <v>0.64345147195667673</v>
      </c>
      <c r="C138" s="304">
        <f>IFERROR(C108/'16A'!$B14,"..")</f>
        <v>0.64265649080160403</v>
      </c>
      <c r="D138" s="304">
        <f>IFERROR(D108/'16A'!$B14,"..")</f>
        <v>0.57087596109361816</v>
      </c>
      <c r="E138" s="304">
        <f>IFERROR(E108/'16A'!$B14,"..")</f>
        <v>0.70334362128505612</v>
      </c>
      <c r="F138" s="304">
        <f>IFERROR(F108/'16A'!$B14,"..")</f>
        <v>0.7631292050002999</v>
      </c>
      <c r="G138" s="304">
        <f>IFERROR(G108/'16A'!$B14,"..")</f>
        <v>0.58579204489262227</v>
      </c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</row>
    <row r="139" spans="1:24">
      <c r="A139" s="223">
        <v>2008</v>
      </c>
      <c r="B139" s="304">
        <f>IFERROR(B109/'16A'!$B15,"..")</f>
        <v>0.6508183275033691</v>
      </c>
      <c r="C139" s="304">
        <f>IFERROR(C109/'16A'!$B15,"..")</f>
        <v>0.75898488714485479</v>
      </c>
      <c r="D139" s="304">
        <f>IFERROR(D109/'16A'!$B15,"..")</f>
        <v>0.55265495013211796</v>
      </c>
      <c r="E139" s="304">
        <f>IFERROR(E109/'16A'!$B15,"..")</f>
        <v>0.70081963621439269</v>
      </c>
      <c r="F139" s="304">
        <f>IFERROR(F109/'16A'!$B15,"..")</f>
        <v>0.77547009646423359</v>
      </c>
      <c r="G139" s="304">
        <f>IFERROR(G109/'16A'!$B15,"..")</f>
        <v>0.56846177440134171</v>
      </c>
      <c r="H139" s="297"/>
      <c r="I139" s="297"/>
      <c r="J139" s="297"/>
      <c r="K139" s="297"/>
      <c r="L139" s="297"/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</row>
    <row r="140" spans="1:24">
      <c r="A140" s="223">
        <v>2009</v>
      </c>
      <c r="B140" s="304">
        <f>IFERROR(B110/'16A'!$B16,"..")</f>
        <v>0.60315874327629604</v>
      </c>
      <c r="C140" s="304">
        <f>IFERROR(C110/'16A'!$B16,"..")</f>
        <v>0.7781380650880676</v>
      </c>
      <c r="D140" s="304">
        <f>IFERROR(D110/'16A'!$B16,"..")</f>
        <v>0.51949049112446744</v>
      </c>
      <c r="E140" s="304">
        <f>IFERROR(E110/'16A'!$B16,"..")</f>
        <v>0.61835158808185431</v>
      </c>
      <c r="F140" s="304">
        <f>IFERROR(F110/'16A'!$B16,"..")</f>
        <v>0.67144901054377759</v>
      </c>
      <c r="G140" s="304">
        <f>IFERROR(G110/'16A'!$B16,"..")</f>
        <v>0.53383798108704783</v>
      </c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</row>
    <row r="141" spans="1:24">
      <c r="A141" s="223">
        <v>2010</v>
      </c>
      <c r="B141" s="304">
        <f>IFERROR(B111/'16A'!$B17,"..")</f>
        <v>0.65103848704203138</v>
      </c>
      <c r="C141" s="304">
        <f>IFERROR(C111/'16A'!$B17,"..")</f>
        <v>0.60413898926613896</v>
      </c>
      <c r="D141" s="304">
        <f>IFERROR(D111/'16A'!$B17,"..")</f>
        <v>0.64560961512772364</v>
      </c>
      <c r="E141" s="304">
        <f>IFERROR(E111/'16A'!$B17,"..")</f>
        <v>0.67034101300925619</v>
      </c>
      <c r="F141" s="304">
        <f>IFERROR(F111/'16A'!$B17,"..")</f>
        <v>0.682189315878869</v>
      </c>
      <c r="G141" s="304">
        <f>IFERROR(G111/'16A'!$B17,"..")</f>
        <v>0.65061392131482942</v>
      </c>
      <c r="H141" s="297"/>
      <c r="I141" s="297"/>
      <c r="J141" s="297"/>
      <c r="K141" s="297"/>
      <c r="L141" s="297"/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</row>
    <row r="142" spans="1:24">
      <c r="A142" s="223">
        <v>2011</v>
      </c>
      <c r="B142" s="304">
        <f>IFERROR(B112/'16A'!$B18,"..")</f>
        <v>0.66265130015882079</v>
      </c>
      <c r="C142" s="304">
        <f>IFERROR(C112/'16A'!$B18,"..")</f>
        <v>0.67763985002046201</v>
      </c>
      <c r="D142" s="304">
        <f>IFERROR(D112/'16A'!$B18,"..")</f>
        <v>0.63149961996161097</v>
      </c>
      <c r="E142" s="304">
        <f>IFERROR(E112/'16A'!$B18,"..")</f>
        <v>0.68381009085440858</v>
      </c>
      <c r="F142" s="304">
        <f>IFERROR(F112/'16A'!$B18,"..")</f>
        <v>0.67707144172457856</v>
      </c>
      <c r="G142" s="304">
        <f>IFERROR(G112/'16A'!$B18,"..")</f>
        <v>0.6988788494753696</v>
      </c>
      <c r="H142" s="297"/>
      <c r="I142" s="297"/>
      <c r="J142" s="297"/>
      <c r="K142" s="297"/>
      <c r="L142" s="297"/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</row>
    <row r="143" spans="1:24">
      <c r="A143" s="223">
        <v>2012</v>
      </c>
      <c r="B143" s="304">
        <f>IFERROR(B113/'16A'!$B19,"..")</f>
        <v>0.6538735787824298</v>
      </c>
      <c r="C143" s="304">
        <f>IFERROR(C113/'16A'!$B19,"..")</f>
        <v>0.58163612510239737</v>
      </c>
      <c r="D143" s="304">
        <f>IFERROR(D113/'16A'!$B19,"..")</f>
        <v>0.59305208545076893</v>
      </c>
      <c r="E143" s="304">
        <f>IFERROR(E113/'16A'!$B19,"..")</f>
        <v>0.73603236673103811</v>
      </c>
      <c r="F143" s="304">
        <f>IFERROR(F113/'16A'!$B19,"..")</f>
        <v>0.74119254100228016</v>
      </c>
      <c r="G143" s="304">
        <f>IFERROR(G113/'16A'!$B19,"..")</f>
        <v>0.72858085023687158</v>
      </c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</row>
    <row r="144" spans="1:24">
      <c r="A144" s="223">
        <v>2013</v>
      </c>
      <c r="B144" s="304">
        <f>IFERROR(B114/'16A'!$B20,"..")</f>
        <v>0.59447449347524439</v>
      </c>
      <c r="C144" s="304">
        <f>IFERROR(C114/'16A'!$B20,"..")</f>
        <v>0.50875110700755466</v>
      </c>
      <c r="D144" s="304">
        <f>IFERROR(D114/'16A'!$B20,"..")</f>
        <v>0.5328398945181555</v>
      </c>
      <c r="E144" s="304">
        <f>IFERROR(E114/'16A'!$B20,"..")</f>
        <v>0.68762993272468598</v>
      </c>
      <c r="F144" s="304">
        <f>IFERROR(F114/'16A'!$B20,"..")</f>
        <v>0.68303015129365063</v>
      </c>
      <c r="G144" s="304">
        <f>IFERROR(G114/'16A'!$B20,"..")</f>
        <v>0.69923054336344848</v>
      </c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</row>
    <row r="145" spans="1:24">
      <c r="A145" s="223"/>
      <c r="B145" s="304"/>
      <c r="C145" s="304"/>
      <c r="D145" s="304"/>
      <c r="E145" s="304"/>
      <c r="F145" s="304"/>
      <c r="G145" s="304"/>
      <c r="H145" s="297"/>
      <c r="I145" s="297"/>
      <c r="J145" s="297"/>
      <c r="K145" s="297"/>
      <c r="L145" s="297"/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</row>
    <row r="146" spans="1:24">
      <c r="A146" s="223" t="s">
        <v>32</v>
      </c>
      <c r="B146" s="304"/>
      <c r="C146" s="304"/>
      <c r="D146" s="304"/>
      <c r="E146" s="304"/>
      <c r="F146" s="304"/>
      <c r="G146" s="304"/>
      <c r="H146" s="297"/>
      <c r="I146" s="297"/>
      <c r="J146" s="297"/>
      <c r="K146" s="297"/>
      <c r="L146" s="297"/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</row>
    <row r="147" spans="1:24">
      <c r="A147" s="295" t="s">
        <v>444</v>
      </c>
      <c r="B147" s="296" t="str">
        <f t="shared" ref="B147:G147" si="22">IFERROR(((B144/B128)^(1/16)-1)*100,"..")</f>
        <v>..</v>
      </c>
      <c r="C147" s="296">
        <f t="shared" si="22"/>
        <v>-2.0793244096143582</v>
      </c>
      <c r="D147" s="296">
        <f t="shared" si="22"/>
        <v>0.92458295930124557</v>
      </c>
      <c r="E147" s="296" t="str">
        <f t="shared" si="22"/>
        <v>..</v>
      </c>
      <c r="F147" s="296" t="str">
        <f t="shared" si="22"/>
        <v>..</v>
      </c>
      <c r="G147" s="296" t="str">
        <f t="shared" si="22"/>
        <v>..</v>
      </c>
      <c r="H147" s="297"/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</row>
    <row r="148" spans="1:24">
      <c r="A148" s="295" t="s">
        <v>15</v>
      </c>
      <c r="B148" s="296">
        <f t="shared" ref="B148:G148" si="23">IFERROR(((B144/B131)^(1/13)-1)*100,"..")</f>
        <v>2.1910697527995682</v>
      </c>
      <c r="C148" s="296">
        <f t="shared" si="23"/>
        <v>1.2476663322182224</v>
      </c>
      <c r="D148" s="296">
        <f t="shared" si="23"/>
        <v>0.40617991751710214</v>
      </c>
      <c r="E148" s="296">
        <f t="shared" si="23"/>
        <v>4.0236078610458526</v>
      </c>
      <c r="F148" s="296">
        <f t="shared" si="23"/>
        <v>3.6682372730505453</v>
      </c>
      <c r="G148" s="296">
        <f t="shared" si="23"/>
        <v>4.5610539605723144</v>
      </c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</row>
    <row r="149" spans="1:24">
      <c r="A149" s="295" t="s">
        <v>68</v>
      </c>
      <c r="B149" s="296">
        <f t="shared" ref="B149:G149" si="24">IFERROR(((B138/B131)^(1/7)-1)*100,"..")</f>
        <v>5.2914194605903297</v>
      </c>
      <c r="C149" s="296">
        <f t="shared" si="24"/>
        <v>5.8027543261623071</v>
      </c>
      <c r="D149" s="296">
        <f t="shared" si="24"/>
        <v>1.7530079719382474</v>
      </c>
      <c r="E149" s="296">
        <f t="shared" si="24"/>
        <v>7.9489032691498762</v>
      </c>
      <c r="F149" s="296">
        <f t="shared" si="24"/>
        <v>8.6265705939796646</v>
      </c>
      <c r="G149" s="296">
        <f t="shared" si="24"/>
        <v>5.9230191622378081</v>
      </c>
      <c r="H149" s="297"/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</row>
    <row r="150" spans="1:24">
      <c r="A150" s="295" t="s">
        <v>69</v>
      </c>
      <c r="B150" s="296">
        <f t="shared" ref="B150:G150" si="25">IFERROR(((B144/B138)^(1/6)-1)*100,"..")</f>
        <v>-1.3108130322581069</v>
      </c>
      <c r="C150" s="296">
        <f t="shared" si="25"/>
        <v>-3.8193417905586946</v>
      </c>
      <c r="D150" s="296">
        <f t="shared" si="25"/>
        <v>-1.1426048092237351</v>
      </c>
      <c r="E150" s="296">
        <f t="shared" si="25"/>
        <v>-0.3758711688363281</v>
      </c>
      <c r="F150" s="296">
        <f t="shared" si="25"/>
        <v>-1.8311658176309309</v>
      </c>
      <c r="G150" s="296">
        <f t="shared" si="25"/>
        <v>2.994212229372728</v>
      </c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7"/>
      <c r="T150" s="297"/>
      <c r="U150" s="297"/>
      <c r="V150" s="297"/>
      <c r="W150" s="297"/>
      <c r="X150" s="297"/>
    </row>
    <row r="151" spans="1:24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</row>
    <row r="152" spans="1:24">
      <c r="A152" s="297" t="s">
        <v>451</v>
      </c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</row>
    <row r="154" spans="1:24">
      <c r="A154" s="475" t="s">
        <v>497</v>
      </c>
      <c r="B154" s="475"/>
      <c r="C154" s="475"/>
      <c r="D154" s="475"/>
      <c r="E154" s="475"/>
      <c r="F154" s="475"/>
      <c r="G154" s="475"/>
    </row>
    <row r="155" spans="1:24">
      <c r="B155" s="297"/>
      <c r="C155" s="297"/>
      <c r="D155" s="297"/>
      <c r="E155" s="297"/>
      <c r="F155" s="297"/>
      <c r="G155" s="297"/>
    </row>
    <row r="156" spans="1:24">
      <c r="B156" s="461" t="s">
        <v>132</v>
      </c>
      <c r="C156" s="461"/>
      <c r="D156" s="461"/>
      <c r="E156" s="461"/>
      <c r="F156" s="461"/>
      <c r="G156" s="461"/>
    </row>
    <row r="157" spans="1:24" ht="30">
      <c r="A157" s="223"/>
      <c r="B157" s="294" t="s">
        <v>8</v>
      </c>
      <c r="C157" s="146" t="s">
        <v>441</v>
      </c>
      <c r="D157" s="146" t="s">
        <v>248</v>
      </c>
      <c r="E157" s="146" t="s">
        <v>249</v>
      </c>
      <c r="F157" s="146" t="s">
        <v>442</v>
      </c>
      <c r="G157" s="146" t="s">
        <v>443</v>
      </c>
    </row>
    <row r="158" spans="1:24">
      <c r="A158" s="223">
        <v>1997</v>
      </c>
      <c r="B158" s="399" t="s">
        <v>9</v>
      </c>
      <c r="C158" s="296">
        <f>'13A-13H'!C7/'13A-13H'!C38</f>
        <v>17.944009263674136</v>
      </c>
      <c r="D158" s="296">
        <f>'13A-13H'!D7/'13A-13H'!D38</f>
        <v>18.407862230376931</v>
      </c>
      <c r="E158" s="399" t="s">
        <v>9</v>
      </c>
      <c r="F158" s="399" t="s">
        <v>9</v>
      </c>
      <c r="G158" s="399" t="s">
        <v>9</v>
      </c>
    </row>
    <row r="159" spans="1:24">
      <c r="A159" s="223">
        <v>1998</v>
      </c>
      <c r="B159" s="296">
        <f>'13A-13H'!B8/'13A-13H'!B39</f>
        <v>23.802616156123499</v>
      </c>
      <c r="C159" s="296">
        <f>'13A-13H'!C8/'13A-13H'!C39</f>
        <v>17.32905982905983</v>
      </c>
      <c r="D159" s="296">
        <f>'13A-13H'!D8/'13A-13H'!D39</f>
        <v>19.485652136333517</v>
      </c>
      <c r="E159" s="296">
        <f>'13A-13H'!E8/'13A-13H'!E39</f>
        <v>31.93700275761514</v>
      </c>
      <c r="F159" s="296">
        <f>'13A-13H'!F8/'13A-13H'!F39</f>
        <v>35.577443169358965</v>
      </c>
      <c r="G159" s="296">
        <f>'13A-13H'!G8/'13A-13H'!G39</f>
        <v>25.162366810247111</v>
      </c>
    </row>
    <row r="160" spans="1:24">
      <c r="A160" s="223">
        <v>1999</v>
      </c>
      <c r="B160" s="296">
        <f>'13A-13H'!B9/'13A-13H'!B40</f>
        <v>24.456202472180628</v>
      </c>
      <c r="C160" s="296">
        <f>'13A-13H'!C9/'13A-13H'!C40</f>
        <v>16.957765472125786</v>
      </c>
      <c r="D160" s="296">
        <f>'13A-13H'!D9/'13A-13H'!D40</f>
        <v>20.999729078052614</v>
      </c>
      <c r="E160" s="296">
        <f>'13A-13H'!E9/'13A-13H'!E40</f>
        <v>32.838331710483608</v>
      </c>
      <c r="F160" s="296">
        <f>'13A-13H'!F9/'13A-13H'!F40</f>
        <v>36.819959214886566</v>
      </c>
      <c r="G160" s="296">
        <f>'13A-13H'!G9/'13A-13H'!G40</f>
        <v>25.862036623492632</v>
      </c>
    </row>
    <row r="161" spans="1:7">
      <c r="A161" s="223">
        <v>2000</v>
      </c>
      <c r="B161" s="296">
        <f>'13A-13H'!B10/'13A-13H'!B41</f>
        <v>25.262379165245083</v>
      </c>
      <c r="C161" s="296">
        <f>'13A-13H'!C10/'13A-13H'!C41</f>
        <v>17.574828966865287</v>
      </c>
      <c r="D161" s="296">
        <f>'13A-13H'!D10/'13A-13H'!D41</f>
        <v>22.312115923504251</v>
      </c>
      <c r="E161" s="296">
        <f>'13A-13H'!E10/'13A-13H'!E41</f>
        <v>32.97040317313666</v>
      </c>
      <c r="F161" s="296">
        <f>'13A-13H'!F10/'13A-13H'!F41</f>
        <v>35.749888707523368</v>
      </c>
      <c r="G161" s="296">
        <f>'13A-13H'!G10/'13A-13H'!G41</f>
        <v>27.940384012889943</v>
      </c>
    </row>
    <row r="162" spans="1:7">
      <c r="A162" s="223">
        <v>2001</v>
      </c>
      <c r="B162" s="296">
        <f>'13A-13H'!B11/'13A-13H'!B42</f>
        <v>25.909886749233927</v>
      </c>
      <c r="C162" s="296">
        <f>'13A-13H'!C11/'13A-13H'!C42</f>
        <v>19.142095402795793</v>
      </c>
      <c r="D162" s="296">
        <f>'13A-13H'!D11/'13A-13H'!D42</f>
        <v>22.251836550254986</v>
      </c>
      <c r="E162" s="296">
        <f>'13A-13H'!E11/'13A-13H'!E42</f>
        <v>33.904408021989212</v>
      </c>
      <c r="F162" s="296">
        <f>'13A-13H'!F11/'13A-13H'!F42</f>
        <v>36.406629219437235</v>
      </c>
      <c r="G162" s="296">
        <f>'13A-13H'!G11/'13A-13H'!G42</f>
        <v>29.448905453859219</v>
      </c>
    </row>
    <row r="163" spans="1:7">
      <c r="A163" s="223">
        <v>2002</v>
      </c>
      <c r="B163" s="296">
        <f>'13A-13H'!B12/'13A-13H'!B43</f>
        <v>27.87635630361223</v>
      </c>
      <c r="C163" s="296">
        <f>'13A-13H'!C12/'13A-13H'!C43</f>
        <v>20.632588217703351</v>
      </c>
      <c r="D163" s="296">
        <f>'13A-13H'!D12/'13A-13H'!D43</f>
        <v>23.149196281282368</v>
      </c>
      <c r="E163" s="296">
        <f>'13A-13H'!E12/'13A-13H'!E43</f>
        <v>38.078693392724574</v>
      </c>
      <c r="F163" s="296">
        <f>'13A-13H'!F12/'13A-13H'!F43</f>
        <v>42.473202953732546</v>
      </c>
      <c r="G163" s="296">
        <f>'13A-13H'!G12/'13A-13H'!G43</f>
        <v>30.668369084099421</v>
      </c>
    </row>
    <row r="164" spans="1:7">
      <c r="A164" s="223">
        <v>2003</v>
      </c>
      <c r="B164" s="296">
        <f>'13A-13H'!B13/'13A-13H'!B44</f>
        <v>28.404266592655205</v>
      </c>
      <c r="C164" s="296">
        <f>'13A-13H'!C13/'13A-13H'!C44</f>
        <v>21.310347338527635</v>
      </c>
      <c r="D164" s="296">
        <f>'13A-13H'!D13/'13A-13H'!D44</f>
        <v>23.090796899304529</v>
      </c>
      <c r="E164" s="296">
        <f>'13A-13H'!E13/'13A-13H'!E44</f>
        <v>39.819103211396609</v>
      </c>
      <c r="F164" s="296">
        <f>'13A-13H'!F13/'13A-13H'!F44</f>
        <v>44.644307436938675</v>
      </c>
      <c r="G164" s="296">
        <f>'13A-13H'!G13/'13A-13H'!G44</f>
        <v>31.490558313290006</v>
      </c>
    </row>
    <row r="165" spans="1:7">
      <c r="A165" s="223">
        <v>2004</v>
      </c>
      <c r="B165" s="296">
        <f>'13A-13H'!B14/'13A-13H'!B45</f>
        <v>30.568032418416475</v>
      </c>
      <c r="C165" s="296">
        <f>'13A-13H'!C14/'13A-13H'!C45</f>
        <v>22.157246114925911</v>
      </c>
      <c r="D165" s="296">
        <f>'13A-13H'!D14/'13A-13H'!D45</f>
        <v>25.681748954670063</v>
      </c>
      <c r="E165" s="296">
        <f>'13A-13H'!E14/'13A-13H'!E45</f>
        <v>41.494822471406984</v>
      </c>
      <c r="F165" s="296">
        <f>'13A-13H'!F14/'13A-13H'!F45</f>
        <v>46.671970408642558</v>
      </c>
      <c r="G165" s="296">
        <f>'13A-13H'!G14/'13A-13H'!G45</f>
        <v>32.464625780690078</v>
      </c>
    </row>
    <row r="166" spans="1:7">
      <c r="A166" s="223">
        <v>2005</v>
      </c>
      <c r="B166" s="296">
        <f>'13A-13H'!B15/'13A-13H'!B46</f>
        <v>32.048104795564349</v>
      </c>
      <c r="C166" s="296">
        <f>'13A-13H'!C15/'13A-13H'!C46</f>
        <v>23.414483313817332</v>
      </c>
      <c r="D166" s="296">
        <f>'13A-13H'!D15/'13A-13H'!D46</f>
        <v>26.984216589861752</v>
      </c>
      <c r="E166" s="296">
        <f>'13A-13H'!E15/'13A-13H'!E46</f>
        <v>42.278026359315426</v>
      </c>
      <c r="F166" s="296">
        <f>'13A-13H'!F15/'13A-13H'!F46</f>
        <v>46.464224429306846</v>
      </c>
      <c r="G166" s="296">
        <f>'13A-13H'!G15/'13A-13H'!G46</f>
        <v>33.792674571805009</v>
      </c>
    </row>
    <row r="167" spans="1:7">
      <c r="A167" s="223">
        <v>2006</v>
      </c>
      <c r="B167" s="296">
        <f>'13A-13H'!B16/'13A-13H'!B47</f>
        <v>32.870532768858588</v>
      </c>
      <c r="C167" s="296">
        <f>'13A-13H'!C16/'13A-13H'!C47</f>
        <v>23.554846370788184</v>
      </c>
      <c r="D167" s="296">
        <f>'13A-13H'!D16/'13A-13H'!D47</f>
        <v>27.640253540718259</v>
      </c>
      <c r="E167" s="296">
        <f>'13A-13H'!E16/'13A-13H'!E47</f>
        <v>43.395156623019602</v>
      </c>
      <c r="F167" s="296">
        <f>'13A-13H'!F16/'13A-13H'!F47</f>
        <v>47.706234533407837</v>
      </c>
      <c r="G167" s="296">
        <f>'13A-13H'!G16/'13A-13H'!G47</f>
        <v>34.247473321664501</v>
      </c>
    </row>
    <row r="168" spans="1:7">
      <c r="A168" s="223">
        <v>2007</v>
      </c>
      <c r="B168" s="296">
        <f>'13A-13H'!B17/'13A-13H'!B48</f>
        <v>33.8062398721558</v>
      </c>
      <c r="C168" s="296">
        <f>'13A-13H'!C17/'13A-13H'!C48</f>
        <v>24.756128713279221</v>
      </c>
      <c r="D168" s="296">
        <f>'13A-13H'!D17/'13A-13H'!D48</f>
        <v>27.920224579357889</v>
      </c>
      <c r="E168" s="296">
        <f>'13A-13H'!E17/'13A-13H'!E48</f>
        <v>44.131355535148707</v>
      </c>
      <c r="F168" s="296">
        <f>'13A-13H'!F17/'13A-13H'!F48</f>
        <v>50.983262590686053</v>
      </c>
      <c r="G168" s="296">
        <f>'13A-13H'!G17/'13A-13H'!G48</f>
        <v>32.829791459781532</v>
      </c>
    </row>
    <row r="169" spans="1:7">
      <c r="A169" s="223">
        <v>2008</v>
      </c>
      <c r="B169" s="296">
        <f>'13A-13H'!B18/'13A-13H'!B49</f>
        <v>34.611923248977504</v>
      </c>
      <c r="C169" s="296">
        <f>'13A-13H'!C18/'13A-13H'!C49</f>
        <v>27.828239876008425</v>
      </c>
      <c r="D169" s="296">
        <f>'13A-13H'!D18/'13A-13H'!D49</f>
        <v>28.126192380469345</v>
      </c>
      <c r="E169" s="296">
        <f>'13A-13H'!E18/'13A-13H'!E49</f>
        <v>44.931785553139996</v>
      </c>
      <c r="F169" s="296">
        <f>'13A-13H'!F18/'13A-13H'!F49</f>
        <v>51.925158222549641</v>
      </c>
      <c r="G169" s="296">
        <f>'13A-13H'!G18/'13A-13H'!G49</f>
        <v>33.878962688541939</v>
      </c>
    </row>
    <row r="170" spans="1:7">
      <c r="A170" s="223">
        <v>2009</v>
      </c>
      <c r="B170" s="296">
        <f>'13A-13H'!B19/'13A-13H'!B50</f>
        <v>33.729598211928689</v>
      </c>
      <c r="C170" s="296">
        <f>'13A-13H'!C19/'13A-13H'!C50</f>
        <v>28.920829212001319</v>
      </c>
      <c r="D170" s="296">
        <f>'13A-13H'!D19/'13A-13H'!D50</f>
        <v>26.906442827354354</v>
      </c>
      <c r="E170" s="296">
        <f>'13A-13H'!E19/'13A-13H'!E50</f>
        <v>44.049433695139214</v>
      </c>
      <c r="F170" s="296">
        <f>'13A-13H'!F19/'13A-13H'!F50</f>
        <v>49.259001440230435</v>
      </c>
      <c r="G170" s="296">
        <f>'13A-13H'!G19/'13A-13H'!G50</f>
        <v>36.560892826324569</v>
      </c>
    </row>
    <row r="171" spans="1:7">
      <c r="A171" s="223">
        <v>2010</v>
      </c>
      <c r="B171" s="296">
        <f>'13A-13H'!B20/'13A-13H'!B51</f>
        <v>34.376276698602446</v>
      </c>
      <c r="C171" s="296">
        <f>'13A-13H'!C20/'13A-13H'!C51</f>
        <v>31.610016324626866</v>
      </c>
      <c r="D171" s="296">
        <f>'13A-13H'!D20/'13A-13H'!D51</f>
        <v>28.412927566360608</v>
      </c>
      <c r="E171" s="296">
        <f>'13A-13H'!E20/'13A-13H'!E51</f>
        <v>42.37432556473459</v>
      </c>
      <c r="F171" s="296">
        <f>'13A-13H'!F20/'13A-13H'!F51</f>
        <v>48.644246385422854</v>
      </c>
      <c r="G171" s="296">
        <f>'13A-13H'!G20/'13A-13H'!G51</f>
        <v>34.222828605261803</v>
      </c>
    </row>
    <row r="172" spans="1:7">
      <c r="A172" s="223">
        <v>2011</v>
      </c>
      <c r="B172" s="296">
        <f>'13A-13H'!B21/'13A-13H'!B52</f>
        <v>34.821920960111918</v>
      </c>
      <c r="C172" s="296">
        <f>'13A-13H'!C21/'13A-13H'!C52</f>
        <v>26.958664404963841</v>
      </c>
      <c r="D172" s="296">
        <f>'13A-13H'!D21/'13A-13H'!D52</f>
        <v>28.532733459047307</v>
      </c>
      <c r="E172" s="296">
        <f>'13A-13H'!E21/'13A-13H'!E52</f>
        <v>47.71401879137305</v>
      </c>
      <c r="F172" s="296">
        <f>'13A-13H'!F21/'13A-13H'!F52</f>
        <v>53.654727660759022</v>
      </c>
      <c r="G172" s="296">
        <f>'13A-13H'!G21/'13A-13H'!G52</f>
        <v>39.665870521684475</v>
      </c>
    </row>
    <row r="173" spans="1:7">
      <c r="A173" s="223">
        <v>2012</v>
      </c>
      <c r="B173" s="296">
        <f>'13A-13H'!B22/'13A-13H'!B53</f>
        <v>37.459777612442288</v>
      </c>
      <c r="C173" s="296">
        <f>'13A-13H'!C22/'13A-13H'!C53</f>
        <v>30.858505564387919</v>
      </c>
      <c r="D173" s="296">
        <f>'13A-13H'!D22/'13A-13H'!D53</f>
        <v>30.581657832206179</v>
      </c>
      <c r="E173" s="296">
        <f>'13A-13H'!E22/'13A-13H'!E53</f>
        <v>48.516646148905423</v>
      </c>
      <c r="F173" s="296">
        <f>'13A-13H'!F22/'13A-13H'!F53</f>
        <v>54.81158893783207</v>
      </c>
      <c r="G173" s="296">
        <f>'13A-13H'!G22/'13A-13H'!G53</f>
        <v>39.483023786249589</v>
      </c>
    </row>
    <row r="174" spans="1:7">
      <c r="A174" s="223">
        <v>2013</v>
      </c>
      <c r="B174" s="296">
        <f>'13A-13H'!B23/'13A-13H'!B54</f>
        <v>37.359794583127673</v>
      </c>
      <c r="C174" s="296">
        <f>'13A-13H'!C23/'13A-13H'!C54</f>
        <v>33.287416026040582</v>
      </c>
      <c r="D174" s="296">
        <f>'13A-13H'!D23/'13A-13H'!D54</f>
        <v>29.872799571083906</v>
      </c>
      <c r="E174" s="296">
        <f>'13A-13H'!E23/'13A-13H'!E54</f>
        <v>48.297351324337832</v>
      </c>
      <c r="F174" s="296">
        <f>'13A-13H'!F23/'13A-13H'!F54</f>
        <v>54.539610791264217</v>
      </c>
      <c r="G174" s="296">
        <f>'13A-13H'!G23/'13A-13H'!G54</f>
        <v>39.551629891340575</v>
      </c>
    </row>
    <row r="175" spans="1:7">
      <c r="A175" s="223"/>
      <c r="B175" s="296"/>
      <c r="C175" s="296"/>
      <c r="D175" s="296"/>
      <c r="E175" s="296"/>
      <c r="F175" s="296"/>
      <c r="G175" s="296"/>
    </row>
    <row r="176" spans="1:7" s="306" customFormat="1" ht="15.75">
      <c r="A176" s="223" t="s">
        <v>32</v>
      </c>
    </row>
    <row r="177" spans="1:7">
      <c r="A177" s="295" t="s">
        <v>444</v>
      </c>
      <c r="B177" s="399" t="s">
        <v>9</v>
      </c>
      <c r="C177" s="296">
        <f t="shared" ref="C177:D177" si="26">((C174/C158)^(1/16)-1)*100</f>
        <v>3.9375648280219666</v>
      </c>
      <c r="D177" s="296">
        <f t="shared" si="26"/>
        <v>3.0723162380329239</v>
      </c>
      <c r="E177" s="399" t="s">
        <v>9</v>
      </c>
      <c r="F177" s="399" t="s">
        <v>9</v>
      </c>
      <c r="G177" s="399" t="s">
        <v>9</v>
      </c>
    </row>
    <row r="178" spans="1:7">
      <c r="A178" s="295" t="s">
        <v>15</v>
      </c>
      <c r="B178" s="296">
        <f t="shared" ref="B178:G178" si="27">((B174/B161)^(1/13)-1)*100</f>
        <v>3.0555905186589571</v>
      </c>
      <c r="C178" s="296">
        <f t="shared" si="27"/>
        <v>5.035864336093776</v>
      </c>
      <c r="D178" s="296">
        <f t="shared" si="27"/>
        <v>2.2701420165283759</v>
      </c>
      <c r="E178" s="296">
        <f t="shared" si="27"/>
        <v>2.9802101068801878</v>
      </c>
      <c r="F178" s="296">
        <f t="shared" si="27"/>
        <v>3.3024364254908178</v>
      </c>
      <c r="G178" s="296">
        <f t="shared" si="27"/>
        <v>2.7093911912291713</v>
      </c>
    </row>
    <row r="179" spans="1:7">
      <c r="A179" s="295" t="s">
        <v>68</v>
      </c>
      <c r="B179" s="296">
        <f t="shared" ref="B179:G179" si="28">((B168/B161)^(1/7)-1)*100</f>
        <v>4.2496630446700046</v>
      </c>
      <c r="C179" s="296">
        <f t="shared" si="28"/>
        <v>5.0161146552454516</v>
      </c>
      <c r="D179" s="296">
        <f t="shared" si="28"/>
        <v>3.2550174035013812</v>
      </c>
      <c r="E179" s="296">
        <f t="shared" si="28"/>
        <v>4.2531056737625805</v>
      </c>
      <c r="F179" s="296">
        <f t="shared" si="28"/>
        <v>5.201479394360975</v>
      </c>
      <c r="G179" s="296">
        <f t="shared" si="28"/>
        <v>2.3305026997485712</v>
      </c>
    </row>
    <row r="180" spans="1:7">
      <c r="A180" s="295" t="s">
        <v>69</v>
      </c>
      <c r="B180" s="296">
        <f t="shared" ref="B180:G180" si="29">((B174/B168)^(1/6)-1)*100</f>
        <v>1.6797809243041417</v>
      </c>
      <c r="C180" s="296">
        <f t="shared" si="29"/>
        <v>5.0589103247903999</v>
      </c>
      <c r="D180" s="296">
        <f t="shared" si="29"/>
        <v>1.1329874230368686</v>
      </c>
      <c r="E180" s="296">
        <f t="shared" si="29"/>
        <v>1.5147948133589217</v>
      </c>
      <c r="F180" s="296">
        <f t="shared" si="29"/>
        <v>1.1301694816384211</v>
      </c>
      <c r="G180" s="296">
        <f t="shared" si="29"/>
        <v>3.1532012020622613</v>
      </c>
    </row>
    <row r="181" spans="1:7">
      <c r="A181" s="297"/>
      <c r="B181" s="297"/>
      <c r="C181" s="297"/>
      <c r="D181" s="297"/>
      <c r="E181" s="297"/>
      <c r="F181" s="297"/>
      <c r="G181" s="297"/>
    </row>
    <row r="182" spans="1:7">
      <c r="A182" s="297" t="s">
        <v>452</v>
      </c>
      <c r="B182" s="297"/>
      <c r="C182" s="297"/>
      <c r="D182" s="297"/>
      <c r="E182" s="297"/>
      <c r="F182" s="297"/>
      <c r="G182" s="297"/>
    </row>
    <row r="183" spans="1:7">
      <c r="A183" s="297"/>
      <c r="B183" s="297"/>
      <c r="C183" s="297"/>
      <c r="D183" s="297"/>
      <c r="E183" s="297"/>
      <c r="F183" s="297"/>
      <c r="G183" s="297"/>
    </row>
    <row r="184" spans="1:7">
      <c r="A184" s="475" t="s">
        <v>498</v>
      </c>
      <c r="B184" s="475"/>
      <c r="C184" s="475"/>
      <c r="D184" s="475"/>
      <c r="E184" s="475"/>
      <c r="F184" s="475"/>
      <c r="G184" s="475"/>
    </row>
    <row r="185" spans="1:7">
      <c r="A185" s="297"/>
      <c r="B185" s="297"/>
      <c r="C185" s="297"/>
      <c r="D185" s="297"/>
      <c r="E185" s="297"/>
      <c r="F185" s="297"/>
      <c r="G185" s="297"/>
    </row>
    <row r="186" spans="1:7">
      <c r="B186" s="461" t="s">
        <v>132</v>
      </c>
      <c r="C186" s="461"/>
      <c r="D186" s="461"/>
      <c r="E186" s="461"/>
      <c r="F186" s="461"/>
      <c r="G186" s="461"/>
    </row>
    <row r="187" spans="1:7" ht="30">
      <c r="B187" s="301" t="s">
        <v>8</v>
      </c>
      <c r="C187" s="146" t="s">
        <v>441</v>
      </c>
      <c r="D187" s="146" t="s">
        <v>248</v>
      </c>
      <c r="E187" s="146" t="s">
        <v>249</v>
      </c>
      <c r="F187" s="146" t="s">
        <v>442</v>
      </c>
      <c r="G187" s="146" t="s">
        <v>443</v>
      </c>
    </row>
    <row r="188" spans="1:7">
      <c r="A188" s="223">
        <v>1997</v>
      </c>
      <c r="B188" s="296" t="str">
        <f>IFERROR('13A-13H'!B68/'13A-13H'!B38*1000,"..")</f>
        <v>..</v>
      </c>
      <c r="C188" s="296">
        <f>IFERROR('13A-13H'!C68/'13A-13H'!C38*1000,"..")</f>
        <v>18.200395068455826</v>
      </c>
      <c r="D188" s="296">
        <f>IFERROR('13A-13H'!D68/'13A-13H'!D38*1000,"..")</f>
        <v>28.909083028735715</v>
      </c>
      <c r="E188" s="296" t="str">
        <f>IFERROR('13A-13H'!E68/'13A-13H'!E38*1000,"..")</f>
        <v>..</v>
      </c>
      <c r="F188" s="296" t="str">
        <f>IFERROR('13A-13H'!F68/'13A-13H'!F38*1000,"..")</f>
        <v>..</v>
      </c>
      <c r="G188" s="296" t="str">
        <f>IFERROR('13A-13H'!G68/'13A-13H'!G38*1000,"..")</f>
        <v>..</v>
      </c>
    </row>
    <row r="189" spans="1:7">
      <c r="A189" s="223">
        <v>1998</v>
      </c>
      <c r="B189" s="296">
        <f>IFERROR('13A-13H'!B69/'13A-13H'!B39*1000,"..")</f>
        <v>36.102954504259557</v>
      </c>
      <c r="C189" s="296">
        <f>IFERROR('13A-13H'!C69/'13A-13H'!C39*1000,"..")</f>
        <v>18.603382433169664</v>
      </c>
      <c r="D189" s="296">
        <f>IFERROR('13A-13H'!D69/'13A-13H'!D39*1000,"..")</f>
        <v>31.053905327148577</v>
      </c>
      <c r="E189" s="296">
        <f>IFERROR('13A-13H'!E69/'13A-13H'!E39*1000,"..")</f>
        <v>50.808266506069927</v>
      </c>
      <c r="F189" s="296">
        <f>IFERROR('13A-13H'!F69/'13A-13H'!F39*1000,"..")</f>
        <v>49.974417074775232</v>
      </c>
      <c r="G189" s="296">
        <f>IFERROR('13A-13H'!G69/'13A-13H'!G39*1000,"..")</f>
        <v>55.062344139650882</v>
      </c>
    </row>
    <row r="190" spans="1:7">
      <c r="A190" s="223">
        <v>1999</v>
      </c>
      <c r="B190" s="296">
        <f>IFERROR('13A-13H'!B70/'13A-13H'!B40*1000,"..")</f>
        <v>36.639948324965495</v>
      </c>
      <c r="C190" s="296">
        <f>IFERROR('13A-13H'!C70/'13A-13H'!C40*1000,"..")</f>
        <v>19.587983817748835</v>
      </c>
      <c r="D190" s="296">
        <f>IFERROR('13A-13H'!D70/'13A-13H'!D40*1000,"..")</f>
        <v>30.379832570236513</v>
      </c>
      <c r="E190" s="296">
        <f>IFERROR('13A-13H'!E70/'13A-13H'!E40*1000,"..")</f>
        <v>53.784485556637449</v>
      </c>
      <c r="F190" s="296">
        <f>IFERROR('13A-13H'!F70/'13A-13H'!F40*1000,"..")</f>
        <v>53.150650012745345</v>
      </c>
      <c r="G190" s="296">
        <f>IFERROR('13A-13H'!G70/'13A-13H'!G40*1000,"..")</f>
        <v>58.990620812862879</v>
      </c>
    </row>
    <row r="191" spans="1:7">
      <c r="A191" s="223">
        <v>2000</v>
      </c>
      <c r="B191" s="296">
        <f>IFERROR('13A-13H'!B71/'13A-13H'!B41*1000,"..")</f>
        <v>37.919936312976233</v>
      </c>
      <c r="C191" s="296">
        <f>IFERROR('13A-13H'!C71/'13A-13H'!C41*1000,"..")</f>
        <v>27.324316655632273</v>
      </c>
      <c r="D191" s="296">
        <f>IFERROR('13A-13H'!D71/'13A-13H'!D41*1000,"..")</f>
        <v>29.715844845386169</v>
      </c>
      <c r="E191" s="296">
        <f>IFERROR('13A-13H'!E71/'13A-13H'!E41*1000,"..")</f>
        <v>53.906685569555727</v>
      </c>
      <c r="F191" s="296">
        <f>IFERROR('13A-13H'!F71/'13A-13H'!F41*1000,"..")</f>
        <v>56.284315180293817</v>
      </c>
      <c r="G191" s="296">
        <f>IFERROR('13A-13H'!G71/'13A-13H'!G41*1000,"..")</f>
        <v>48.037416640558561</v>
      </c>
    </row>
    <row r="192" spans="1:7">
      <c r="A192" s="223">
        <v>2001</v>
      </c>
      <c r="B192" s="296">
        <f>IFERROR('13A-13H'!B72/'13A-13H'!B42*1000,"..")</f>
        <v>41.846736806194379</v>
      </c>
      <c r="C192" s="296">
        <f>IFERROR('13A-13H'!C72/'13A-13H'!C42*1000,"..")</f>
        <v>32.184032281308546</v>
      </c>
      <c r="D192" s="296">
        <f>IFERROR('13A-13H'!D72/'13A-13H'!D42*1000,"..")</f>
        <v>33.734426441159385</v>
      </c>
      <c r="E192" s="296">
        <f>IFERROR('13A-13H'!E72/'13A-13H'!E42*1000,"..")</f>
        <v>57.058264617055208</v>
      </c>
      <c r="F192" s="296">
        <f>IFERROR('13A-13H'!F72/'13A-13H'!F42*1000,"..")</f>
        <v>59.427163372370309</v>
      </c>
      <c r="G192" s="296">
        <f>IFERROR('13A-13H'!G72/'13A-13H'!G42*1000,"..")</f>
        <v>51.962634459331952</v>
      </c>
    </row>
    <row r="193" spans="1:7">
      <c r="A193" s="223">
        <v>2002</v>
      </c>
      <c r="B193" s="296">
        <f>IFERROR('13A-13H'!B73/'13A-13H'!B43*1000,"..")</f>
        <v>45.396995842125634</v>
      </c>
      <c r="C193" s="296">
        <f>IFERROR('13A-13H'!C73/'13A-13H'!C43*1000,"..")</f>
        <v>33.978767942583737</v>
      </c>
      <c r="D193" s="296">
        <f>IFERROR('13A-13H'!D73/'13A-13H'!D43*1000,"..")</f>
        <v>36.537551631095027</v>
      </c>
      <c r="E193" s="296">
        <f>IFERROR('13A-13H'!E73/'13A-13H'!E43*1000,"..")</f>
        <v>63.472576819309403</v>
      </c>
      <c r="F193" s="296">
        <f>IFERROR('13A-13H'!F73/'13A-13H'!F43*1000,"..")</f>
        <v>66.300334602515292</v>
      </c>
      <c r="G193" s="296">
        <f>IFERROR('13A-13H'!G73/'13A-13H'!G43*1000,"..")</f>
        <v>59.02038036869498</v>
      </c>
    </row>
    <row r="194" spans="1:7">
      <c r="A194" s="223">
        <v>2003</v>
      </c>
      <c r="B194" s="296">
        <f>IFERROR('13A-13H'!B74/'13A-13H'!B44*1000,"..")</f>
        <v>43.955870664967769</v>
      </c>
      <c r="C194" s="296">
        <f>IFERROR('13A-13H'!C74/'13A-13H'!C44*1000,"..")</f>
        <v>30.812641083521441</v>
      </c>
      <c r="D194" s="296">
        <f>IFERROR('13A-13H'!D74/'13A-13H'!D44*1000,"..")</f>
        <v>35.605291236550151</v>
      </c>
      <c r="E194" s="296">
        <f>IFERROR('13A-13H'!E74/'13A-13H'!E44*1000,"..")</f>
        <v>62.923478293511515</v>
      </c>
      <c r="F194" s="296">
        <f>IFERROR('13A-13H'!F74/'13A-13H'!F44*1000,"..")</f>
        <v>65.124344191836855</v>
      </c>
      <c r="G194" s="296">
        <f>IFERROR('13A-13H'!G74/'13A-13H'!G44*1000,"..")</f>
        <v>59.49541988639271</v>
      </c>
    </row>
    <row r="195" spans="1:7">
      <c r="A195" s="223">
        <v>2004</v>
      </c>
      <c r="B195" s="296">
        <f>IFERROR('13A-13H'!B75/'13A-13H'!B45*1000,"..")</f>
        <v>43.555080687718657</v>
      </c>
      <c r="C195" s="296">
        <f>IFERROR('13A-13H'!C75/'13A-13H'!C45*1000,"..")</f>
        <v>34.828333935670408</v>
      </c>
      <c r="D195" s="296">
        <f>IFERROR('13A-13H'!D75/'13A-13H'!D45*1000,"..")</f>
        <v>35.917813529753822</v>
      </c>
      <c r="E195" s="296">
        <f>IFERROR('13A-13H'!E75/'13A-13H'!E45*1000,"..")</f>
        <v>58.352146575368025</v>
      </c>
      <c r="F195" s="296">
        <f>IFERROR('13A-13H'!F75/'13A-13H'!F45*1000,"..")</f>
        <v>57.427195866604038</v>
      </c>
      <c r="G195" s="296">
        <f>IFERROR('13A-13H'!G75/'13A-13H'!G45*1000,"..")</f>
        <v>61.344322719361109</v>
      </c>
    </row>
    <row r="196" spans="1:7">
      <c r="A196" s="223">
        <v>2005</v>
      </c>
      <c r="B196" s="296">
        <f>IFERROR('13A-13H'!B76/'13A-13H'!B46*1000,"..")</f>
        <v>46.783178236762751</v>
      </c>
      <c r="C196" s="296">
        <f>IFERROR('13A-13H'!C76/'13A-13H'!C46*1000,"..")</f>
        <v>38.045228337236537</v>
      </c>
      <c r="D196" s="296">
        <f>IFERROR('13A-13H'!D76/'13A-13H'!D46*1000,"..")</f>
        <v>41.15495391705069</v>
      </c>
      <c r="E196" s="296">
        <f>IFERROR('13A-13H'!E76/'13A-13H'!E46*1000,"..")</f>
        <v>57.745007573515323</v>
      </c>
      <c r="F196" s="296">
        <f>IFERROR('13A-13H'!F76/'13A-13H'!F46*1000,"..")</f>
        <v>57.214913421038943</v>
      </c>
      <c r="G196" s="296">
        <f>IFERROR('13A-13H'!G76/'13A-13H'!G46*1000,"..")</f>
        <v>58.882740447957836</v>
      </c>
    </row>
    <row r="197" spans="1:7">
      <c r="A197" s="223">
        <v>2006</v>
      </c>
      <c r="B197" s="296">
        <f>IFERROR('13A-13H'!B77/'13A-13H'!B47*1000,"..")</f>
        <v>48.097646800087979</v>
      </c>
      <c r="C197" s="296">
        <f>IFERROR('13A-13H'!C77/'13A-13H'!C47*1000,"..")</f>
        <v>36.340359210331002</v>
      </c>
      <c r="D197" s="296">
        <f>IFERROR('13A-13H'!D77/'13A-13H'!D47*1000,"..")</f>
        <v>45.140996459281737</v>
      </c>
      <c r="E197" s="296">
        <f>IFERROR('13A-13H'!E77/'13A-13H'!E47*1000,"..")</f>
        <v>57.210808073500694</v>
      </c>
      <c r="F197" s="296">
        <f>IFERROR('13A-13H'!F77/'13A-13H'!F47*1000,"..")</f>
        <v>56.355605226045078</v>
      </c>
      <c r="G197" s="296">
        <f>IFERROR('13A-13H'!G77/'13A-13H'!G47*1000,"..")</f>
        <v>58.83349330924284</v>
      </c>
    </row>
    <row r="198" spans="1:7">
      <c r="A198" s="223">
        <v>2007</v>
      </c>
      <c r="B198" s="296">
        <f>IFERROR('13A-13H'!B78/'13A-13H'!B48*1000,"..")</f>
        <v>48.91683406390716</v>
      </c>
      <c r="C198" s="296">
        <f>IFERROR('13A-13H'!C78/'13A-13H'!C48*1000,"..")</f>
        <v>35.86584813151498</v>
      </c>
      <c r="D198" s="296">
        <f>IFERROR('13A-13H'!D78/'13A-13H'!D48*1000,"..")</f>
        <v>45.535952241351744</v>
      </c>
      <c r="E198" s="296">
        <f>IFERROR('13A-13H'!E78/'13A-13H'!E48*1000,"..")</f>
        <v>58.419385670646001</v>
      </c>
      <c r="F198" s="296">
        <f>IFERROR('13A-13H'!F78/'13A-13H'!F48*1000,"..")</f>
        <v>62.202354074475458</v>
      </c>
      <c r="G198" s="296">
        <f>IFERROR('13A-13H'!G78/'13A-13H'!G48*1000,"..")</f>
        <v>52.179741807348563</v>
      </c>
    </row>
    <row r="199" spans="1:7">
      <c r="A199" s="223">
        <v>2008</v>
      </c>
      <c r="B199" s="296">
        <f>IFERROR('13A-13H'!B79/'13A-13H'!B49*1000,"..")</f>
        <v>49.838637525562369</v>
      </c>
      <c r="C199" s="296">
        <f>IFERROR('13A-13H'!C79/'13A-13H'!C49*1000,"..")</f>
        <v>34.359972976195209</v>
      </c>
      <c r="D199" s="296">
        <f>IFERROR('13A-13H'!D79/'13A-13H'!D49*1000,"..")</f>
        <v>47.693268049080238</v>
      </c>
      <c r="E199" s="296">
        <f>IFERROR('13A-13H'!E79/'13A-13H'!E49*1000,"..")</f>
        <v>60.082448008531934</v>
      </c>
      <c r="F199" s="296">
        <f>IFERROR('13A-13H'!F79/'13A-13H'!F49*1000,"..")</f>
        <v>62.749891169674846</v>
      </c>
      <c r="G199" s="296">
        <f>IFERROR('13A-13H'!G79/'13A-13H'!G49*1000,"..")</f>
        <v>55.850754167769246</v>
      </c>
    </row>
    <row r="200" spans="1:7">
      <c r="A200" s="223">
        <v>2009</v>
      </c>
      <c r="B200" s="296">
        <f>IFERROR('13A-13H'!B80/'13A-13H'!B50*1000,"..")</f>
        <v>48.988050192710446</v>
      </c>
      <c r="C200" s="296">
        <f>IFERROR('13A-13H'!C80/'13A-13H'!C50*1000,"..")</f>
        <v>32.558522914606002</v>
      </c>
      <c r="D200" s="296">
        <f>IFERROR('13A-13H'!D80/'13A-13H'!D50*1000,"..")</f>
        <v>45.372143495467895</v>
      </c>
      <c r="E200" s="296">
        <f>IFERROR('13A-13H'!E80/'13A-13H'!E50*1000,"..")</f>
        <v>62.404436054742803</v>
      </c>
      <c r="F200" s="296">
        <f>IFERROR('13A-13H'!F80/'13A-13H'!F50*1000,"..")</f>
        <v>64.266282605216844</v>
      </c>
      <c r="G200" s="296">
        <f>IFERROR('13A-13H'!G80/'13A-13H'!G50*1000,"..")</f>
        <v>59.995397802450675</v>
      </c>
    </row>
    <row r="201" spans="1:7">
      <c r="A201" s="223">
        <v>2010</v>
      </c>
      <c r="B201" s="296">
        <f>IFERROR('13A-13H'!B81/'13A-13H'!B51*1000,"..")</f>
        <v>51.258679792563946</v>
      </c>
      <c r="C201" s="296">
        <f>IFERROR('13A-13H'!C81/'13A-13H'!C51*1000,"..")</f>
        <v>50.792910447761201</v>
      </c>
      <c r="D201" s="296">
        <f>IFERROR('13A-13H'!D81/'13A-13H'!D51*1000,"..")</f>
        <v>42.722950472560683</v>
      </c>
      <c r="E201" s="296">
        <f>IFERROR('13A-13H'!E81/'13A-13H'!E51*1000,"..")</f>
        <v>61.365213692435134</v>
      </c>
      <c r="F201" s="296">
        <f>IFERROR('13A-13H'!F81/'13A-13H'!F51*1000,"..")</f>
        <v>69.221628045157459</v>
      </c>
      <c r="G201" s="296">
        <f>IFERROR('13A-13H'!G81/'13A-13H'!G51*1000,"..")</f>
        <v>51.063172527415951</v>
      </c>
    </row>
    <row r="202" spans="1:7">
      <c r="A202" s="223">
        <v>2011</v>
      </c>
      <c r="B202" s="296">
        <f>IFERROR('13A-13H'!B82/'13A-13H'!B52*1000,"..")</f>
        <v>53.119995582307148</v>
      </c>
      <c r="C202" s="296">
        <f>IFERROR('13A-13H'!C82/'13A-13H'!C52*1000,"..")</f>
        <v>40.215159360771359</v>
      </c>
      <c r="D202" s="296">
        <f>IFERROR('13A-13H'!D82/'13A-13H'!D52*1000,"..")</f>
        <v>45.673116340083631</v>
      </c>
      <c r="E202" s="296">
        <f>IFERROR('13A-13H'!E82/'13A-13H'!E52*1000,"..")</f>
        <v>70.534379671150973</v>
      </c>
      <c r="F202" s="296">
        <f>IFERROR('13A-13H'!F82/'13A-13H'!F52*1000,"..")</f>
        <v>80.105780829544386</v>
      </c>
      <c r="G202" s="296">
        <f>IFERROR('13A-13H'!G82/'13A-13H'!G52*1000,"..")</f>
        <v>57.37272155876807</v>
      </c>
    </row>
    <row r="203" spans="1:7">
      <c r="A203" s="223">
        <v>2012</v>
      </c>
      <c r="B203" s="296">
        <f>IFERROR('13A-13H'!B83/'13A-13H'!B53*1000,"..")</f>
        <v>57.325437997492791</v>
      </c>
      <c r="C203" s="296">
        <f>IFERROR('13A-13H'!C83/'13A-13H'!C53*1000,"..")</f>
        <v>53.088382500147205</v>
      </c>
      <c r="D203" s="296">
        <f>IFERROR('13A-13H'!D83/'13A-13H'!D53*1000,"..")</f>
        <v>51.599341985011883</v>
      </c>
      <c r="E203" s="296">
        <f>IFERROR('13A-13H'!E83/'13A-13H'!E53*1000,"..")</f>
        <v>65.958357865439154</v>
      </c>
      <c r="F203" s="296">
        <f>IFERROR('13A-13H'!F83/'13A-13H'!F53*1000,"..")</f>
        <v>73.997547795286323</v>
      </c>
      <c r="G203" s="296">
        <f>IFERROR('13A-13H'!G83/'13A-13H'!G53*1000,"..")</f>
        <v>54.226132290648415</v>
      </c>
    </row>
    <row r="204" spans="1:7">
      <c r="A204" s="223">
        <v>2013</v>
      </c>
      <c r="B204" s="296">
        <f>IFERROR('13A-13H'!B84/'13A-13H'!B54*1000,"..")</f>
        <v>61.006500666869705</v>
      </c>
      <c r="C204" s="296">
        <f>IFERROR('13A-13H'!C84/'13A-13H'!C54*1000,"..")</f>
        <v>63.515478911281953</v>
      </c>
      <c r="D204" s="296">
        <f>IFERROR('13A-13H'!D84/'13A-13H'!D54*1000,"..")</f>
        <v>54.423197212045388</v>
      </c>
      <c r="E204" s="296">
        <f>IFERROR('13A-13H'!E84/'13A-13H'!E54*1000,"..")</f>
        <v>68.182575378977177</v>
      </c>
      <c r="F204" s="296">
        <f>IFERROR('13A-13H'!F84/'13A-13H'!F54*1000,"..")</f>
        <v>77.513441499738306</v>
      </c>
      <c r="G204" s="296">
        <f>IFERROR('13A-13H'!G84/'13A-13H'!G54*1000,"..")</f>
        <v>54.90967268848744</v>
      </c>
    </row>
    <row r="205" spans="1:7">
      <c r="A205" s="223"/>
      <c r="B205" s="296"/>
      <c r="C205" s="296"/>
      <c r="D205" s="296"/>
      <c r="E205" s="296"/>
      <c r="F205" s="296"/>
      <c r="G205" s="296"/>
    </row>
    <row r="206" spans="1:7">
      <c r="A206" s="223" t="s">
        <v>32</v>
      </c>
      <c r="B206" s="296"/>
      <c r="C206" s="296"/>
      <c r="D206" s="296"/>
      <c r="E206" s="296"/>
      <c r="F206" s="296"/>
      <c r="G206" s="296"/>
    </row>
    <row r="207" spans="1:7">
      <c r="A207" s="295" t="s">
        <v>444</v>
      </c>
      <c r="B207" s="296" t="str">
        <f t="shared" ref="B207:G207" si="30">IFERROR(((B204/B188)^(1/16)-1)*100,"..")</f>
        <v>..</v>
      </c>
      <c r="C207" s="296">
        <f t="shared" si="30"/>
        <v>8.1247017744114025</v>
      </c>
      <c r="D207" s="296">
        <f t="shared" si="30"/>
        <v>4.0331763145808663</v>
      </c>
      <c r="E207" s="296" t="str">
        <f t="shared" si="30"/>
        <v>..</v>
      </c>
      <c r="F207" s="296" t="str">
        <f t="shared" si="30"/>
        <v>..</v>
      </c>
      <c r="G207" s="296" t="str">
        <f t="shared" si="30"/>
        <v>..</v>
      </c>
    </row>
    <row r="208" spans="1:7">
      <c r="A208" s="295" t="s">
        <v>15</v>
      </c>
      <c r="B208" s="296">
        <f t="shared" ref="B208:G208" si="31">IFERROR(((B204/B191)^(1/13)-1)*100,"..")</f>
        <v>3.7254363315275318</v>
      </c>
      <c r="C208" s="296">
        <f t="shared" si="31"/>
        <v>6.7036440535314767</v>
      </c>
      <c r="D208" s="296">
        <f t="shared" si="31"/>
        <v>4.7647243378084791</v>
      </c>
      <c r="E208" s="296">
        <f t="shared" si="31"/>
        <v>1.8236171817263447</v>
      </c>
      <c r="F208" s="296">
        <f t="shared" si="31"/>
        <v>2.4923639841529788</v>
      </c>
      <c r="G208" s="296">
        <f t="shared" si="31"/>
        <v>1.0338406580407522</v>
      </c>
    </row>
    <row r="209" spans="1:7">
      <c r="A209" s="295" t="s">
        <v>68</v>
      </c>
      <c r="B209" s="296">
        <f t="shared" ref="B209:G209" si="32">IFERROR(((B198/B191)^(1/7)-1)*100,"..")</f>
        <v>3.7047568209460424</v>
      </c>
      <c r="C209" s="296">
        <f t="shared" si="32"/>
        <v>3.9623219720691605</v>
      </c>
      <c r="D209" s="296">
        <f t="shared" si="32"/>
        <v>6.2871852072850176</v>
      </c>
      <c r="E209" s="296">
        <f t="shared" si="32"/>
        <v>1.1550956466403361</v>
      </c>
      <c r="F209" s="296">
        <f t="shared" si="32"/>
        <v>1.4384901529010508</v>
      </c>
      <c r="G209" s="296">
        <f t="shared" si="32"/>
        <v>1.188638985091317</v>
      </c>
    </row>
    <row r="210" spans="1:7">
      <c r="A210" s="295" t="s">
        <v>69</v>
      </c>
      <c r="B210" s="296">
        <f t="shared" ref="B210:G210" si="33">IFERROR(((B204/B198)^(1/6)-1)*100,"..")</f>
        <v>3.7495676390995492</v>
      </c>
      <c r="C210" s="296">
        <f t="shared" si="33"/>
        <v>9.9933456149350128</v>
      </c>
      <c r="D210" s="296">
        <f t="shared" si="33"/>
        <v>3.0160605959799858</v>
      </c>
      <c r="E210" s="296">
        <f t="shared" si="33"/>
        <v>2.609145103988153</v>
      </c>
      <c r="F210" s="296">
        <f t="shared" si="33"/>
        <v>3.7357297437013326</v>
      </c>
      <c r="G210" s="296">
        <f t="shared" si="33"/>
        <v>0.8535418864027422</v>
      </c>
    </row>
    <row r="211" spans="1:7">
      <c r="A211" s="297"/>
      <c r="B211" s="297"/>
      <c r="C211" s="297"/>
      <c r="D211" s="297"/>
      <c r="E211" s="297"/>
      <c r="F211" s="297"/>
      <c r="G211" s="297"/>
    </row>
    <row r="212" spans="1:7">
      <c r="A212" s="297" t="s">
        <v>453</v>
      </c>
      <c r="B212" s="297"/>
      <c r="C212" s="297"/>
      <c r="D212" s="297"/>
      <c r="E212" s="297"/>
      <c r="F212" s="297"/>
      <c r="G212" s="297"/>
    </row>
    <row r="214" spans="1:7">
      <c r="A214" s="475" t="s">
        <v>499</v>
      </c>
      <c r="B214" s="475"/>
      <c r="C214" s="475"/>
      <c r="D214" s="475"/>
      <c r="E214" s="475"/>
      <c r="F214" s="475"/>
      <c r="G214" s="475"/>
    </row>
    <row r="216" spans="1:7">
      <c r="B216" s="461" t="s">
        <v>132</v>
      </c>
      <c r="C216" s="461"/>
      <c r="D216" s="461"/>
      <c r="E216" s="461"/>
      <c r="F216" s="461"/>
      <c r="G216" s="279"/>
    </row>
    <row r="217" spans="1:7">
      <c r="B217" s="298" t="s">
        <v>461</v>
      </c>
      <c r="C217" s="298" t="s">
        <v>462</v>
      </c>
      <c r="D217" s="298" t="s">
        <v>463</v>
      </c>
      <c r="E217" s="298" t="s">
        <v>464</v>
      </c>
      <c r="F217" s="298" t="s">
        <v>465</v>
      </c>
      <c r="G217" s="298"/>
    </row>
    <row r="218" spans="1:7">
      <c r="B218" s="480" t="s">
        <v>466</v>
      </c>
      <c r="C218" s="480"/>
      <c r="D218" s="480"/>
      <c r="E218" s="480"/>
      <c r="F218" s="480"/>
      <c r="G218" s="298"/>
    </row>
    <row r="219" spans="1:7">
      <c r="A219" s="295" t="s">
        <v>15</v>
      </c>
      <c r="B219" s="296">
        <f>B148</f>
        <v>2.1910697527995682</v>
      </c>
      <c r="C219" s="296">
        <f>'16A'!B23</f>
        <v>-3.0041418112049856</v>
      </c>
      <c r="D219" s="296">
        <f>B118</f>
        <v>-0.6457874139257469</v>
      </c>
      <c r="E219" s="299">
        <f>B208</f>
        <v>3.7254363315275318</v>
      </c>
      <c r="F219" s="299">
        <f>B178</f>
        <v>3.0555905186589571</v>
      </c>
      <c r="G219" s="299"/>
    </row>
    <row r="220" spans="1:7">
      <c r="A220" s="295" t="s">
        <v>68</v>
      </c>
      <c r="B220" s="296">
        <f t="shared" ref="B220:B221" si="34">B149</f>
        <v>5.2914194605903297</v>
      </c>
      <c r="C220" s="296">
        <f>'16A'!B24</f>
        <v>-3.7814232314877794</v>
      </c>
      <c r="D220" s="296">
        <f t="shared" ref="D220:D221" si="35">B119</f>
        <v>0.52543995128861987</v>
      </c>
      <c r="E220" s="299">
        <f t="shared" ref="E220:E221" si="36">B209</f>
        <v>3.7047568209460424</v>
      </c>
      <c r="F220" s="299">
        <f t="shared" ref="F220:F221" si="37">B179</f>
        <v>4.2496630446700046</v>
      </c>
      <c r="G220" s="299"/>
    </row>
    <row r="221" spans="1:7">
      <c r="A221" s="295" t="s">
        <v>69</v>
      </c>
      <c r="B221" s="296">
        <f t="shared" si="34"/>
        <v>-1.3108130322581069</v>
      </c>
      <c r="C221" s="296">
        <f>'16A'!B25</f>
        <v>-2.0893738426500441</v>
      </c>
      <c r="D221" s="296">
        <f t="shared" si="35"/>
        <v>-1.9949834605531125</v>
      </c>
      <c r="E221" s="299">
        <f t="shared" si="36"/>
        <v>3.7495676390995492</v>
      </c>
      <c r="F221" s="299">
        <f t="shared" si="37"/>
        <v>1.6797809243041417</v>
      </c>
      <c r="G221" s="299"/>
    </row>
    <row r="222" spans="1:7" hidden="1">
      <c r="A222" s="300"/>
      <c r="B222" s="481" t="s">
        <v>467</v>
      </c>
      <c r="C222" s="481"/>
      <c r="D222" s="481"/>
      <c r="E222" s="481"/>
      <c r="F222" s="481"/>
      <c r="G222" s="299"/>
    </row>
    <row r="223" spans="1:7" hidden="1">
      <c r="A223" s="295" t="s">
        <v>445</v>
      </c>
      <c r="B223" s="299">
        <f>LN(B144)-LN(B131)</f>
        <v>0.28176340210271789</v>
      </c>
      <c r="C223" s="299">
        <f>LN('16A'!B20)-LN('16A'!B7)</f>
        <v>-0.36598801554819677</v>
      </c>
      <c r="D223" s="299">
        <f>LN(B114)-LN(B101)</f>
        <v>-8.4224613445478991E-2</v>
      </c>
      <c r="E223" s="299">
        <f>LN(B204)-LN(B191)</f>
        <v>0.47550342892936159</v>
      </c>
      <c r="F223" s="299">
        <f>LN(B174/B161)</f>
        <v>0.39127881548388277</v>
      </c>
      <c r="G223" s="299"/>
    </row>
    <row r="224" spans="1:7" hidden="1">
      <c r="A224" s="295" t="s">
        <v>446</v>
      </c>
      <c r="B224" s="299">
        <f>LN(B138)-LN(B131)</f>
        <v>0.36093220259280961</v>
      </c>
      <c r="C224" s="299">
        <f>LN('16A'!B14)-LN('16A'!B7)</f>
        <v>-0.32424769934062081</v>
      </c>
      <c r="D224" s="299">
        <f>LN(B108)-LN(B101)</f>
        <v>3.6684503252188694E-2</v>
      </c>
      <c r="E224" s="299">
        <f>LN(B198)-LN(B191)</f>
        <v>0.25464459424904584</v>
      </c>
      <c r="F224" s="299">
        <f>LN(B168/B161)</f>
        <v>0.29132909750123465</v>
      </c>
      <c r="G224" s="299"/>
    </row>
    <row r="225" spans="1:7" hidden="1">
      <c r="A225" s="300" t="s">
        <v>447</v>
      </c>
      <c r="B225" s="299">
        <f>LN(B138)-LN(B144)</f>
        <v>7.9168800490091729E-2</v>
      </c>
      <c r="C225" s="299">
        <f>LN('16A'!B20)-LN('16A'!B14)</f>
        <v>-4.1740316207575991E-2</v>
      </c>
      <c r="D225" s="299">
        <f>LN(B114)-LN(B108)</f>
        <v>-0.12090911669766768</v>
      </c>
      <c r="E225" s="299">
        <f>LN(B204)-LN(B198)</f>
        <v>0.22085883468031575</v>
      </c>
      <c r="F225" s="299">
        <f>LN(B174/B168)</f>
        <v>9.9949717982648234E-2</v>
      </c>
      <c r="G225" s="299"/>
    </row>
    <row r="226" spans="1:7">
      <c r="B226" s="480" t="s">
        <v>468</v>
      </c>
      <c r="C226" s="480"/>
      <c r="D226" s="480"/>
      <c r="E226" s="480"/>
      <c r="F226" s="480"/>
      <c r="G226" s="299"/>
    </row>
    <row r="227" spans="1:7">
      <c r="A227" s="295" t="s">
        <v>15</v>
      </c>
      <c r="B227" s="299">
        <f>B223/$B223*100</f>
        <v>100</v>
      </c>
      <c r="C227" s="299">
        <f t="shared" ref="C227:F227" si="38">C223/$B223*100</f>
        <v>-129.89196354705231</v>
      </c>
      <c r="D227" s="299">
        <f t="shared" si="38"/>
        <v>-29.891963547052359</v>
      </c>
      <c r="E227" s="299">
        <f t="shared" si="38"/>
        <v>168.75982664207578</v>
      </c>
      <c r="F227" s="299">
        <f t="shared" si="38"/>
        <v>138.86786309502349</v>
      </c>
      <c r="G227" s="299"/>
    </row>
    <row r="228" spans="1:7">
      <c r="A228" s="295" t="s">
        <v>68</v>
      </c>
      <c r="B228" s="299">
        <f t="shared" ref="B228:F229" si="39">B224/$B224*100</f>
        <v>100</v>
      </c>
      <c r="C228" s="299">
        <f t="shared" si="39"/>
        <v>-89.836178930929336</v>
      </c>
      <c r="D228" s="299">
        <f t="shared" si="39"/>
        <v>10.163821069070636</v>
      </c>
      <c r="E228" s="299">
        <f t="shared" si="39"/>
        <v>70.55191873148722</v>
      </c>
      <c r="F228" s="299">
        <f t="shared" si="39"/>
        <v>80.715739800557884</v>
      </c>
      <c r="G228" s="370"/>
    </row>
    <row r="229" spans="1:7">
      <c r="A229" s="295" t="s">
        <v>69</v>
      </c>
      <c r="B229" s="299">
        <f t="shared" si="39"/>
        <v>100</v>
      </c>
      <c r="C229" s="299">
        <f t="shared" si="39"/>
        <v>-52.723188868827123</v>
      </c>
      <c r="D229" s="299">
        <f t="shared" si="39"/>
        <v>-152.72318886882707</v>
      </c>
      <c r="E229" s="299">
        <f t="shared" si="39"/>
        <v>278.97206135888979</v>
      </c>
      <c r="F229" s="299">
        <f t="shared" si="39"/>
        <v>126.24887249006294</v>
      </c>
      <c r="G229" s="370"/>
    </row>
    <row r="230" spans="1:7">
      <c r="B230" s="480" t="s">
        <v>469</v>
      </c>
      <c r="C230" s="480"/>
      <c r="D230" s="480"/>
      <c r="E230" s="480"/>
      <c r="F230" s="480"/>
    </row>
    <row r="231" spans="1:7">
      <c r="A231" s="295" t="s">
        <v>15</v>
      </c>
      <c r="B231" s="299" t="s">
        <v>10</v>
      </c>
      <c r="C231" s="299" t="s">
        <v>10</v>
      </c>
      <c r="D231" s="299">
        <f>D223/$D223*100</f>
        <v>100</v>
      </c>
      <c r="E231" s="299">
        <f t="shared" ref="E231:F231" si="40">E223/$D223*100</f>
        <v>-564.56587863970265</v>
      </c>
      <c r="F231" s="299">
        <f t="shared" si="40"/>
        <v>-464.56587863970287</v>
      </c>
      <c r="G231" s="299"/>
    </row>
    <row r="232" spans="1:7">
      <c r="A232" s="295" t="s">
        <v>68</v>
      </c>
      <c r="B232" s="299" t="s">
        <v>10</v>
      </c>
      <c r="C232" s="299" t="s">
        <v>10</v>
      </c>
      <c r="D232" s="299">
        <f t="shared" ref="D232:F233" si="41">D224/$D224*100</f>
        <v>100</v>
      </c>
      <c r="E232" s="299">
        <f t="shared" si="41"/>
        <v>694.14758732995267</v>
      </c>
      <c r="F232" s="299">
        <f t="shared" si="41"/>
        <v>794.14758732995301</v>
      </c>
      <c r="G232" s="299"/>
    </row>
    <row r="233" spans="1:7">
      <c r="A233" s="295" t="s">
        <v>69</v>
      </c>
      <c r="B233" s="299" t="s">
        <v>10</v>
      </c>
      <c r="C233" s="299" t="s">
        <v>10</v>
      </c>
      <c r="D233" s="299">
        <f t="shared" si="41"/>
        <v>100</v>
      </c>
      <c r="E233" s="299">
        <f>E225/$D225*100</f>
        <v>-182.66516265483236</v>
      </c>
      <c r="F233" s="299">
        <f>F225/$D225*100</f>
        <v>-82.6651626548325</v>
      </c>
      <c r="G233" s="299"/>
    </row>
  </sheetData>
  <mergeCells count="21">
    <mergeCell ref="A184:G184"/>
    <mergeCell ref="A214:G214"/>
    <mergeCell ref="A3:G3"/>
    <mergeCell ref="A1:G1"/>
    <mergeCell ref="A34:G34"/>
    <mergeCell ref="A64:G64"/>
    <mergeCell ref="A94:G94"/>
    <mergeCell ref="A124:G124"/>
    <mergeCell ref="B186:G186"/>
    <mergeCell ref="B5:G5"/>
    <mergeCell ref="B36:G36"/>
    <mergeCell ref="B66:G66"/>
    <mergeCell ref="B96:G96"/>
    <mergeCell ref="B126:G126"/>
    <mergeCell ref="B156:G156"/>
    <mergeCell ref="A154:G154"/>
    <mergeCell ref="B216:F216"/>
    <mergeCell ref="B218:F218"/>
    <mergeCell ref="B222:F222"/>
    <mergeCell ref="B226:F226"/>
    <mergeCell ref="B230:F230"/>
  </mergeCells>
  <printOptions gridLines="1"/>
  <pageMargins left="0.7" right="0.7" top="0.75" bottom="0.75" header="0.3" footer="0.3"/>
  <pageSetup scale="55" orientation="portrait" horizontalDpi="0" verticalDpi="0" r:id="rId1"/>
  <rowBreaks count="3" manualBreakCount="3">
    <brk id="63" max="16383" man="1"/>
    <brk id="123" max="16383" man="1"/>
    <brk id="183" max="6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>
  <dimension ref="A1:X233"/>
  <sheetViews>
    <sheetView view="pageBreakPreview" zoomScaleNormal="100" zoomScaleSheetLayoutView="100" workbookViewId="0">
      <selection activeCell="A31" sqref="A31"/>
    </sheetView>
  </sheetViews>
  <sheetFormatPr defaultRowHeight="15"/>
  <cols>
    <col min="1" max="1" width="6.140625" style="3" customWidth="1"/>
    <col min="2" max="7" width="25.140625" style="3" customWidth="1"/>
    <col min="8" max="16384" width="9.140625" style="3"/>
  </cols>
  <sheetData>
    <row r="1" spans="1:24">
      <c r="A1" s="461" t="s">
        <v>502</v>
      </c>
      <c r="B1" s="461"/>
      <c r="C1" s="461"/>
      <c r="D1" s="461"/>
      <c r="E1" s="461"/>
      <c r="F1" s="461"/>
      <c r="G1" s="461"/>
    </row>
    <row r="2" spans="1:24">
      <c r="A2" s="223"/>
    </row>
    <row r="3" spans="1:24">
      <c r="A3" s="475" t="s">
        <v>503</v>
      </c>
      <c r="B3" s="475"/>
      <c r="C3" s="475"/>
      <c r="D3" s="475"/>
      <c r="E3" s="475"/>
      <c r="F3" s="475"/>
      <c r="G3" s="475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</row>
    <row r="4" spans="1:24"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</row>
    <row r="5" spans="1:24">
      <c r="B5" s="461" t="s">
        <v>133</v>
      </c>
      <c r="C5" s="461"/>
      <c r="D5" s="461"/>
      <c r="E5" s="461"/>
      <c r="F5" s="461"/>
      <c r="G5" s="461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</row>
    <row r="6" spans="1:24" ht="30">
      <c r="A6" s="223"/>
      <c r="B6" s="294" t="s">
        <v>8</v>
      </c>
      <c r="C6" s="146" t="s">
        <v>441</v>
      </c>
      <c r="D6" s="146" t="s">
        <v>248</v>
      </c>
      <c r="E6" s="146" t="s">
        <v>249</v>
      </c>
      <c r="F6" s="146" t="s">
        <v>442</v>
      </c>
      <c r="G6" s="146" t="s">
        <v>443</v>
      </c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</row>
    <row r="7" spans="1:24">
      <c r="A7" s="223">
        <v>1997</v>
      </c>
      <c r="B7" s="190">
        <f>C7+D7+E7</f>
        <v>3261304</v>
      </c>
      <c r="C7" s="408">
        <v>448282</v>
      </c>
      <c r="D7" s="408">
        <v>1116198</v>
      </c>
      <c r="E7" s="408">
        <v>1696824</v>
      </c>
      <c r="F7" s="408">
        <v>933092</v>
      </c>
      <c r="G7" s="408">
        <v>763731</v>
      </c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</row>
    <row r="8" spans="1:24">
      <c r="A8" s="223">
        <v>1998</v>
      </c>
      <c r="B8" s="190">
        <f t="shared" ref="B8:B23" si="0">C8+D8+E8</f>
        <v>3283596</v>
      </c>
      <c r="C8" s="408">
        <v>407965</v>
      </c>
      <c r="D8" s="408">
        <v>1195721</v>
      </c>
      <c r="E8" s="408">
        <v>1679910</v>
      </c>
      <c r="F8" s="408">
        <v>868556</v>
      </c>
      <c r="G8" s="408">
        <v>811353</v>
      </c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</row>
    <row r="9" spans="1:24">
      <c r="A9" s="223">
        <v>1999</v>
      </c>
      <c r="B9" s="190">
        <f t="shared" si="0"/>
        <v>3524904</v>
      </c>
      <c r="C9" s="408">
        <v>429358</v>
      </c>
      <c r="D9" s="408">
        <v>1284778</v>
      </c>
      <c r="E9" s="408">
        <v>1810768</v>
      </c>
      <c r="F9" s="408">
        <v>948448</v>
      </c>
      <c r="G9" s="408">
        <v>862320</v>
      </c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</row>
    <row r="10" spans="1:24">
      <c r="A10" s="223">
        <v>2000</v>
      </c>
      <c r="B10" s="190">
        <f t="shared" si="0"/>
        <v>3873131</v>
      </c>
      <c r="C10" s="408">
        <v>488418</v>
      </c>
      <c r="D10" s="408">
        <v>1408479</v>
      </c>
      <c r="E10" s="408">
        <v>1976234</v>
      </c>
      <c r="F10" s="408">
        <v>985066</v>
      </c>
      <c r="G10" s="408">
        <v>991169</v>
      </c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</row>
    <row r="11" spans="1:24">
      <c r="A11" s="223">
        <v>2001</v>
      </c>
      <c r="B11" s="190">
        <f t="shared" si="0"/>
        <v>3959784</v>
      </c>
      <c r="C11" s="408">
        <v>434005</v>
      </c>
      <c r="D11" s="408">
        <v>1432668</v>
      </c>
      <c r="E11" s="408">
        <v>2093111</v>
      </c>
      <c r="F11" s="408">
        <v>982742</v>
      </c>
      <c r="G11" s="408">
        <v>1110369</v>
      </c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</row>
    <row r="12" spans="1:24">
      <c r="A12" s="223">
        <v>2002</v>
      </c>
      <c r="B12" s="190">
        <f t="shared" si="0"/>
        <v>4032876</v>
      </c>
      <c r="C12" s="408">
        <v>422930</v>
      </c>
      <c r="D12" s="408">
        <v>1491258</v>
      </c>
      <c r="E12" s="408">
        <v>2118688</v>
      </c>
      <c r="F12" s="408">
        <v>956721</v>
      </c>
      <c r="G12" s="408">
        <v>1161968</v>
      </c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</row>
    <row r="13" spans="1:24">
      <c r="A13" s="223">
        <v>2003</v>
      </c>
      <c r="B13" s="190">
        <f t="shared" si="0"/>
        <v>4066569</v>
      </c>
      <c r="C13" s="408">
        <v>408914</v>
      </c>
      <c r="D13" s="408">
        <v>1459624</v>
      </c>
      <c r="E13" s="408">
        <v>2198031</v>
      </c>
      <c r="F13" s="408">
        <v>950338</v>
      </c>
      <c r="G13" s="408">
        <v>1247693</v>
      </c>
      <c r="H13" s="297"/>
      <c r="I13" s="297"/>
      <c r="J13" s="297"/>
      <c r="K13" s="297"/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</row>
    <row r="14" spans="1:24">
      <c r="A14" s="223">
        <v>2004</v>
      </c>
      <c r="B14" s="190">
        <f t="shared" si="0"/>
        <v>4169753</v>
      </c>
      <c r="C14" s="408">
        <v>420426</v>
      </c>
      <c r="D14" s="408">
        <v>1511703</v>
      </c>
      <c r="E14" s="408">
        <v>2237624</v>
      </c>
      <c r="F14" s="408">
        <v>952830</v>
      </c>
      <c r="G14" s="408">
        <v>1284794</v>
      </c>
      <c r="H14" s="297"/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</row>
    <row r="15" spans="1:24">
      <c r="A15" s="223">
        <v>2005</v>
      </c>
      <c r="B15" s="190">
        <f t="shared" si="0"/>
        <v>4191801</v>
      </c>
      <c r="C15" s="408">
        <v>453624</v>
      </c>
      <c r="D15" s="408">
        <v>1506746</v>
      </c>
      <c r="E15" s="408">
        <v>2231431</v>
      </c>
      <c r="F15" s="408">
        <v>888021</v>
      </c>
      <c r="G15" s="408">
        <v>1343410</v>
      </c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</row>
    <row r="16" spans="1:24">
      <c r="A16" s="223">
        <v>2006</v>
      </c>
      <c r="B16" s="190">
        <f t="shared" si="0"/>
        <v>4050101</v>
      </c>
      <c r="C16" s="408">
        <v>428490</v>
      </c>
      <c r="D16" s="408">
        <v>1494492</v>
      </c>
      <c r="E16" s="408">
        <v>2127119</v>
      </c>
      <c r="F16" s="408">
        <v>776849</v>
      </c>
      <c r="G16" s="408">
        <v>1350270</v>
      </c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</row>
    <row r="17" spans="1:24">
      <c r="A17" s="223">
        <v>2007</v>
      </c>
      <c r="B17" s="190">
        <f t="shared" si="0"/>
        <v>3657744</v>
      </c>
      <c r="C17" s="408">
        <v>390310</v>
      </c>
      <c r="D17" s="408">
        <v>1304981</v>
      </c>
      <c r="E17" s="408">
        <v>1962453</v>
      </c>
      <c r="F17" s="408">
        <v>726614</v>
      </c>
      <c r="G17" s="408">
        <v>1235839</v>
      </c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</row>
    <row r="18" spans="1:24">
      <c r="A18" s="223">
        <v>2008</v>
      </c>
      <c r="B18" s="190">
        <f t="shared" si="0"/>
        <v>3362166</v>
      </c>
      <c r="C18" s="408">
        <v>359769</v>
      </c>
      <c r="D18" s="408">
        <v>1163375</v>
      </c>
      <c r="E18" s="408">
        <v>1839022</v>
      </c>
      <c r="F18" s="408">
        <v>685984</v>
      </c>
      <c r="G18" s="408">
        <v>1153039</v>
      </c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</row>
    <row r="19" spans="1:24">
      <c r="A19" s="223">
        <v>2009</v>
      </c>
      <c r="B19" s="190">
        <f t="shared" si="0"/>
        <v>3046602</v>
      </c>
      <c r="C19" s="408">
        <v>282115</v>
      </c>
      <c r="D19" s="408">
        <v>950504</v>
      </c>
      <c r="E19" s="408">
        <v>1813983</v>
      </c>
      <c r="F19" s="408">
        <v>637592</v>
      </c>
      <c r="G19" s="408">
        <v>1176391</v>
      </c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</row>
    <row r="20" spans="1:24">
      <c r="A20" s="223">
        <v>2010</v>
      </c>
      <c r="B20" s="190">
        <f t="shared" si="0"/>
        <v>3024241</v>
      </c>
      <c r="C20" s="408">
        <v>263069</v>
      </c>
      <c r="D20" s="408">
        <v>980102</v>
      </c>
      <c r="E20" s="408">
        <v>1781070</v>
      </c>
      <c r="F20" s="408">
        <v>601909</v>
      </c>
      <c r="G20" s="408">
        <v>1179161</v>
      </c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</row>
    <row r="21" spans="1:24">
      <c r="A21" s="223">
        <v>2011</v>
      </c>
      <c r="B21" s="190">
        <f t="shared" si="0"/>
        <v>2951988</v>
      </c>
      <c r="C21" s="408">
        <v>292722</v>
      </c>
      <c r="D21" s="408">
        <v>913956</v>
      </c>
      <c r="E21" s="408">
        <v>1745310</v>
      </c>
      <c r="F21" s="408">
        <v>577115</v>
      </c>
      <c r="G21" s="408">
        <v>1168195</v>
      </c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</row>
    <row r="22" spans="1:24">
      <c r="A22" s="223">
        <v>2012</v>
      </c>
      <c r="B22" s="190">
        <f t="shared" si="0"/>
        <v>2851509</v>
      </c>
      <c r="C22" s="408">
        <v>269776</v>
      </c>
      <c r="D22" s="408">
        <v>849523</v>
      </c>
      <c r="E22" s="408">
        <v>1732210</v>
      </c>
      <c r="F22" s="408">
        <v>595579</v>
      </c>
      <c r="G22" s="408">
        <v>1136631</v>
      </c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</row>
    <row r="23" spans="1:24">
      <c r="A23" s="223">
        <v>2013</v>
      </c>
      <c r="B23" s="190">
        <f t="shared" si="0"/>
        <v>2878210</v>
      </c>
      <c r="C23" s="408">
        <v>293842</v>
      </c>
      <c r="D23" s="408">
        <v>857454</v>
      </c>
      <c r="E23" s="408">
        <v>1726914</v>
      </c>
      <c r="F23" s="408">
        <v>614122</v>
      </c>
      <c r="G23" s="408">
        <v>1112792</v>
      </c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</row>
    <row r="24" spans="1:24">
      <c r="A24" s="223"/>
      <c r="B24" s="190"/>
      <c r="C24" s="190"/>
      <c r="D24" s="190"/>
      <c r="E24" s="190"/>
      <c r="F24" s="190"/>
      <c r="G24" s="190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</row>
    <row r="25" spans="1:24">
      <c r="A25" s="223" t="s">
        <v>32</v>
      </c>
      <c r="B25" s="190"/>
      <c r="C25" s="190"/>
      <c r="D25" s="190"/>
      <c r="E25" s="190"/>
      <c r="F25" s="190"/>
      <c r="G25" s="190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</row>
    <row r="26" spans="1:24">
      <c r="A26" s="295" t="s">
        <v>444</v>
      </c>
      <c r="B26" s="296">
        <f t="shared" ref="B26:G26" si="1">IFERROR(((B23/B7)^(1/16)-1)*100,"..")</f>
        <v>-0.77794907917400069</v>
      </c>
      <c r="C26" s="296">
        <f t="shared" si="1"/>
        <v>-2.6053366757027741</v>
      </c>
      <c r="D26" s="296">
        <f t="shared" si="1"/>
        <v>-1.6347161742379934</v>
      </c>
      <c r="E26" s="296">
        <f t="shared" si="1"/>
        <v>0.10992119503765441</v>
      </c>
      <c r="F26" s="296">
        <f t="shared" si="1"/>
        <v>-2.5805581869819294</v>
      </c>
      <c r="G26" s="296">
        <f t="shared" si="1"/>
        <v>2.3804651768934981</v>
      </c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</row>
    <row r="27" spans="1:24">
      <c r="A27" s="295" t="s">
        <v>445</v>
      </c>
      <c r="B27" s="296">
        <f t="shared" ref="B27:G27" si="2">IFERROR(((B23/B10)^(1/13)-1)*100,"..")</f>
        <v>-2.2579235805803011</v>
      </c>
      <c r="C27" s="296">
        <f t="shared" si="2"/>
        <v>-3.8332840329327489</v>
      </c>
      <c r="D27" s="296">
        <f t="shared" si="2"/>
        <v>-3.7457232789229633</v>
      </c>
      <c r="E27" s="296">
        <f t="shared" si="2"/>
        <v>-1.0319995981945218</v>
      </c>
      <c r="F27" s="296">
        <f t="shared" si="2"/>
        <v>-3.5694678196847907</v>
      </c>
      <c r="G27" s="296">
        <f t="shared" si="2"/>
        <v>0.89430132177430455</v>
      </c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</row>
    <row r="28" spans="1:24">
      <c r="A28" s="295" t="s">
        <v>446</v>
      </c>
      <c r="B28" s="296">
        <f t="shared" ref="B28:G28" si="3">IFERROR(((B17/B10)^(1/7)-1)*100,"..")</f>
        <v>-0.81404938219580281</v>
      </c>
      <c r="C28" s="296">
        <f t="shared" si="3"/>
        <v>-3.152528145952016</v>
      </c>
      <c r="D28" s="296">
        <f t="shared" si="3"/>
        <v>-1.0843907369327388</v>
      </c>
      <c r="E28" s="296">
        <f t="shared" si="3"/>
        <v>-9.9918505670437696E-2</v>
      </c>
      <c r="F28" s="296">
        <f t="shared" si="3"/>
        <v>-4.2541903535434749</v>
      </c>
      <c r="G28" s="296">
        <f t="shared" si="3"/>
        <v>3.2019113792099985</v>
      </c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</row>
    <row r="29" spans="1:24">
      <c r="A29" s="300" t="s">
        <v>447</v>
      </c>
      <c r="B29" s="296">
        <f t="shared" ref="B29:G29" si="4">IFERROR(((B23/B17)^(1/6)-1)*100,"..")</f>
        <v>-3.9158995621080939</v>
      </c>
      <c r="C29" s="296">
        <f t="shared" si="4"/>
        <v>-4.6214537160968128</v>
      </c>
      <c r="D29" s="296">
        <f t="shared" si="4"/>
        <v>-6.7602485783525239</v>
      </c>
      <c r="E29" s="296">
        <f t="shared" si="4"/>
        <v>-2.1084419127088361</v>
      </c>
      <c r="F29" s="296">
        <f t="shared" si="4"/>
        <v>-2.7644334385079183</v>
      </c>
      <c r="G29" s="296">
        <f t="shared" si="4"/>
        <v>-1.7327770290359812</v>
      </c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</row>
    <row r="30" spans="1:24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</row>
    <row r="31" spans="1:24">
      <c r="A31" s="448" t="s">
        <v>617</v>
      </c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</row>
    <row r="32" spans="1:24">
      <c r="A32" s="297" t="s">
        <v>448</v>
      </c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</row>
    <row r="33" spans="1:24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</row>
    <row r="34" spans="1:24">
      <c r="A34" s="475" t="s">
        <v>504</v>
      </c>
      <c r="B34" s="475"/>
      <c r="C34" s="475"/>
      <c r="D34" s="475"/>
      <c r="E34" s="475"/>
      <c r="F34" s="475"/>
      <c r="G34" s="475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</row>
    <row r="35" spans="1:24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</row>
    <row r="36" spans="1:24">
      <c r="B36" s="461" t="s">
        <v>133</v>
      </c>
      <c r="C36" s="461"/>
      <c r="D36" s="461"/>
      <c r="E36" s="461"/>
      <c r="F36" s="461"/>
      <c r="G36" s="461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</row>
    <row r="37" spans="1:24" ht="30">
      <c r="B37" s="294" t="s">
        <v>8</v>
      </c>
      <c r="C37" s="146" t="s">
        <v>441</v>
      </c>
      <c r="D37" s="146" t="s">
        <v>248</v>
      </c>
      <c r="E37" s="146" t="s">
        <v>249</v>
      </c>
      <c r="F37" s="146" t="s">
        <v>442</v>
      </c>
      <c r="G37" s="146" t="s">
        <v>443</v>
      </c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</row>
    <row r="38" spans="1:24">
      <c r="A38" s="223">
        <v>1997</v>
      </c>
      <c r="B38" s="190">
        <f>C38+D38+E38</f>
        <v>144205</v>
      </c>
      <c r="C38" s="408">
        <v>20363</v>
      </c>
      <c r="D38" s="408">
        <v>58713</v>
      </c>
      <c r="E38" s="408">
        <v>65129</v>
      </c>
      <c r="F38" s="408">
        <v>32417</v>
      </c>
      <c r="G38" s="408">
        <v>32712</v>
      </c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</row>
    <row r="39" spans="1:24">
      <c r="A39" s="223">
        <v>1998</v>
      </c>
      <c r="B39" s="190">
        <f t="shared" ref="B39:B54" si="5">C39+D39+E39</f>
        <v>140862</v>
      </c>
      <c r="C39" s="408">
        <v>18022</v>
      </c>
      <c r="D39" s="408">
        <v>61271</v>
      </c>
      <c r="E39" s="408">
        <v>61569</v>
      </c>
      <c r="F39" s="408">
        <v>28408</v>
      </c>
      <c r="G39" s="408">
        <v>33161</v>
      </c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</row>
    <row r="40" spans="1:24">
      <c r="A40" s="223">
        <v>1999</v>
      </c>
      <c r="B40" s="190">
        <f t="shared" si="5"/>
        <v>147655</v>
      </c>
      <c r="C40" s="408">
        <v>18530</v>
      </c>
      <c r="D40" s="408">
        <v>63432</v>
      </c>
      <c r="E40" s="408">
        <v>65693</v>
      </c>
      <c r="F40" s="408">
        <v>31251</v>
      </c>
      <c r="G40" s="408">
        <v>34442</v>
      </c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</row>
    <row r="41" spans="1:24">
      <c r="A41" s="223">
        <v>2000</v>
      </c>
      <c r="B41" s="190">
        <f t="shared" si="5"/>
        <v>145895</v>
      </c>
      <c r="C41" s="408">
        <v>20560</v>
      </c>
      <c r="D41" s="408">
        <v>61088</v>
      </c>
      <c r="E41" s="408">
        <v>64247</v>
      </c>
      <c r="F41" s="408">
        <v>28253</v>
      </c>
      <c r="G41" s="408">
        <v>35994</v>
      </c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</row>
    <row r="42" spans="1:24">
      <c r="A42" s="223">
        <v>2001</v>
      </c>
      <c r="B42" s="190">
        <f t="shared" si="5"/>
        <v>146317</v>
      </c>
      <c r="C42" s="408">
        <v>17813</v>
      </c>
      <c r="D42" s="408">
        <v>61998</v>
      </c>
      <c r="E42" s="408">
        <v>66506</v>
      </c>
      <c r="F42" s="408">
        <v>27632</v>
      </c>
      <c r="G42" s="408">
        <v>38874</v>
      </c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</row>
    <row r="43" spans="1:24">
      <c r="A43" s="223">
        <v>2002</v>
      </c>
      <c r="B43" s="190">
        <f t="shared" si="5"/>
        <v>147138</v>
      </c>
      <c r="C43" s="408">
        <v>17279</v>
      </c>
      <c r="D43" s="408">
        <v>62332</v>
      </c>
      <c r="E43" s="408">
        <v>67527</v>
      </c>
      <c r="F43" s="408">
        <v>27326</v>
      </c>
      <c r="G43" s="408">
        <v>40202</v>
      </c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</row>
    <row r="44" spans="1:24">
      <c r="A44" s="223">
        <v>2003</v>
      </c>
      <c r="B44" s="190">
        <f t="shared" si="5"/>
        <v>143043</v>
      </c>
      <c r="C44" s="408">
        <v>17365</v>
      </c>
      <c r="D44" s="408">
        <v>60068</v>
      </c>
      <c r="E44" s="408">
        <v>65610</v>
      </c>
      <c r="F44" s="408">
        <v>24967</v>
      </c>
      <c r="G44" s="408">
        <v>40643</v>
      </c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</row>
    <row r="45" spans="1:24">
      <c r="A45" s="223">
        <v>2004</v>
      </c>
      <c r="B45" s="190">
        <f t="shared" si="5"/>
        <v>142852</v>
      </c>
      <c r="C45" s="408">
        <v>16327</v>
      </c>
      <c r="D45" s="408">
        <v>60337</v>
      </c>
      <c r="E45" s="408">
        <v>66188</v>
      </c>
      <c r="F45" s="408">
        <v>25647</v>
      </c>
      <c r="G45" s="408">
        <v>40540</v>
      </c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</row>
    <row r="46" spans="1:24">
      <c r="A46" s="223">
        <v>2005</v>
      </c>
      <c r="B46" s="190">
        <f t="shared" si="5"/>
        <v>134405</v>
      </c>
      <c r="C46" s="408">
        <v>15930</v>
      </c>
      <c r="D46" s="408">
        <v>56871</v>
      </c>
      <c r="E46" s="408">
        <v>61604</v>
      </c>
      <c r="F46" s="408">
        <v>20744</v>
      </c>
      <c r="G46" s="408">
        <v>40860</v>
      </c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</row>
    <row r="47" spans="1:24">
      <c r="A47" s="223">
        <v>2006</v>
      </c>
      <c r="B47" s="190">
        <f t="shared" si="5"/>
        <v>129446</v>
      </c>
      <c r="C47" s="408">
        <v>15286</v>
      </c>
      <c r="D47" s="408">
        <v>55818</v>
      </c>
      <c r="E47" s="408">
        <v>58342</v>
      </c>
      <c r="F47" s="408">
        <v>18901</v>
      </c>
      <c r="G47" s="408">
        <v>39441</v>
      </c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</row>
    <row r="48" spans="1:24">
      <c r="A48" s="223">
        <v>2007</v>
      </c>
      <c r="B48" s="190">
        <f t="shared" si="5"/>
        <v>114312</v>
      </c>
      <c r="C48" s="408">
        <v>12759</v>
      </c>
      <c r="D48" s="408">
        <v>48595</v>
      </c>
      <c r="E48" s="408">
        <v>52958</v>
      </c>
      <c r="F48" s="408">
        <v>17006</v>
      </c>
      <c r="G48" s="408">
        <v>35952</v>
      </c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</row>
    <row r="49" spans="1:24">
      <c r="A49" s="223">
        <v>2008</v>
      </c>
      <c r="B49" s="190">
        <f t="shared" si="5"/>
        <v>104652</v>
      </c>
      <c r="C49" s="408">
        <v>11785</v>
      </c>
      <c r="D49" s="408">
        <v>43235</v>
      </c>
      <c r="E49" s="408">
        <v>49632</v>
      </c>
      <c r="F49" s="408">
        <v>14699</v>
      </c>
      <c r="G49" s="408">
        <v>34933</v>
      </c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</row>
    <row r="50" spans="1:24">
      <c r="A50" s="223">
        <v>2009</v>
      </c>
      <c r="B50" s="190">
        <f t="shared" si="5"/>
        <v>85899</v>
      </c>
      <c r="C50" s="408">
        <v>8748</v>
      </c>
      <c r="D50" s="408">
        <v>33429</v>
      </c>
      <c r="E50" s="408">
        <v>43722</v>
      </c>
      <c r="F50" s="408">
        <v>12404</v>
      </c>
      <c r="G50" s="408">
        <v>31318</v>
      </c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</row>
    <row r="51" spans="1:24">
      <c r="A51" s="223">
        <v>2010</v>
      </c>
      <c r="B51" s="190">
        <f t="shared" si="5"/>
        <v>84534</v>
      </c>
      <c r="C51" s="408">
        <v>8657</v>
      </c>
      <c r="D51" s="408">
        <v>35124</v>
      </c>
      <c r="E51" s="408">
        <v>40753</v>
      </c>
      <c r="F51" s="408">
        <v>11622</v>
      </c>
      <c r="G51" s="408">
        <v>29131</v>
      </c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</row>
    <row r="52" spans="1:24">
      <c r="A52" s="223">
        <v>2011</v>
      </c>
      <c r="B52" s="190">
        <f t="shared" si="5"/>
        <v>85378</v>
      </c>
      <c r="C52" s="408">
        <v>9974</v>
      </c>
      <c r="D52" s="408">
        <v>33616</v>
      </c>
      <c r="E52" s="408">
        <v>41788</v>
      </c>
      <c r="F52" s="408">
        <v>12101</v>
      </c>
      <c r="G52" s="408">
        <v>29687</v>
      </c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</row>
    <row r="53" spans="1:24">
      <c r="A53" s="223">
        <v>2012</v>
      </c>
      <c r="B53" s="190">
        <f t="shared" si="5"/>
        <v>77062</v>
      </c>
      <c r="C53" s="408">
        <v>8610</v>
      </c>
      <c r="D53" s="408">
        <v>30246</v>
      </c>
      <c r="E53" s="408">
        <v>38206</v>
      </c>
      <c r="F53" s="408">
        <v>11198</v>
      </c>
      <c r="G53" s="408">
        <v>27008</v>
      </c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</row>
    <row r="54" spans="1:24">
      <c r="A54" s="223">
        <v>2013</v>
      </c>
      <c r="B54" s="190">
        <f t="shared" si="5"/>
        <v>77997</v>
      </c>
      <c r="C54" s="408">
        <v>8720</v>
      </c>
      <c r="D54" s="408">
        <v>31680</v>
      </c>
      <c r="E54" s="408">
        <v>37597</v>
      </c>
      <c r="F54" s="408">
        <v>11583</v>
      </c>
      <c r="G54" s="408">
        <v>26014</v>
      </c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</row>
    <row r="55" spans="1:24">
      <c r="A55" s="223"/>
      <c r="B55" s="190"/>
      <c r="C55" s="190"/>
      <c r="D55" s="190"/>
      <c r="E55" s="190"/>
      <c r="F55" s="190"/>
      <c r="G55" s="190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</row>
    <row r="56" spans="1:24">
      <c r="A56" s="223" t="s">
        <v>32</v>
      </c>
      <c r="B56" s="190"/>
      <c r="C56" s="190"/>
      <c r="D56" s="190"/>
      <c r="E56" s="190"/>
      <c r="F56" s="190"/>
      <c r="G56" s="190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</row>
    <row r="57" spans="1:24">
      <c r="A57" s="295" t="s">
        <v>444</v>
      </c>
      <c r="B57" s="296">
        <f t="shared" ref="B57:G57" si="6">IFERROR(((B54/B38)^(1/16)-1)*100,"..")</f>
        <v>-3.7682023345497195</v>
      </c>
      <c r="C57" s="296">
        <f t="shared" si="6"/>
        <v>-5.1625932101915906</v>
      </c>
      <c r="D57" s="296">
        <f t="shared" si="6"/>
        <v>-3.7826965576393756</v>
      </c>
      <c r="E57" s="296">
        <f t="shared" si="6"/>
        <v>-3.3757415533632873</v>
      </c>
      <c r="F57" s="296">
        <f t="shared" si="6"/>
        <v>-6.2296548185081901</v>
      </c>
      <c r="G57" s="296">
        <f t="shared" si="6"/>
        <v>-1.4217163432445501</v>
      </c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</row>
    <row r="58" spans="1:24">
      <c r="A58" s="295" t="s">
        <v>445</v>
      </c>
      <c r="B58" s="296">
        <f t="shared" ref="B58:G58" si="7">IFERROR(((B54/B41)^(1/13)-1)*100,"..")</f>
        <v>-4.702873187315304</v>
      </c>
      <c r="C58" s="296">
        <f t="shared" si="7"/>
        <v>-6.3849563359691501</v>
      </c>
      <c r="D58" s="296">
        <f t="shared" si="7"/>
        <v>-4.925557008698922</v>
      </c>
      <c r="E58" s="296">
        <f t="shared" si="7"/>
        <v>-4.0378375235581743</v>
      </c>
      <c r="F58" s="296">
        <f t="shared" si="7"/>
        <v>-6.6289941216900017</v>
      </c>
      <c r="G58" s="296">
        <f t="shared" si="7"/>
        <v>-2.4668886248600974</v>
      </c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</row>
    <row r="59" spans="1:24">
      <c r="A59" s="295" t="s">
        <v>446</v>
      </c>
      <c r="B59" s="296">
        <f t="shared" ref="B59:G59" si="8">IFERROR(((B48/B41)^(1/7)-1)*100,"..")</f>
        <v>-3.4250509181431799</v>
      </c>
      <c r="C59" s="296">
        <f t="shared" si="8"/>
        <v>-6.5887733174673446</v>
      </c>
      <c r="D59" s="296">
        <f t="shared" si="8"/>
        <v>-3.2156590462793733</v>
      </c>
      <c r="E59" s="296">
        <f t="shared" si="8"/>
        <v>-2.7227586705017459</v>
      </c>
      <c r="F59" s="296">
        <f t="shared" si="8"/>
        <v>-6.9951980712968602</v>
      </c>
      <c r="G59" s="296">
        <f t="shared" si="8"/>
        <v>-1.6677787045837889E-2</v>
      </c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</row>
    <row r="60" spans="1:24">
      <c r="A60" s="300" t="s">
        <v>447</v>
      </c>
      <c r="B60" s="296">
        <f t="shared" ref="B60:G60" si="9">IFERROR(((B54/B48)^(1/6)-1)*100,"..")</f>
        <v>-6.1723125313041578</v>
      </c>
      <c r="C60" s="296">
        <f t="shared" si="9"/>
        <v>-6.1466077192637076</v>
      </c>
      <c r="D60" s="296">
        <f t="shared" si="9"/>
        <v>-6.8822948517230476</v>
      </c>
      <c r="E60" s="296">
        <f t="shared" si="9"/>
        <v>-5.5496432041109545</v>
      </c>
      <c r="F60" s="296">
        <f t="shared" si="9"/>
        <v>-6.1999333575451061</v>
      </c>
      <c r="G60" s="296">
        <f t="shared" si="9"/>
        <v>-5.2496811443645814</v>
      </c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</row>
    <row r="61" spans="1:24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</row>
    <row r="62" spans="1:24">
      <c r="A62" s="448" t="s">
        <v>617</v>
      </c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</row>
    <row r="63" spans="1:24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</row>
    <row r="64" spans="1:24">
      <c r="A64" s="475" t="s">
        <v>505</v>
      </c>
      <c r="B64" s="475"/>
      <c r="C64" s="475"/>
      <c r="D64" s="475"/>
      <c r="E64" s="475"/>
      <c r="F64" s="475"/>
      <c r="G64" s="475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</row>
    <row r="65" spans="1:24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</row>
    <row r="66" spans="1:24">
      <c r="B66" s="461" t="s">
        <v>133</v>
      </c>
      <c r="C66" s="461"/>
      <c r="D66" s="461"/>
      <c r="E66" s="461"/>
      <c r="F66" s="461"/>
      <c r="G66" s="461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</row>
    <row r="67" spans="1:24" ht="30">
      <c r="B67" s="294" t="s">
        <v>8</v>
      </c>
      <c r="C67" s="146" t="s">
        <v>441</v>
      </c>
      <c r="D67" s="146" t="s">
        <v>248</v>
      </c>
      <c r="E67" s="146" t="s">
        <v>249</v>
      </c>
      <c r="F67" s="146" t="s">
        <v>442</v>
      </c>
      <c r="G67" s="146" t="s">
        <v>443</v>
      </c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</row>
    <row r="68" spans="1:24">
      <c r="A68" s="223">
        <v>1997</v>
      </c>
      <c r="B68" s="302">
        <v>5433.3</v>
      </c>
      <c r="C68" s="302">
        <v>624.29999999999995</v>
      </c>
      <c r="D68" s="302">
        <v>1228</v>
      </c>
      <c r="E68" s="302">
        <v>3581</v>
      </c>
      <c r="F68" s="302">
        <v>1561.2</v>
      </c>
      <c r="G68" s="302">
        <v>1971</v>
      </c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</row>
    <row r="69" spans="1:24">
      <c r="A69" s="223">
        <v>1998</v>
      </c>
      <c r="B69" s="302">
        <v>5414.9</v>
      </c>
      <c r="C69" s="302">
        <v>622.6</v>
      </c>
      <c r="D69" s="302">
        <v>1339.5</v>
      </c>
      <c r="E69" s="302">
        <v>3452.8</v>
      </c>
      <c r="F69" s="302">
        <v>1528.8</v>
      </c>
      <c r="G69" s="302">
        <v>1858.7</v>
      </c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</row>
    <row r="70" spans="1:24">
      <c r="A70" s="223">
        <v>1999</v>
      </c>
      <c r="B70" s="302">
        <v>5370.9</v>
      </c>
      <c r="C70" s="302">
        <v>665.6</v>
      </c>
      <c r="D70" s="302">
        <v>1332.2</v>
      </c>
      <c r="E70" s="302">
        <v>3373.1</v>
      </c>
      <c r="F70" s="302">
        <v>1559.6</v>
      </c>
      <c r="G70" s="302">
        <v>1714.8</v>
      </c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</row>
    <row r="71" spans="1:24">
      <c r="A71" s="223">
        <v>2000</v>
      </c>
      <c r="B71" s="302">
        <v>6232.6</v>
      </c>
      <c r="C71" s="302">
        <v>822.4</v>
      </c>
      <c r="D71" s="302">
        <v>1587.9</v>
      </c>
      <c r="E71" s="302">
        <v>3822.3</v>
      </c>
      <c r="F71" s="302">
        <v>1810.1</v>
      </c>
      <c r="G71" s="302">
        <v>1872</v>
      </c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</row>
    <row r="72" spans="1:24">
      <c r="A72" s="223">
        <v>2001</v>
      </c>
      <c r="B72" s="302">
        <v>6148.1</v>
      </c>
      <c r="C72" s="302">
        <v>759.4</v>
      </c>
      <c r="D72" s="302">
        <v>1596.9</v>
      </c>
      <c r="E72" s="302">
        <v>3791.8</v>
      </c>
      <c r="F72" s="302">
        <v>1589.6</v>
      </c>
      <c r="G72" s="302">
        <v>2200.6</v>
      </c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</row>
    <row r="73" spans="1:24">
      <c r="A73" s="223">
        <v>2002</v>
      </c>
      <c r="B73" s="302">
        <v>6464.1</v>
      </c>
      <c r="C73" s="302">
        <v>778.3</v>
      </c>
      <c r="D73" s="302">
        <v>1748</v>
      </c>
      <c r="E73" s="302">
        <v>3937.8</v>
      </c>
      <c r="F73" s="302">
        <v>1669.5</v>
      </c>
      <c r="G73" s="302">
        <v>2257.8000000000002</v>
      </c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</row>
    <row r="74" spans="1:24">
      <c r="A74" s="223">
        <v>2003</v>
      </c>
      <c r="B74" s="302">
        <v>6576.9</v>
      </c>
      <c r="C74" s="302">
        <v>733.6</v>
      </c>
      <c r="D74" s="302">
        <v>1786.1</v>
      </c>
      <c r="E74" s="302">
        <v>4057.2</v>
      </c>
      <c r="F74" s="302">
        <v>1639</v>
      </c>
      <c r="G74" s="302">
        <v>2429.9</v>
      </c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</row>
    <row r="75" spans="1:24">
      <c r="A75" s="223">
        <v>2004</v>
      </c>
      <c r="B75" s="302">
        <v>6501.4</v>
      </c>
      <c r="C75" s="302">
        <v>688.7</v>
      </c>
      <c r="D75" s="302">
        <v>1779.5</v>
      </c>
      <c r="E75" s="302">
        <v>4033.2</v>
      </c>
      <c r="F75" s="302">
        <v>1756.1</v>
      </c>
      <c r="G75" s="302">
        <v>2272.5</v>
      </c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</row>
    <row r="76" spans="1:24">
      <c r="A76" s="223">
        <v>2005</v>
      </c>
      <c r="B76" s="302">
        <v>6363.1</v>
      </c>
      <c r="C76" s="302">
        <v>721.4</v>
      </c>
      <c r="D76" s="302">
        <v>1812.5</v>
      </c>
      <c r="E76" s="302">
        <v>3829.2</v>
      </c>
      <c r="F76" s="302">
        <v>1572.6</v>
      </c>
      <c r="G76" s="302">
        <v>2254.5</v>
      </c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</row>
    <row r="77" spans="1:24">
      <c r="A77" s="223">
        <v>2006</v>
      </c>
      <c r="B77" s="302">
        <v>5750.2000000000007</v>
      </c>
      <c r="C77" s="302">
        <v>614.79999999999995</v>
      </c>
      <c r="D77" s="302">
        <v>1835.5</v>
      </c>
      <c r="E77" s="302">
        <v>3299.9</v>
      </c>
      <c r="F77" s="302">
        <v>1248.9000000000001</v>
      </c>
      <c r="G77" s="302">
        <v>2052.4</v>
      </c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</row>
    <row r="78" spans="1:24">
      <c r="A78" s="223">
        <v>2007</v>
      </c>
      <c r="B78" s="302">
        <v>5294.8</v>
      </c>
      <c r="C78" s="302">
        <v>530.4</v>
      </c>
      <c r="D78" s="302">
        <v>1640.6</v>
      </c>
      <c r="E78" s="302">
        <v>3123.8</v>
      </c>
      <c r="F78" s="302">
        <v>1227.0999999999999</v>
      </c>
      <c r="G78" s="302">
        <v>1896.7</v>
      </c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</row>
    <row r="79" spans="1:24">
      <c r="A79" s="223">
        <v>2008</v>
      </c>
      <c r="B79" s="302">
        <v>4869.1000000000004</v>
      </c>
      <c r="C79" s="302">
        <v>498</v>
      </c>
      <c r="D79" s="302">
        <v>1449.5</v>
      </c>
      <c r="E79" s="302">
        <v>2921.6</v>
      </c>
      <c r="F79" s="302">
        <v>1158.5</v>
      </c>
      <c r="G79" s="302">
        <v>1763.4</v>
      </c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</row>
    <row r="80" spans="1:24">
      <c r="A80" s="223">
        <v>2009</v>
      </c>
      <c r="B80" s="302">
        <v>3775.3</v>
      </c>
      <c r="C80" s="302">
        <v>388.3</v>
      </c>
      <c r="D80" s="302">
        <v>1049.5</v>
      </c>
      <c r="E80" s="302">
        <v>2337.5</v>
      </c>
      <c r="F80" s="302">
        <v>753.3</v>
      </c>
      <c r="G80" s="302">
        <v>1592</v>
      </c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</row>
    <row r="81" spans="1:24">
      <c r="A81" s="223">
        <v>2010</v>
      </c>
      <c r="B81" s="302">
        <v>3986.3</v>
      </c>
      <c r="C81" s="302">
        <v>400.4</v>
      </c>
      <c r="D81" s="302">
        <v>1092.5</v>
      </c>
      <c r="E81" s="302">
        <v>2493.4</v>
      </c>
      <c r="F81" s="302">
        <v>855.5</v>
      </c>
      <c r="G81" s="302">
        <v>1636.9</v>
      </c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</row>
    <row r="82" spans="1:24">
      <c r="A82" s="223">
        <v>2011</v>
      </c>
      <c r="B82" s="302">
        <v>3853.8</v>
      </c>
      <c r="C82" s="302">
        <v>393</v>
      </c>
      <c r="D82" s="302">
        <v>1035.8</v>
      </c>
      <c r="E82" s="302">
        <v>2425</v>
      </c>
      <c r="F82" s="302">
        <v>800.3</v>
      </c>
      <c r="G82" s="302">
        <v>1629.8</v>
      </c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</row>
    <row r="83" spans="1:24">
      <c r="A83" s="223">
        <v>2012</v>
      </c>
      <c r="B83" s="302">
        <f>C83+D83+E83</f>
        <v>3781.2000000000003</v>
      </c>
      <c r="C83" s="302">
        <v>339</v>
      </c>
      <c r="D83" s="302">
        <v>1100.9000000000001</v>
      </c>
      <c r="E83" s="302">
        <v>2341.3000000000002</v>
      </c>
      <c r="F83" s="302">
        <v>666</v>
      </c>
      <c r="G83" s="302">
        <v>1695.3</v>
      </c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</row>
    <row r="84" spans="1:24">
      <c r="A84" s="223">
        <v>2013</v>
      </c>
      <c r="B84" s="302">
        <f t="shared" ref="B84" si="10">C84+D84+E84</f>
        <v>3771.7</v>
      </c>
      <c r="C84" s="302">
        <v>376.6</v>
      </c>
      <c r="D84" s="302">
        <v>1150.5</v>
      </c>
      <c r="E84" s="302">
        <v>2244.6</v>
      </c>
      <c r="F84" s="302">
        <v>690.8</v>
      </c>
      <c r="G84" s="302">
        <v>1566</v>
      </c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</row>
    <row r="85" spans="1:24">
      <c r="A85" s="223"/>
      <c r="B85" s="302"/>
      <c r="C85" s="302"/>
      <c r="D85" s="302"/>
      <c r="E85" s="302"/>
      <c r="F85" s="302"/>
      <c r="G85" s="302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</row>
    <row r="86" spans="1:24">
      <c r="A86" s="223" t="s">
        <v>32</v>
      </c>
      <c r="B86" s="302"/>
      <c r="C86" s="302"/>
      <c r="D86" s="302"/>
      <c r="E86" s="302"/>
      <c r="F86" s="302"/>
      <c r="G86" s="302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</row>
    <row r="87" spans="1:24">
      <c r="A87" s="295" t="s">
        <v>444</v>
      </c>
      <c r="B87" s="296">
        <f t="shared" ref="B87:G87" si="11">IFERROR(((B84/B68)^(1/16)-1)*100,"..")</f>
        <v>-2.2555536428270018</v>
      </c>
      <c r="C87" s="296">
        <f t="shared" si="11"/>
        <v>-3.1096697279857866</v>
      </c>
      <c r="D87" s="296">
        <f t="shared" si="11"/>
        <v>-0.4066098396853457</v>
      </c>
      <c r="E87" s="296">
        <f t="shared" si="11"/>
        <v>-2.8772625163764887</v>
      </c>
      <c r="F87" s="296">
        <f t="shared" si="11"/>
        <v>-4.9683299090753641</v>
      </c>
      <c r="G87" s="296">
        <f t="shared" si="11"/>
        <v>-1.4273185245748055</v>
      </c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</row>
    <row r="88" spans="1:24">
      <c r="A88" s="295" t="s">
        <v>445</v>
      </c>
      <c r="B88" s="296">
        <f t="shared" ref="B88:G88" si="12">IFERROR(((B84/B71)^(1/13)-1)*100,"..")</f>
        <v>-3.7899131594418267</v>
      </c>
      <c r="C88" s="296">
        <f t="shared" si="12"/>
        <v>-5.8311042050008695</v>
      </c>
      <c r="D88" s="296">
        <f t="shared" si="12"/>
        <v>-2.4481181081041581</v>
      </c>
      <c r="E88" s="296">
        <f t="shared" si="12"/>
        <v>-4.0121031777337723</v>
      </c>
      <c r="F88" s="296">
        <f t="shared" si="12"/>
        <v>-7.1420241897041103</v>
      </c>
      <c r="G88" s="296">
        <f t="shared" si="12"/>
        <v>-1.3635625679184638</v>
      </c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</row>
    <row r="89" spans="1:24">
      <c r="A89" s="295" t="s">
        <v>446</v>
      </c>
      <c r="B89" s="296">
        <f t="shared" ref="B89:G89" si="13">IFERROR(((B78/B71)^(1/7)-1)*100,"..")</f>
        <v>-2.3026237091520962</v>
      </c>
      <c r="C89" s="296">
        <f t="shared" si="13"/>
        <v>-6.0733937900415036</v>
      </c>
      <c r="D89" s="296">
        <f t="shared" si="13"/>
        <v>0.46751287632411653</v>
      </c>
      <c r="E89" s="296">
        <f t="shared" si="13"/>
        <v>-2.8417287837709915</v>
      </c>
      <c r="F89" s="296">
        <f t="shared" si="13"/>
        <v>-5.4018846951091604</v>
      </c>
      <c r="G89" s="296">
        <f t="shared" si="13"/>
        <v>0.18743481060519152</v>
      </c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</row>
    <row r="90" spans="1:24">
      <c r="A90" s="300" t="s">
        <v>447</v>
      </c>
      <c r="B90" s="296">
        <f t="shared" ref="B90:G90" si="14">IFERROR(((B84/B78)^(1/6)-1)*100,"..")</f>
        <v>-5.49649193302304</v>
      </c>
      <c r="C90" s="296">
        <f t="shared" si="14"/>
        <v>-5.5476429772184037</v>
      </c>
      <c r="D90" s="296">
        <f t="shared" si="14"/>
        <v>-5.7429190477814256</v>
      </c>
      <c r="E90" s="296">
        <f t="shared" si="14"/>
        <v>-5.3597331137780202</v>
      </c>
      <c r="F90" s="296">
        <f t="shared" si="14"/>
        <v>-9.1317713574580406</v>
      </c>
      <c r="G90" s="296">
        <f t="shared" si="14"/>
        <v>-3.1427385544740449</v>
      </c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</row>
    <row r="91" spans="1:24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</row>
    <row r="92" spans="1:24">
      <c r="A92" s="297" t="s">
        <v>449</v>
      </c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</row>
    <row r="93" spans="1:24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</row>
    <row r="94" spans="1:24">
      <c r="A94" s="475" t="s">
        <v>506</v>
      </c>
      <c r="B94" s="475"/>
      <c r="C94" s="475"/>
      <c r="D94" s="475"/>
      <c r="E94" s="475"/>
      <c r="F94" s="475"/>
      <c r="G94" s="475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</row>
    <row r="95" spans="1:24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</row>
    <row r="96" spans="1:24">
      <c r="B96" s="461" t="s">
        <v>133</v>
      </c>
      <c r="C96" s="461"/>
      <c r="D96" s="461"/>
      <c r="E96" s="461"/>
      <c r="F96" s="461"/>
      <c r="G96" s="461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</row>
    <row r="97" spans="1:24" ht="30">
      <c r="B97" s="294" t="s">
        <v>8</v>
      </c>
      <c r="C97" s="146" t="s">
        <v>441</v>
      </c>
      <c r="D97" s="146" t="s">
        <v>248</v>
      </c>
      <c r="E97" s="146" t="s">
        <v>249</v>
      </c>
      <c r="F97" s="146" t="s">
        <v>442</v>
      </c>
      <c r="G97" s="146" t="s">
        <v>443</v>
      </c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</row>
    <row r="98" spans="1:24">
      <c r="A98" s="223">
        <v>1997</v>
      </c>
      <c r="B98" s="296">
        <f t="shared" ref="B98:G107" si="15">IFERROR(B7/B68/1000,"..")</f>
        <v>0.60024368247657955</v>
      </c>
      <c r="C98" s="296">
        <f t="shared" si="15"/>
        <v>0.71805542207272155</v>
      </c>
      <c r="D98" s="296">
        <f t="shared" si="15"/>
        <v>0.90895602605863191</v>
      </c>
      <c r="E98" s="296">
        <f t="shared" si="15"/>
        <v>0.47384082658475285</v>
      </c>
      <c r="F98" s="296">
        <f t="shared" si="15"/>
        <v>0.59767614655393286</v>
      </c>
      <c r="G98" s="296">
        <f t="shared" si="15"/>
        <v>0.38748401826484019</v>
      </c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</row>
    <row r="99" spans="1:24">
      <c r="A99" s="223">
        <v>1998</v>
      </c>
      <c r="B99" s="296">
        <f t="shared" si="15"/>
        <v>0.60640011819239514</v>
      </c>
      <c r="C99" s="296">
        <f t="shared" si="15"/>
        <v>0.65526019916479272</v>
      </c>
      <c r="D99" s="296">
        <f t="shared" si="15"/>
        <v>0.89266218738335201</v>
      </c>
      <c r="E99" s="296">
        <f t="shared" si="15"/>
        <v>0.48653556533827619</v>
      </c>
      <c r="F99" s="296">
        <f t="shared" si="15"/>
        <v>0.56812925170068029</v>
      </c>
      <c r="G99" s="296">
        <f t="shared" si="15"/>
        <v>0.43651638241781887</v>
      </c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</row>
    <row r="100" spans="1:24">
      <c r="A100" s="223">
        <v>1999</v>
      </c>
      <c r="B100" s="296">
        <f t="shared" si="15"/>
        <v>0.65629671004859524</v>
      </c>
      <c r="C100" s="296">
        <f t="shared" si="15"/>
        <v>0.64506911057692307</v>
      </c>
      <c r="D100" s="296">
        <f t="shared" si="15"/>
        <v>0.96440324275634282</v>
      </c>
      <c r="E100" s="296">
        <f t="shared" si="15"/>
        <v>0.53682606504402475</v>
      </c>
      <c r="F100" s="296">
        <f t="shared" si="15"/>
        <v>0.60813541933829185</v>
      </c>
      <c r="G100" s="296">
        <f t="shared" si="15"/>
        <v>0.50286913925822252</v>
      </c>
      <c r="H100" s="297"/>
      <c r="I100" s="297"/>
      <c r="J100" s="297"/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</row>
    <row r="101" spans="1:24">
      <c r="A101" s="223">
        <v>2000</v>
      </c>
      <c r="B101" s="296">
        <f t="shared" si="15"/>
        <v>0.62143102397073446</v>
      </c>
      <c r="C101" s="296">
        <f t="shared" si="15"/>
        <v>0.59389348249027241</v>
      </c>
      <c r="D101" s="296">
        <f t="shared" si="15"/>
        <v>0.88700736822218018</v>
      </c>
      <c r="E101" s="296">
        <f t="shared" si="15"/>
        <v>0.51702744420898405</v>
      </c>
      <c r="F101" s="296">
        <f t="shared" si="15"/>
        <v>0.54420529252527494</v>
      </c>
      <c r="G101" s="296">
        <f t="shared" si="15"/>
        <v>0.52947061965811959</v>
      </c>
      <c r="H101" s="297"/>
      <c r="I101" s="297"/>
      <c r="J101" s="297"/>
      <c r="K101" s="297"/>
      <c r="L101" s="297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</row>
    <row r="102" spans="1:24">
      <c r="A102" s="223">
        <v>2001</v>
      </c>
      <c r="B102" s="296">
        <f t="shared" si="15"/>
        <v>0.64406629690473471</v>
      </c>
      <c r="C102" s="296">
        <f t="shared" si="15"/>
        <v>0.57151040294969713</v>
      </c>
      <c r="D102" s="296">
        <f t="shared" si="15"/>
        <v>0.89715573924478664</v>
      </c>
      <c r="E102" s="296">
        <f t="shared" si="15"/>
        <v>0.55200986338941926</v>
      </c>
      <c r="F102" s="296">
        <f t="shared" si="15"/>
        <v>0.6182322596879718</v>
      </c>
      <c r="G102" s="296">
        <f t="shared" si="15"/>
        <v>0.50457557029900935</v>
      </c>
      <c r="H102" s="297"/>
      <c r="I102" s="297"/>
      <c r="J102" s="297"/>
      <c r="K102" s="297"/>
      <c r="L102" s="297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</row>
    <row r="103" spans="1:24">
      <c r="A103" s="223">
        <v>2002</v>
      </c>
      <c r="B103" s="296">
        <f t="shared" si="15"/>
        <v>0.62388824430315115</v>
      </c>
      <c r="C103" s="296">
        <f t="shared" si="15"/>
        <v>0.54340228703584736</v>
      </c>
      <c r="D103" s="296">
        <f t="shared" si="15"/>
        <v>0.85312242562929064</v>
      </c>
      <c r="E103" s="296">
        <f t="shared" si="15"/>
        <v>0.53803849865407072</v>
      </c>
      <c r="F103" s="296">
        <f t="shared" si="15"/>
        <v>0.57305840071877812</v>
      </c>
      <c r="G103" s="296">
        <f t="shared" si="15"/>
        <v>0.51464611568783769</v>
      </c>
      <c r="H103" s="297"/>
      <c r="I103" s="297"/>
      <c r="J103" s="297"/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</row>
    <row r="104" spans="1:24">
      <c r="A104" s="223">
        <v>2003</v>
      </c>
      <c r="B104" s="296">
        <f t="shared" si="15"/>
        <v>0.6183109063540575</v>
      </c>
      <c r="C104" s="296">
        <f t="shared" si="15"/>
        <v>0.55740730643402403</v>
      </c>
      <c r="D104" s="296">
        <f t="shared" si="15"/>
        <v>0.8172129220088461</v>
      </c>
      <c r="E104" s="296">
        <f t="shared" si="15"/>
        <v>0.54176057379473541</v>
      </c>
      <c r="F104" s="296">
        <f t="shared" si="15"/>
        <v>0.57982794386821224</v>
      </c>
      <c r="G104" s="296">
        <f t="shared" si="15"/>
        <v>0.51347504012510792</v>
      </c>
      <c r="H104" s="297"/>
      <c r="I104" s="297"/>
      <c r="J104" s="297"/>
      <c r="K104" s="297"/>
      <c r="L104" s="297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</row>
    <row r="105" spans="1:24">
      <c r="A105" s="223">
        <v>2004</v>
      </c>
      <c r="B105" s="296">
        <f t="shared" si="15"/>
        <v>0.64136232196142373</v>
      </c>
      <c r="C105" s="296">
        <f t="shared" si="15"/>
        <v>0.61046319152025541</v>
      </c>
      <c r="D105" s="296">
        <f t="shared" si="15"/>
        <v>0.84950997471199774</v>
      </c>
      <c r="E105" s="296">
        <f t="shared" si="15"/>
        <v>0.55480115045125455</v>
      </c>
      <c r="F105" s="296">
        <f t="shared" si="15"/>
        <v>0.54258299641250507</v>
      </c>
      <c r="G105" s="296">
        <f t="shared" si="15"/>
        <v>0.56536589658965897</v>
      </c>
      <c r="H105" s="297"/>
      <c r="I105" s="297"/>
      <c r="J105" s="297"/>
      <c r="K105" s="297"/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</row>
    <row r="106" spans="1:24">
      <c r="A106" s="223">
        <v>2005</v>
      </c>
      <c r="B106" s="296">
        <f t="shared" si="15"/>
        <v>0.65876711037073121</v>
      </c>
      <c r="C106" s="296">
        <f t="shared" si="15"/>
        <v>0.62881064596617697</v>
      </c>
      <c r="D106" s="296">
        <f t="shared" si="15"/>
        <v>0.83130813793103453</v>
      </c>
      <c r="E106" s="296">
        <f t="shared" si="15"/>
        <v>0.58274078136425367</v>
      </c>
      <c r="F106" s="296">
        <f t="shared" si="15"/>
        <v>0.56468332697443724</v>
      </c>
      <c r="G106" s="296">
        <f t="shared" si="15"/>
        <v>0.59587935240629852</v>
      </c>
      <c r="H106" s="297"/>
      <c r="I106" s="297"/>
      <c r="J106" s="297"/>
      <c r="K106" s="297"/>
      <c r="L106" s="297"/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</row>
    <row r="107" spans="1:24">
      <c r="A107" s="223">
        <v>2006</v>
      </c>
      <c r="B107" s="296">
        <f t="shared" si="15"/>
        <v>0.70434089249069587</v>
      </c>
      <c r="C107" s="296">
        <f t="shared" si="15"/>
        <v>0.69695836044242032</v>
      </c>
      <c r="D107" s="296">
        <f t="shared" si="15"/>
        <v>0.81421520021792426</v>
      </c>
      <c r="E107" s="296">
        <f t="shared" si="15"/>
        <v>0.6446010485166217</v>
      </c>
      <c r="F107" s="296">
        <f t="shared" si="15"/>
        <v>0.62202658339338612</v>
      </c>
      <c r="G107" s="296">
        <f t="shared" si="15"/>
        <v>0.65789807055154936</v>
      </c>
      <c r="H107" s="297"/>
      <c r="I107" s="297"/>
      <c r="J107" s="297"/>
      <c r="K107" s="297"/>
      <c r="L107" s="297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</row>
    <row r="108" spans="1:24">
      <c r="A108" s="223">
        <v>2007</v>
      </c>
      <c r="B108" s="296">
        <f t="shared" ref="B108:G113" si="16">IFERROR(B17/B78/1000,"..")</f>
        <v>0.69081816121477679</v>
      </c>
      <c r="C108" s="296">
        <f t="shared" si="16"/>
        <v>0.73587858220211155</v>
      </c>
      <c r="D108" s="296">
        <f t="shared" si="16"/>
        <v>0.79542911130074367</v>
      </c>
      <c r="E108" s="296">
        <f t="shared" si="16"/>
        <v>0.62822619886036235</v>
      </c>
      <c r="F108" s="296">
        <f t="shared" si="16"/>
        <v>0.59213918996006853</v>
      </c>
      <c r="G108" s="296">
        <f t="shared" si="16"/>
        <v>0.65157325881794692</v>
      </c>
      <c r="H108" s="297"/>
      <c r="I108" s="297"/>
      <c r="J108" s="297"/>
      <c r="K108" s="297"/>
      <c r="L108" s="297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</row>
    <row r="109" spans="1:24">
      <c r="A109" s="223">
        <v>2008</v>
      </c>
      <c r="B109" s="296">
        <f t="shared" si="16"/>
        <v>0.69051077201125466</v>
      </c>
      <c r="C109" s="296">
        <f t="shared" si="16"/>
        <v>0.72242771084337343</v>
      </c>
      <c r="D109" s="296">
        <f t="shared" si="16"/>
        <v>0.80260434632631938</v>
      </c>
      <c r="E109" s="296">
        <f t="shared" si="16"/>
        <v>0.62945714676889375</v>
      </c>
      <c r="F109" s="296">
        <f t="shared" si="16"/>
        <v>0.59213120414328879</v>
      </c>
      <c r="G109" s="296">
        <f t="shared" si="16"/>
        <v>0.65387263241465343</v>
      </c>
      <c r="H109" s="297"/>
      <c r="I109" s="297"/>
      <c r="J109" s="297"/>
      <c r="K109" s="297"/>
      <c r="L109" s="297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</row>
    <row r="110" spans="1:24">
      <c r="A110" s="223">
        <v>2009</v>
      </c>
      <c r="B110" s="296">
        <f t="shared" si="16"/>
        <v>0.8069827563372447</v>
      </c>
      <c r="C110" s="296">
        <f t="shared" si="16"/>
        <v>0.72653875869173312</v>
      </c>
      <c r="D110" s="296">
        <f t="shared" si="16"/>
        <v>0.9056731777036684</v>
      </c>
      <c r="E110" s="296">
        <f t="shared" si="16"/>
        <v>0.77603550802139032</v>
      </c>
      <c r="F110" s="296">
        <f t="shared" si="16"/>
        <v>0.84639851320854909</v>
      </c>
      <c r="G110" s="296">
        <f t="shared" si="16"/>
        <v>0.73893907035175876</v>
      </c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</row>
    <row r="111" spans="1:24">
      <c r="A111" s="223">
        <v>2010</v>
      </c>
      <c r="B111" s="296">
        <f t="shared" si="16"/>
        <v>0.75865865589644532</v>
      </c>
      <c r="C111" s="296">
        <f t="shared" si="16"/>
        <v>0.65701548451548453</v>
      </c>
      <c r="D111" s="296">
        <f t="shared" si="16"/>
        <v>0.89711853546910758</v>
      </c>
      <c r="E111" s="296">
        <f t="shared" si="16"/>
        <v>0.7143137884013796</v>
      </c>
      <c r="F111" s="296">
        <f t="shared" si="16"/>
        <v>0.70357568673290471</v>
      </c>
      <c r="G111" s="296">
        <f t="shared" si="16"/>
        <v>0.72036227014478582</v>
      </c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</row>
    <row r="112" spans="1:24">
      <c r="A112" s="223">
        <v>2011</v>
      </c>
      <c r="B112" s="296">
        <f t="shared" si="16"/>
        <v>0.76599408376148215</v>
      </c>
      <c r="C112" s="296">
        <f t="shared" si="16"/>
        <v>0.74483969465648847</v>
      </c>
      <c r="D112" s="296">
        <f t="shared" si="16"/>
        <v>0.88236725236532154</v>
      </c>
      <c r="E112" s="296">
        <f t="shared" si="16"/>
        <v>0.71971546391752572</v>
      </c>
      <c r="F112" s="296">
        <f t="shared" si="16"/>
        <v>0.72112332875171814</v>
      </c>
      <c r="G112" s="296">
        <f t="shared" si="16"/>
        <v>0.71677199656399559</v>
      </c>
      <c r="H112" s="297"/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</row>
    <row r="113" spans="1:24">
      <c r="A113" s="223">
        <v>2012</v>
      </c>
      <c r="B113" s="296">
        <f t="shared" si="16"/>
        <v>0.75412805458584564</v>
      </c>
      <c r="C113" s="296">
        <f t="shared" si="16"/>
        <v>0.7957994100294985</v>
      </c>
      <c r="D113" s="296">
        <f t="shared" si="16"/>
        <v>0.77166227631937501</v>
      </c>
      <c r="E113" s="296">
        <f t="shared" si="16"/>
        <v>0.7398496561739204</v>
      </c>
      <c r="F113" s="296">
        <f t="shared" si="16"/>
        <v>0.89426276276276284</v>
      </c>
      <c r="G113" s="296">
        <f t="shared" si="16"/>
        <v>0.67046009555830821</v>
      </c>
      <c r="H113" s="297"/>
      <c r="I113" s="297"/>
      <c r="J113" s="297"/>
      <c r="K113" s="297"/>
      <c r="L113" s="297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</row>
    <row r="114" spans="1:24">
      <c r="A114" s="223">
        <v>2013</v>
      </c>
      <c r="B114" s="296">
        <f t="shared" ref="B114:G114" si="17">IFERROR(B23/B84/1000,"..")</f>
        <v>0.76310682185751788</v>
      </c>
      <c r="C114" s="296">
        <f t="shared" si="17"/>
        <v>0.78024960169941571</v>
      </c>
      <c r="D114" s="296">
        <f t="shared" si="17"/>
        <v>0.74528813559322027</v>
      </c>
      <c r="E114" s="296">
        <f t="shared" si="17"/>
        <v>0.7693638064688586</v>
      </c>
      <c r="F114" s="296">
        <f t="shared" si="17"/>
        <v>0.88900115807759128</v>
      </c>
      <c r="G114" s="296">
        <f t="shared" si="17"/>
        <v>0.710595146871009</v>
      </c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</row>
    <row r="115" spans="1:24">
      <c r="A115" s="223"/>
      <c r="B115" s="296"/>
      <c r="C115" s="296"/>
      <c r="D115" s="296"/>
      <c r="E115" s="296"/>
      <c r="F115" s="296"/>
      <c r="G115" s="296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</row>
    <row r="116" spans="1:24">
      <c r="A116" s="223" t="s">
        <v>32</v>
      </c>
      <c r="B116" s="296"/>
      <c r="C116" s="296"/>
      <c r="D116" s="296"/>
      <c r="E116" s="296"/>
      <c r="F116" s="296"/>
      <c r="G116" s="296"/>
      <c r="H116" s="297"/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</row>
    <row r="117" spans="1:24">
      <c r="A117" s="295" t="s">
        <v>444</v>
      </c>
      <c r="B117" s="296">
        <f t="shared" ref="B117:G117" si="18">IFERROR(((B114/B98)^(1/16)-1)*100,"..")</f>
        <v>1.5117018088716794</v>
      </c>
      <c r="C117" s="296">
        <f t="shared" si="18"/>
        <v>0.52051948926907787</v>
      </c>
      <c r="D117" s="296">
        <f t="shared" si="18"/>
        <v>-1.233120323121617</v>
      </c>
      <c r="E117" s="296">
        <f t="shared" si="18"/>
        <v>3.0756790724909555</v>
      </c>
      <c r="F117" s="296">
        <f t="shared" si="18"/>
        <v>2.5126062919959891</v>
      </c>
      <c r="G117" s="296">
        <f t="shared" si="18"/>
        <v>3.8629198723964864</v>
      </c>
      <c r="H117" s="297"/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  <c r="S117" s="297"/>
      <c r="T117" s="297"/>
      <c r="U117" s="297"/>
      <c r="V117" s="297"/>
      <c r="W117" s="297"/>
      <c r="X117" s="297"/>
    </row>
    <row r="118" spans="1:24">
      <c r="A118" s="295" t="s">
        <v>445</v>
      </c>
      <c r="B118" s="296">
        <f t="shared" ref="B118:G118" si="19">IFERROR(((B114/B101)^(1/13)-1)*100,"..")</f>
        <v>1.5923377986347464</v>
      </c>
      <c r="C118" s="296">
        <f t="shared" si="19"/>
        <v>2.1215287226233004</v>
      </c>
      <c r="D118" s="296">
        <f t="shared" si="19"/>
        <v>-1.3301692859772563</v>
      </c>
      <c r="E118" s="296">
        <f t="shared" si="19"/>
        <v>3.104665982063648</v>
      </c>
      <c r="F118" s="296">
        <f t="shared" si="19"/>
        <v>3.8473338868789009</v>
      </c>
      <c r="G118" s="296">
        <f t="shared" si="19"/>
        <v>2.2890768852509291</v>
      </c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</row>
    <row r="119" spans="1:24">
      <c r="A119" s="295" t="s">
        <v>446</v>
      </c>
      <c r="B119" s="296">
        <f t="shared" ref="B119:G119" si="20">IFERROR(((B108/B101)^(1/7)-1)*100,"..")</f>
        <v>1.5236584476176374</v>
      </c>
      <c r="C119" s="296">
        <f t="shared" si="20"/>
        <v>3.1097319087206587</v>
      </c>
      <c r="D119" s="296">
        <f t="shared" si="20"/>
        <v>-1.544682025887556</v>
      </c>
      <c r="E119" s="296">
        <f t="shared" si="20"/>
        <v>2.8220039774056627</v>
      </c>
      <c r="F119" s="296">
        <f t="shared" si="20"/>
        <v>1.2132317201739573</v>
      </c>
      <c r="G119" s="296">
        <f t="shared" si="20"/>
        <v>3.0088369607460308</v>
      </c>
      <c r="H119" s="297"/>
      <c r="I119" s="297"/>
      <c r="J119" s="297"/>
      <c r="K119" s="297"/>
      <c r="L119" s="297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</row>
    <row r="120" spans="1:24">
      <c r="A120" s="300" t="s">
        <v>447</v>
      </c>
      <c r="B120" s="296">
        <f t="shared" ref="B120:G120" si="21">IFERROR(((B114/B108)^(1/6)-1)*100,"..")</f>
        <v>1.6725224314368736</v>
      </c>
      <c r="C120" s="296">
        <f t="shared" si="21"/>
        <v>0.98058882839544559</v>
      </c>
      <c r="D120" s="296">
        <f t="shared" si="21"/>
        <v>-1.0793136391384794</v>
      </c>
      <c r="E120" s="296">
        <f t="shared" si="21"/>
        <v>3.4354205752377354</v>
      </c>
      <c r="F120" s="296">
        <f t="shared" si="21"/>
        <v>7.0072213512579973</v>
      </c>
      <c r="G120" s="296">
        <f t="shared" si="21"/>
        <v>1.4557107070708009</v>
      </c>
      <c r="H120" s="297"/>
      <c r="I120" s="297"/>
      <c r="J120" s="297"/>
      <c r="K120" s="297"/>
      <c r="L120" s="297"/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</row>
    <row r="121" spans="1:24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</row>
    <row r="122" spans="1:24">
      <c r="A122" s="297" t="s">
        <v>450</v>
      </c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97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</row>
    <row r="123" spans="1:24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</row>
    <row r="124" spans="1:24">
      <c r="A124" s="475" t="s">
        <v>507</v>
      </c>
      <c r="B124" s="475"/>
      <c r="C124" s="475"/>
      <c r="D124" s="475"/>
      <c r="E124" s="475"/>
      <c r="F124" s="475"/>
      <c r="G124" s="475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</row>
    <row r="125" spans="1:24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</row>
    <row r="126" spans="1:24">
      <c r="B126" s="461" t="s">
        <v>133</v>
      </c>
      <c r="C126" s="461"/>
      <c r="D126" s="461"/>
      <c r="E126" s="461"/>
      <c r="F126" s="461"/>
      <c r="G126" s="461"/>
      <c r="H126" s="297"/>
      <c r="I126" s="297"/>
      <c r="J126" s="297"/>
      <c r="K126" s="297"/>
      <c r="L126" s="297"/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</row>
    <row r="127" spans="1:24" ht="30">
      <c r="B127" s="294" t="s">
        <v>8</v>
      </c>
      <c r="C127" s="146" t="s">
        <v>441</v>
      </c>
      <c r="D127" s="146" t="s">
        <v>248</v>
      </c>
      <c r="E127" s="146" t="s">
        <v>249</v>
      </c>
      <c r="F127" s="146" t="s">
        <v>442</v>
      </c>
      <c r="G127" s="146" t="s">
        <v>443</v>
      </c>
      <c r="H127" s="297"/>
      <c r="I127" s="297"/>
      <c r="J127" s="297"/>
      <c r="K127" s="297"/>
      <c r="L127" s="297"/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</row>
    <row r="128" spans="1:24">
      <c r="A128" s="223">
        <v>1997</v>
      </c>
      <c r="B128" s="304">
        <f>IFERROR(B98/'16A'!$B4,"..")</f>
        <v>0.43351474814905522</v>
      </c>
      <c r="C128" s="304">
        <f>IFERROR(C98/'16A'!$B4,"..")</f>
        <v>0.5186020687007652</v>
      </c>
      <c r="D128" s="304">
        <f>IFERROR(D98/'16A'!$B4,"..")</f>
        <v>0.65647645151308831</v>
      </c>
      <c r="E128" s="304">
        <f>IFERROR(E98/'16A'!$B4,"..")</f>
        <v>0.34222265489257236</v>
      </c>
      <c r="F128" s="304">
        <f>IFERROR(F98/'16A'!$B4,"..")</f>
        <v>0.43166039345717844</v>
      </c>
      <c r="G128" s="304">
        <f>IFERROR(G98/'16A'!$B4,"..")</f>
        <v>0.2798530688349567</v>
      </c>
      <c r="H128" s="297"/>
      <c r="I128" s="297"/>
      <c r="J128" s="297"/>
      <c r="K128" s="297"/>
      <c r="L128" s="297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</row>
    <row r="129" spans="1:24">
      <c r="A129" s="223">
        <v>1998</v>
      </c>
      <c r="B129" s="304">
        <f>IFERROR(B99/'16A'!$B5,"..")</f>
        <v>0.40876170119349092</v>
      </c>
      <c r="C129" s="304">
        <f>IFERROR(C99/'16A'!$B5,"..")</f>
        <v>0.44169726505562112</v>
      </c>
      <c r="D129" s="304">
        <f>IFERROR(D99/'16A'!$B5,"..")</f>
        <v>0.60172500525495076</v>
      </c>
      <c r="E129" s="304">
        <f>IFERROR(E99/'16A'!$B5,"..")</f>
        <v>0.32796350035623184</v>
      </c>
      <c r="F129" s="304">
        <f>IFERROR(F99/'16A'!$B5,"..")</f>
        <v>0.38296410646357198</v>
      </c>
      <c r="G129" s="304">
        <f>IFERROR(G99/'16A'!$B5,"..")</f>
        <v>0.29424660999047575</v>
      </c>
      <c r="H129" s="297"/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</row>
    <row r="130" spans="1:24">
      <c r="A130" s="223">
        <v>1999</v>
      </c>
      <c r="B130" s="304">
        <f>IFERROR(B100/'16A'!$B6,"..")</f>
        <v>0.44174096113591343</v>
      </c>
      <c r="C130" s="304">
        <f>IFERROR(C100/'16A'!$B6,"..")</f>
        <v>0.43418387528445718</v>
      </c>
      <c r="D130" s="304">
        <f>IFERROR(D100/'16A'!$B6,"..")</f>
        <v>0.64912166837806373</v>
      </c>
      <c r="E130" s="304">
        <f>IFERROR(E100/'16A'!$B6,"..")</f>
        <v>0.36132751894764042</v>
      </c>
      <c r="F130" s="304">
        <f>IFERROR(F100/'16A'!$B6,"..")</f>
        <v>0.40932450296664991</v>
      </c>
      <c r="G130" s="304">
        <f>IFERROR(G100/'16A'!$B6,"..")</f>
        <v>0.33847175142028152</v>
      </c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</row>
    <row r="131" spans="1:24">
      <c r="A131" s="223">
        <v>2000</v>
      </c>
      <c r="B131" s="304">
        <f>IFERROR(B101/'16A'!$B7,"..")</f>
        <v>0.41836102248977719</v>
      </c>
      <c r="C131" s="304">
        <f>IFERROR(C101/'16A'!$B7,"..")</f>
        <v>0.39982214437421776</v>
      </c>
      <c r="D131" s="304">
        <f>IFERROR(D101/'16A'!$B7,"..")</f>
        <v>0.59715285399538343</v>
      </c>
      <c r="E131" s="304">
        <f>IFERROR(E101/'16A'!$B7,"..")</f>
        <v>0.34807423812289967</v>
      </c>
      <c r="F131" s="304">
        <f>IFERROR(F101/'16A'!$B7,"..")</f>
        <v>0.36637096289538384</v>
      </c>
      <c r="G131" s="304">
        <f>IFERROR(G101/'16A'!$B7,"..")</f>
        <v>0.356451257298185</v>
      </c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</row>
    <row r="132" spans="1:24">
      <c r="A132" s="223">
        <v>2001</v>
      </c>
      <c r="B132" s="304">
        <f>IFERROR(B102/'16A'!$B8,"..")</f>
        <v>0.41583788357439933</v>
      </c>
      <c r="C132" s="304">
        <f>IFERROR(C102/'16A'!$B8,"..")</f>
        <v>0.36899256729545404</v>
      </c>
      <c r="D132" s="304">
        <f>IFERROR(D102/'16A'!$B8,"..")</f>
        <v>0.57924369841597156</v>
      </c>
      <c r="E132" s="304">
        <f>IFERROR(E102/'16A'!$B8,"..")</f>
        <v>0.35640215053513685</v>
      </c>
      <c r="F132" s="304">
        <f>IFERROR(F102/'16A'!$B8,"..")</f>
        <v>0.39915827867653592</v>
      </c>
      <c r="G132" s="304">
        <f>IFERROR(G102/'16A'!$B8,"..")</f>
        <v>0.32577645851809067</v>
      </c>
      <c r="H132" s="297"/>
      <c r="I132" s="297"/>
      <c r="J132" s="297"/>
      <c r="K132" s="297"/>
      <c r="L132" s="297"/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</row>
    <row r="133" spans="1:24">
      <c r="A133" s="223">
        <v>2002</v>
      </c>
      <c r="B133" s="304">
        <f>IFERROR(B103/'16A'!$B9,"..")</f>
        <v>0.39729431117157454</v>
      </c>
      <c r="C133" s="304">
        <f>IFERROR(C103/'16A'!$B9,"..")</f>
        <v>0.34604055980907794</v>
      </c>
      <c r="D133" s="304">
        <f>IFERROR(D103/'16A'!$B9,"..")</f>
        <v>0.54327147454748081</v>
      </c>
      <c r="E133" s="304">
        <f>IFERROR(E103/'16A'!$B9,"..")</f>
        <v>0.34262487978967276</v>
      </c>
      <c r="F133" s="304">
        <f>IFERROR(F103/'16A'!$B9,"..")</f>
        <v>0.36492568124752717</v>
      </c>
      <c r="G133" s="304">
        <f>IFERROR(G103/'16A'!$B9,"..")</f>
        <v>0.32772852493430643</v>
      </c>
      <c r="H133" s="297"/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  <c r="S133" s="297"/>
      <c r="T133" s="297"/>
      <c r="U133" s="297"/>
      <c r="V133" s="297"/>
      <c r="W133" s="297"/>
      <c r="X133" s="297"/>
    </row>
    <row r="134" spans="1:24">
      <c r="A134" s="223">
        <v>2003</v>
      </c>
      <c r="B134" s="304">
        <f>IFERROR(B104/'16A'!$B10,"..")</f>
        <v>0.44133081256009715</v>
      </c>
      <c r="C134" s="304">
        <f>IFERROR(C104/'16A'!$B10,"..")</f>
        <v>0.39785974490735843</v>
      </c>
      <c r="D134" s="304">
        <f>IFERROR(D104/'16A'!$B10,"..")</f>
        <v>0.58330079446836303</v>
      </c>
      <c r="E134" s="304">
        <f>IFERROR(E104/'16A'!$B10,"..")</f>
        <v>0.38669160092243948</v>
      </c>
      <c r="F134" s="304">
        <f>IFERROR(F104/'16A'!$B10,"..")</f>
        <v>0.41386288836683927</v>
      </c>
      <c r="G134" s="304">
        <f>IFERROR(G104/'16A'!$B10,"..")</f>
        <v>0.3665022796120298</v>
      </c>
      <c r="H134" s="297"/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7"/>
      <c r="T134" s="297"/>
      <c r="U134" s="297"/>
      <c r="V134" s="297"/>
      <c r="W134" s="297"/>
      <c r="X134" s="297"/>
    </row>
    <row r="135" spans="1:24">
      <c r="A135" s="223">
        <v>2004</v>
      </c>
      <c r="B135" s="304">
        <f>IFERROR(B105/'16A'!$B11,"..")</f>
        <v>0.49286975407097405</v>
      </c>
      <c r="C135" s="304">
        <f>IFERROR(C105/'16A'!$B11,"..")</f>
        <v>0.46912460051257471</v>
      </c>
      <c r="D135" s="304">
        <f>IFERROR(D105/'16A'!$B11,"..")</f>
        <v>0.65282564625354667</v>
      </c>
      <c r="E135" s="304">
        <f>IFERROR(E105/'16A'!$B11,"..")</f>
        <v>0.42634981385397053</v>
      </c>
      <c r="F135" s="304">
        <f>IFERROR(F105/'16A'!$B11,"..")</f>
        <v>0.41696048995688956</v>
      </c>
      <c r="G135" s="304">
        <f>IFERROR(G105/'16A'!$B11,"..")</f>
        <v>0.43446853809572733</v>
      </c>
      <c r="H135" s="297"/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  <c r="S135" s="297"/>
      <c r="T135" s="297"/>
      <c r="U135" s="297"/>
      <c r="V135" s="297"/>
      <c r="W135" s="297"/>
      <c r="X135" s="297"/>
    </row>
    <row r="136" spans="1:24">
      <c r="A136" s="223">
        <v>2005</v>
      </c>
      <c r="B136" s="304">
        <f>IFERROR(B106/'16A'!$B12,"..")</f>
        <v>0.54380412642582809</v>
      </c>
      <c r="C136" s="304">
        <f>IFERROR(C106/'16A'!$B12,"..")</f>
        <v>0.51907543444975579</v>
      </c>
      <c r="D136" s="304">
        <f>IFERROR(D106/'16A'!$B12,"..")</f>
        <v>0.68623461709231282</v>
      </c>
      <c r="E136" s="304">
        <f>IFERROR(E106/'16A'!$B12,"..")</f>
        <v>0.48104532930333144</v>
      </c>
      <c r="F136" s="304">
        <f>IFERROR(F106/'16A'!$B12,"..")</f>
        <v>0.46613912336903368</v>
      </c>
      <c r="G136" s="304">
        <f>IFERROR(G106/'16A'!$B12,"..")</f>
        <v>0.49189105768825647</v>
      </c>
      <c r="H136" s="297"/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</row>
    <row r="137" spans="1:24">
      <c r="A137" s="223">
        <v>2006</v>
      </c>
      <c r="B137" s="304">
        <f>IFERROR(B107/'16A'!$B13,"..")</f>
        <v>0.62092314297999018</v>
      </c>
      <c r="C137" s="304">
        <f>IFERROR(C107/'16A'!$B13,"..")</f>
        <v>0.61441495205789876</v>
      </c>
      <c r="D137" s="304">
        <f>IFERROR(D107/'16A'!$B13,"..")</f>
        <v>0.71778462186628456</v>
      </c>
      <c r="E137" s="304">
        <f>IFERROR(E107/'16A'!$B13,"..")</f>
        <v>0.56825851413763406</v>
      </c>
      <c r="F137" s="304">
        <f>IFERROR(F107/'16A'!$B13,"..")</f>
        <v>0.54835762809672206</v>
      </c>
      <c r="G137" s="304">
        <f>IFERROR(G107/'16A'!$B13,"..")</f>
        <v>0.57998071968075537</v>
      </c>
      <c r="H137" s="297"/>
      <c r="I137" s="297"/>
      <c r="J137" s="297"/>
      <c r="K137" s="297"/>
      <c r="L137" s="297"/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</row>
    <row r="138" spans="1:24">
      <c r="A138" s="223">
        <v>2007</v>
      </c>
      <c r="B138" s="304">
        <f>IFERROR(B108/'16A'!$B14,"..")</f>
        <v>0.64319256838753325</v>
      </c>
      <c r="C138" s="304">
        <f>IFERROR(C108/'16A'!$B14,"..")</f>
        <v>0.68514648554643176</v>
      </c>
      <c r="D138" s="304">
        <f>IFERROR(D108/'16A'!$B14,"..")</f>
        <v>0.74059155041333158</v>
      </c>
      <c r="E138" s="304">
        <f>IFERROR(E108/'16A'!$B14,"..")</f>
        <v>0.58491574926575696</v>
      </c>
      <c r="F138" s="304">
        <f>IFERROR(F108/'16A'!$B14,"..")</f>
        <v>0.55131660951646566</v>
      </c>
      <c r="G138" s="304">
        <f>IFERROR(G108/'16A'!$B14,"..")</f>
        <v>0.60665324301086976</v>
      </c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</row>
    <row r="139" spans="1:24">
      <c r="A139" s="223">
        <v>2008</v>
      </c>
      <c r="B139" s="304">
        <f>IFERROR(B109/'16A'!$B15,"..")</f>
        <v>0.64709890012530025</v>
      </c>
      <c r="C139" s="304">
        <f>IFERROR(C109/'16A'!$B15,"..")</f>
        <v>0.67700924598923695</v>
      </c>
      <c r="D139" s="304">
        <f>IFERROR(D109/'16A'!$B15,"..")</f>
        <v>0.75214523914057307</v>
      </c>
      <c r="E139" s="304">
        <f>IFERROR(E109/'16A'!$B15,"..")</f>
        <v>0.58988366852519125</v>
      </c>
      <c r="F139" s="304">
        <f>IFERROR(F109/'16A'!$B15,"..")</f>
        <v>0.55490437870351794</v>
      </c>
      <c r="G139" s="304">
        <f>IFERROR(G109/'16A'!$B15,"..")</f>
        <v>0.61276417169442876</v>
      </c>
      <c r="H139" s="297"/>
      <c r="I139" s="297"/>
      <c r="J139" s="297"/>
      <c r="K139" s="297"/>
      <c r="L139" s="297"/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</row>
    <row r="140" spans="1:24">
      <c r="A140" s="223">
        <v>2009</v>
      </c>
      <c r="B140" s="304">
        <f>IFERROR(B110/'16A'!$B16,"..")</f>
        <v>0.70692748751993606</v>
      </c>
      <c r="C140" s="304">
        <f>IFERROR(C110/'16A'!$B16,"..")</f>
        <v>0.6364574896234314</v>
      </c>
      <c r="D140" s="304">
        <f>IFERROR(D110/'16A'!$B16,"..")</f>
        <v>0.79338159211011339</v>
      </c>
      <c r="E140" s="304">
        <f>IFERROR(E110/'16A'!$B16,"..")</f>
        <v>0.67981729176199879</v>
      </c>
      <c r="F140" s="304">
        <f>IFERROR(F110/'16A'!$B16,"..")</f>
        <v>0.74145620793547273</v>
      </c>
      <c r="G140" s="304">
        <f>IFERROR(G110/'16A'!$B16,"..")</f>
        <v>0.64732032541198536</v>
      </c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</row>
    <row r="141" spans="1:24">
      <c r="A141" s="223">
        <v>2010</v>
      </c>
      <c r="B141" s="304">
        <f>IFERROR(B111/'16A'!$B17,"..")</f>
        <v>0.73648119211565322</v>
      </c>
      <c r="C141" s="304">
        <f>IFERROR(C111/'16A'!$B17,"..")</f>
        <v>0.63780930134204616</v>
      </c>
      <c r="D141" s="304">
        <f>IFERROR(D111/'16A'!$B17,"..")</f>
        <v>0.87089354789029449</v>
      </c>
      <c r="E141" s="304">
        <f>IFERROR(E111/'16A'!$B17,"..")</f>
        <v>0.69343263447626802</v>
      </c>
      <c r="F141" s="304">
        <f>IFERROR(F111/'16A'!$B17,"..")</f>
        <v>0.68300843400561928</v>
      </c>
      <c r="G141" s="304">
        <f>IFERROR(G111/'16A'!$B17,"..")</f>
        <v>0.69930430417943634</v>
      </c>
      <c r="H141" s="297"/>
      <c r="I141" s="297"/>
      <c r="J141" s="297"/>
      <c r="K141" s="297"/>
      <c r="L141" s="297"/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</row>
    <row r="142" spans="1:24">
      <c r="A142" s="223">
        <v>2011</v>
      </c>
      <c r="B142" s="304">
        <f>IFERROR(B112/'16A'!$B18,"..")</f>
        <v>0.77431161618182265</v>
      </c>
      <c r="C142" s="304">
        <f>IFERROR(C112/'16A'!$B18,"..")</f>
        <v>0.75292752253870865</v>
      </c>
      <c r="D142" s="304">
        <f>IFERROR(D112/'16A'!$B18,"..")</f>
        <v>0.89194842065862734</v>
      </c>
      <c r="E142" s="304">
        <f>IFERROR(E112/'16A'!$B18,"..")</f>
        <v>0.72753048081055227</v>
      </c>
      <c r="F142" s="304">
        <f>IFERROR(F112/'16A'!$B18,"..")</f>
        <v>0.72895363291869386</v>
      </c>
      <c r="G142" s="304">
        <f>IFERROR(G112/'16A'!$B18,"..")</f>
        <v>0.72455505187186087</v>
      </c>
      <c r="H142" s="297"/>
      <c r="I142" s="297"/>
      <c r="J142" s="297"/>
      <c r="K142" s="297"/>
      <c r="L142" s="297"/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</row>
    <row r="143" spans="1:24">
      <c r="A143" s="223">
        <v>2012</v>
      </c>
      <c r="B143" s="304">
        <f>IFERROR(B113/'16A'!$B19,"..")</f>
        <v>0.7546074237057816</v>
      </c>
      <c r="C143" s="304">
        <f>IFERROR(C113/'16A'!$B19,"..")</f>
        <v>0.79630526796769818</v>
      </c>
      <c r="D143" s="304">
        <f>IFERROR(D113/'16A'!$B19,"..")</f>
        <v>0.7721527912445757</v>
      </c>
      <c r="E143" s="304">
        <f>IFERROR(E113/'16A'!$B19,"..")</f>
        <v>0.74031994908559273</v>
      </c>
      <c r="F143" s="304">
        <f>IFERROR(F113/'16A'!$B19,"..")</f>
        <v>0.89483120992630516</v>
      </c>
      <c r="G143" s="304">
        <f>IFERROR(G113/'16A'!$B19,"..")</f>
        <v>0.67088628029444886</v>
      </c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</row>
    <row r="144" spans="1:24">
      <c r="A144" s="223">
        <v>2013</v>
      </c>
      <c r="B144" s="304">
        <f>IFERROR(B114/'16A'!$B20,"..")</f>
        <v>0.74078161684828703</v>
      </c>
      <c r="C144" s="304">
        <f>IFERROR(C114/'16A'!$B20,"..")</f>
        <v>0.75742287309815759</v>
      </c>
      <c r="D144" s="304">
        <f>IFERROR(D114/'16A'!$B20,"..")</f>
        <v>0.72348422827449788</v>
      </c>
      <c r="E144" s="304">
        <f>IFERROR(E114/'16A'!$B20,"..")</f>
        <v>0.74685554915268104</v>
      </c>
      <c r="F144" s="304">
        <f>IFERROR(F114/'16A'!$B20,"..")</f>
        <v>0.8629928293101784</v>
      </c>
      <c r="G144" s="304">
        <f>IFERROR(G114/'16A'!$B20,"..")</f>
        <v>0.68980620634778844</v>
      </c>
      <c r="H144" s="297"/>
      <c r="I144" s="297"/>
      <c r="J144" s="297"/>
      <c r="K144" s="297"/>
      <c r="L144" s="297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</row>
    <row r="145" spans="1:24">
      <c r="A145" s="223"/>
      <c r="B145" s="304"/>
      <c r="C145" s="304"/>
      <c r="D145" s="304"/>
      <c r="E145" s="304"/>
      <c r="F145" s="304"/>
      <c r="G145" s="304"/>
      <c r="H145" s="297"/>
      <c r="I145" s="297"/>
      <c r="J145" s="297"/>
      <c r="K145" s="297"/>
      <c r="L145" s="297"/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</row>
    <row r="146" spans="1:24">
      <c r="A146" s="223" t="s">
        <v>32</v>
      </c>
      <c r="B146" s="304"/>
      <c r="C146" s="304"/>
      <c r="D146" s="304"/>
      <c r="E146" s="304"/>
      <c r="F146" s="304"/>
      <c r="G146" s="304"/>
      <c r="H146" s="297"/>
      <c r="I146" s="297"/>
      <c r="J146" s="297"/>
      <c r="K146" s="297"/>
      <c r="L146" s="297"/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</row>
    <row r="147" spans="1:24">
      <c r="A147" s="295" t="s">
        <v>444</v>
      </c>
      <c r="B147" s="296">
        <f t="shared" ref="B147:G147" si="22">IFERROR(((B144/B128)^(1/16)-1)*100,"..")</f>
        <v>3.4053228693207593</v>
      </c>
      <c r="C147" s="296">
        <f t="shared" si="22"/>
        <v>2.395650822113371</v>
      </c>
      <c r="D147" s="296">
        <f t="shared" si="22"/>
        <v>0.6092982364954258</v>
      </c>
      <c r="E147" s="296">
        <f t="shared" si="22"/>
        <v>4.9984749002986772</v>
      </c>
      <c r="F147" s="296">
        <f t="shared" si="22"/>
        <v>4.4248984393736368</v>
      </c>
      <c r="G147" s="296">
        <f t="shared" si="22"/>
        <v>5.800401058953808</v>
      </c>
      <c r="H147" s="297"/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</row>
    <row r="148" spans="1:24">
      <c r="A148" s="295" t="s">
        <v>445</v>
      </c>
      <c r="B148" s="296">
        <f t="shared" ref="B148:G148" si="23">IFERROR(((B144/B131)^(1/13)-1)*100,"..")</f>
        <v>4.4931000719883318</v>
      </c>
      <c r="C148" s="296">
        <f t="shared" si="23"/>
        <v>5.0374009649073237</v>
      </c>
      <c r="D148" s="296">
        <f t="shared" si="23"/>
        <v>1.4871467504026903</v>
      </c>
      <c r="E148" s="296">
        <f t="shared" si="23"/>
        <v>6.0486097062478539</v>
      </c>
      <c r="F148" s="296">
        <f t="shared" si="23"/>
        <v>6.812482980351775</v>
      </c>
      <c r="G148" s="296">
        <f t="shared" si="23"/>
        <v>5.2097331240414713</v>
      </c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</row>
    <row r="149" spans="1:24">
      <c r="A149" s="295" t="s">
        <v>446</v>
      </c>
      <c r="B149" s="296">
        <f t="shared" ref="B149:G149" si="24">IFERROR(((B138/B131)^(1/7)-1)*100,"..")</f>
        <v>6.3369641750549155</v>
      </c>
      <c r="C149" s="296">
        <f t="shared" si="24"/>
        <v>7.9982344581716269</v>
      </c>
      <c r="D149" s="296">
        <f t="shared" si="24"/>
        <v>3.1231515918889841</v>
      </c>
      <c r="E149" s="296">
        <f t="shared" si="24"/>
        <v>7.6968651498522833</v>
      </c>
      <c r="F149" s="296">
        <f t="shared" si="24"/>
        <v>6.0118199052373589</v>
      </c>
      <c r="G149" s="296">
        <f t="shared" si="24"/>
        <v>7.8925560120608695</v>
      </c>
      <c r="H149" s="297"/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</row>
    <row r="150" spans="1:24">
      <c r="A150" s="300" t="s">
        <v>447</v>
      </c>
      <c r="B150" s="296">
        <f t="shared" ref="B150:G150" si="25">IFERROR(((B144/B138)^(1/6)-1)*100,"..")</f>
        <v>2.3822956213608082</v>
      </c>
      <c r="C150" s="296">
        <f t="shared" si="25"/>
        <v>1.6855316481377169</v>
      </c>
      <c r="D150" s="296">
        <f t="shared" si="25"/>
        <v>-0.3887509440390291</v>
      </c>
      <c r="E150" s="296">
        <f t="shared" si="25"/>
        <v>4.1575005104760532</v>
      </c>
      <c r="F150" s="296">
        <f t="shared" si="25"/>
        <v>7.7542359332419819</v>
      </c>
      <c r="G150" s="296">
        <f t="shared" si="25"/>
        <v>2.1639703400814447</v>
      </c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7"/>
      <c r="T150" s="297"/>
      <c r="U150" s="297"/>
      <c r="V150" s="297"/>
      <c r="W150" s="297"/>
      <c r="X150" s="297"/>
    </row>
    <row r="151" spans="1:24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</row>
    <row r="152" spans="1:24">
      <c r="A152" s="297" t="s">
        <v>451</v>
      </c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</row>
    <row r="154" spans="1:24">
      <c r="A154" s="475" t="s">
        <v>508</v>
      </c>
      <c r="B154" s="475"/>
      <c r="C154" s="475"/>
      <c r="D154" s="475"/>
      <c r="E154" s="475"/>
      <c r="F154" s="475"/>
      <c r="G154" s="475"/>
    </row>
    <row r="155" spans="1:24">
      <c r="B155" s="297"/>
      <c r="C155" s="297"/>
      <c r="D155" s="297"/>
      <c r="E155" s="297"/>
      <c r="F155" s="297"/>
      <c r="G155" s="297"/>
    </row>
    <row r="156" spans="1:24">
      <c r="B156" s="461" t="s">
        <v>133</v>
      </c>
      <c r="C156" s="461"/>
      <c r="D156" s="461"/>
      <c r="E156" s="461"/>
      <c r="F156" s="461"/>
      <c r="G156" s="461"/>
    </row>
    <row r="157" spans="1:24" ht="30">
      <c r="A157" s="223"/>
      <c r="B157" s="294" t="s">
        <v>8</v>
      </c>
      <c r="C157" s="146" t="s">
        <v>441</v>
      </c>
      <c r="D157" s="146" t="s">
        <v>248</v>
      </c>
      <c r="E157" s="146" t="s">
        <v>249</v>
      </c>
      <c r="F157" s="146" t="s">
        <v>442</v>
      </c>
      <c r="G157" s="146" t="s">
        <v>443</v>
      </c>
    </row>
    <row r="158" spans="1:24">
      <c r="A158" s="223">
        <v>1997</v>
      </c>
      <c r="B158" s="296">
        <f>'14A-14H'!B7/'14A-14H'!B38</f>
        <v>22.615748413716585</v>
      </c>
      <c r="C158" s="296">
        <f>'14A-14H'!C7/'14A-14H'!C38</f>
        <v>22.014536168540982</v>
      </c>
      <c r="D158" s="296">
        <f>'14A-14H'!D7/'14A-14H'!D38</f>
        <v>19.011087834040161</v>
      </c>
      <c r="E158" s="296">
        <f>'14A-14H'!E7/'14A-14H'!E38</f>
        <v>26.05327887730504</v>
      </c>
      <c r="F158" s="296">
        <f>'14A-14H'!F7/'14A-14H'!F38</f>
        <v>28.784033069068698</v>
      </c>
      <c r="G158" s="296">
        <f>'14A-14H'!G7/'14A-14H'!G38</f>
        <v>23.347120322817315</v>
      </c>
    </row>
    <row r="159" spans="1:24">
      <c r="A159" s="223">
        <v>1998</v>
      </c>
      <c r="B159" s="296">
        <f>'14A-14H'!B8/'14A-14H'!B39</f>
        <v>23.310729650296036</v>
      </c>
      <c r="C159" s="296">
        <f>'14A-14H'!C8/'14A-14H'!C39</f>
        <v>22.637054710908888</v>
      </c>
      <c r="D159" s="296">
        <f>'14A-14H'!D8/'14A-14H'!D39</f>
        <v>19.515284555499338</v>
      </c>
      <c r="E159" s="296">
        <f>'14A-14H'!E8/'14A-14H'!E39</f>
        <v>27.28499732007991</v>
      </c>
      <c r="F159" s="296">
        <f>'14A-14H'!F8/'14A-14H'!F39</f>
        <v>30.574345254857786</v>
      </c>
      <c r="G159" s="296">
        <f>'14A-14H'!G8/'14A-14H'!G39</f>
        <v>24.467084828563674</v>
      </c>
    </row>
    <row r="160" spans="1:24">
      <c r="A160" s="223">
        <v>1999</v>
      </c>
      <c r="B160" s="296">
        <f>'14A-14H'!B9/'14A-14H'!B40</f>
        <v>23.872567810097863</v>
      </c>
      <c r="C160" s="296">
        <f>'14A-14H'!C9/'14A-14H'!C40</f>
        <v>23.170966001079332</v>
      </c>
      <c r="D160" s="296">
        <f>'14A-14H'!D9/'14A-14H'!D40</f>
        <v>20.254414175810318</v>
      </c>
      <c r="E160" s="296">
        <f>'14A-14H'!E9/'14A-14H'!E40</f>
        <v>27.564093586835735</v>
      </c>
      <c r="F160" s="296">
        <f>'14A-14H'!F9/'14A-14H'!F40</f>
        <v>30.34936482032575</v>
      </c>
      <c r="G160" s="296">
        <f>'14A-14H'!G9/'14A-14H'!G40</f>
        <v>25.03687358457697</v>
      </c>
    </row>
    <row r="161" spans="1:7">
      <c r="A161" s="223">
        <v>2000</v>
      </c>
      <c r="B161" s="296">
        <f>'14A-14H'!B10/'14A-14H'!B41</f>
        <v>26.547386819287844</v>
      </c>
      <c r="C161" s="296">
        <f>'14A-14H'!C10/'14A-14H'!C41</f>
        <v>23.755739299610894</v>
      </c>
      <c r="D161" s="296">
        <f>'14A-14H'!D10/'14A-14H'!D41</f>
        <v>23.05655775275013</v>
      </c>
      <c r="E161" s="296">
        <f>'14A-14H'!E10/'14A-14H'!E41</f>
        <v>30.759942098463743</v>
      </c>
      <c r="F161" s="296">
        <f>'14A-14H'!F10/'14A-14H'!F41</f>
        <v>34.865890347927653</v>
      </c>
      <c r="G161" s="296">
        <f>'14A-14H'!G10/'14A-14H'!G41</f>
        <v>27.537061732510974</v>
      </c>
    </row>
    <row r="162" spans="1:7">
      <c r="A162" s="223">
        <v>2001</v>
      </c>
      <c r="B162" s="296">
        <f>'14A-14H'!B11/'14A-14H'!B42</f>
        <v>27.063048039530607</v>
      </c>
      <c r="C162" s="296">
        <f>'14A-14H'!C11/'14A-14H'!C42</f>
        <v>24.364509066412172</v>
      </c>
      <c r="D162" s="296">
        <f>'14A-14H'!D11/'14A-14H'!D42</f>
        <v>23.108293815929546</v>
      </c>
      <c r="E162" s="296">
        <f>'14A-14H'!E11/'14A-14H'!E42</f>
        <v>31.472513758157159</v>
      </c>
      <c r="F162" s="296">
        <f>'14A-14H'!F11/'14A-14H'!F42</f>
        <v>35.565359004053271</v>
      </c>
      <c r="G162" s="296">
        <f>'14A-14H'!G11/'14A-14H'!G42</f>
        <v>28.56328137058188</v>
      </c>
    </row>
    <row r="163" spans="1:7">
      <c r="A163" s="223">
        <v>2002</v>
      </c>
      <c r="B163" s="296">
        <f>'14A-14H'!B12/'14A-14H'!B43</f>
        <v>27.408799902132692</v>
      </c>
      <c r="C163" s="296">
        <f>'14A-14H'!C12/'14A-14H'!C43</f>
        <v>24.476532206724926</v>
      </c>
      <c r="D163" s="296">
        <f>'14A-14H'!D12/'14A-14H'!D43</f>
        <v>23.924436886350509</v>
      </c>
      <c r="E163" s="296">
        <f>'14A-14H'!E12/'14A-14H'!E43</f>
        <v>31.375420202289455</v>
      </c>
      <c r="F163" s="296">
        <f>'14A-14H'!F12/'14A-14H'!F43</f>
        <v>35.011381102246943</v>
      </c>
      <c r="G163" s="296">
        <f>'14A-14H'!G12/'14A-14H'!G43</f>
        <v>28.90323864484354</v>
      </c>
    </row>
    <row r="164" spans="1:7">
      <c r="A164" s="223">
        <v>2003</v>
      </c>
      <c r="B164" s="296">
        <f>'14A-14H'!B13/'14A-14H'!B44</f>
        <v>28.42899687506554</v>
      </c>
      <c r="C164" s="296">
        <f>'14A-14H'!C13/'14A-14H'!C44</f>
        <v>23.548171609559457</v>
      </c>
      <c r="D164" s="296">
        <f>'14A-14H'!D13/'14A-14H'!D44</f>
        <v>24.299527202503828</v>
      </c>
      <c r="E164" s="296">
        <f>'14A-14H'!E13/'14A-14H'!E44</f>
        <v>33.501463191586652</v>
      </c>
      <c r="F164" s="296">
        <f>'14A-14H'!F13/'14A-14H'!F44</f>
        <v>38.06376416870269</v>
      </c>
      <c r="G164" s="296">
        <f>'14A-14H'!G13/'14A-14H'!G44</f>
        <v>30.698841128853676</v>
      </c>
    </row>
    <row r="165" spans="1:7">
      <c r="A165" s="223">
        <v>2004</v>
      </c>
      <c r="B165" s="296">
        <f>'14A-14H'!B14/'14A-14H'!B45</f>
        <v>29.189321815585362</v>
      </c>
      <c r="C165" s="296">
        <f>'14A-14H'!C14/'14A-14H'!C45</f>
        <v>25.7503521773749</v>
      </c>
      <c r="D165" s="296">
        <f>'14A-14H'!D14/'14A-14H'!D45</f>
        <v>25.054328189999502</v>
      </c>
      <c r="E165" s="296">
        <f>'14A-14H'!E14/'14A-14H'!E45</f>
        <v>33.807094941681271</v>
      </c>
      <c r="F165" s="296">
        <f>'14A-14H'!F14/'14A-14H'!F45</f>
        <v>37.15171365071938</v>
      </c>
      <c r="G165" s="296">
        <f>'14A-14H'!G14/'14A-14H'!G45</f>
        <v>31.692007893438578</v>
      </c>
    </row>
    <row r="166" spans="1:7">
      <c r="A166" s="223">
        <v>2005</v>
      </c>
      <c r="B166" s="296">
        <f>'14A-14H'!B15/'14A-14H'!B46</f>
        <v>31.187835273985343</v>
      </c>
      <c r="C166" s="296">
        <f>'14A-14H'!C15/'14A-14H'!C46</f>
        <v>28.47608286252354</v>
      </c>
      <c r="D166" s="296">
        <f>'14A-14H'!D15/'14A-14H'!D46</f>
        <v>26.494100684004149</v>
      </c>
      <c r="E166" s="296">
        <f>'14A-14H'!E15/'14A-14H'!E46</f>
        <v>36.22217713135511</v>
      </c>
      <c r="F166" s="296">
        <f>'14A-14H'!F15/'14A-14H'!F46</f>
        <v>42.808571153104509</v>
      </c>
      <c r="G166" s="296">
        <f>'14A-14H'!G15/'14A-14H'!G46</f>
        <v>32.878365149290261</v>
      </c>
    </row>
    <row r="167" spans="1:7">
      <c r="A167" s="223">
        <v>2006</v>
      </c>
      <c r="B167" s="296">
        <f>'14A-14H'!B16/'14A-14H'!B47</f>
        <v>31.28795791295212</v>
      </c>
      <c r="C167" s="296">
        <f>'14A-14H'!C16/'14A-14H'!C47</f>
        <v>28.031532120894937</v>
      </c>
      <c r="D167" s="296">
        <f>'14A-14H'!D16/'14A-14H'!D47</f>
        <v>26.774373857895302</v>
      </c>
      <c r="E167" s="296">
        <f>'14A-14H'!E16/'14A-14H'!E47</f>
        <v>36.459480305783138</v>
      </c>
      <c r="F167" s="296">
        <f>'14A-14H'!F16/'14A-14H'!F47</f>
        <v>41.100947039839163</v>
      </c>
      <c r="G167" s="296">
        <f>'14A-14H'!G16/'14A-14H'!G47</f>
        <v>34.235186734616263</v>
      </c>
    </row>
    <row r="168" spans="1:7">
      <c r="A168" s="223">
        <v>2007</v>
      </c>
      <c r="B168" s="296">
        <f>'14A-14H'!B17/'14A-14H'!B48</f>
        <v>31.997900482888937</v>
      </c>
      <c r="C168" s="296">
        <f>'14A-14H'!C17/'14A-14H'!C48</f>
        <v>30.590955404028527</v>
      </c>
      <c r="D168" s="296">
        <f>'14A-14H'!D17/'14A-14H'!D48</f>
        <v>26.85422368556436</v>
      </c>
      <c r="E168" s="296">
        <f>'14A-14H'!E17/'14A-14H'!E48</f>
        <v>37.056780845198084</v>
      </c>
      <c r="F168" s="296">
        <f>'14A-14H'!F17/'14A-14H'!F48</f>
        <v>42.726919910619785</v>
      </c>
      <c r="G168" s="296">
        <f>'14A-14H'!G17/'14A-14H'!G48</f>
        <v>34.374694036493104</v>
      </c>
    </row>
    <row r="169" spans="1:7">
      <c r="A169" s="223">
        <v>2008</v>
      </c>
      <c r="B169" s="296">
        <f>'14A-14H'!B18/'14A-14H'!B49</f>
        <v>32.127106983144138</v>
      </c>
      <c r="C169" s="296">
        <f>'14A-14H'!C18/'14A-14H'!C49</f>
        <v>30.527704709376327</v>
      </c>
      <c r="D169" s="296">
        <f>'14A-14H'!D18/'14A-14H'!D49</f>
        <v>26.908176246096911</v>
      </c>
      <c r="E169" s="296">
        <f>'14A-14H'!E18/'14A-14H'!E49</f>
        <v>37.053151192778856</v>
      </c>
      <c r="F169" s="296">
        <f>'14A-14H'!F18/'14A-14H'!F49</f>
        <v>46.668752976392952</v>
      </c>
      <c r="G169" s="296">
        <f>'14A-14H'!G18/'14A-14H'!G49</f>
        <v>33.007156556837373</v>
      </c>
    </row>
    <row r="170" spans="1:7">
      <c r="A170" s="223">
        <v>2009</v>
      </c>
      <c r="B170" s="296">
        <f>'14A-14H'!B19/'14A-14H'!B50</f>
        <v>35.467258058883104</v>
      </c>
      <c r="C170" s="296">
        <f>'14A-14H'!C19/'14A-14H'!C50</f>
        <v>32.249085505258343</v>
      </c>
      <c r="D170" s="296">
        <f>'14A-14H'!D19/'14A-14H'!D50</f>
        <v>28.433515809626371</v>
      </c>
      <c r="E170" s="296">
        <f>'14A-14H'!E19/'14A-14H'!E50</f>
        <v>41.489021545217511</v>
      </c>
      <c r="F170" s="296">
        <f>'14A-14H'!F19/'14A-14H'!F50</f>
        <v>51.40212834569494</v>
      </c>
      <c r="G170" s="296">
        <f>'14A-14H'!G19/'14A-14H'!G50</f>
        <v>37.562775400728015</v>
      </c>
    </row>
    <row r="171" spans="1:7">
      <c r="A171" s="223">
        <v>2010</v>
      </c>
      <c r="B171" s="296">
        <f>'14A-14H'!B20/'14A-14H'!B51</f>
        <v>35.775439468142999</v>
      </c>
      <c r="C171" s="296">
        <f>'14A-14H'!C20/'14A-14H'!C51</f>
        <v>30.388009703130415</v>
      </c>
      <c r="D171" s="296">
        <f>'14A-14H'!D20/'14A-14H'!D51</f>
        <v>27.904054207948981</v>
      </c>
      <c r="E171" s="296">
        <f>'14A-14H'!E20/'14A-14H'!E51</f>
        <v>43.704021789806887</v>
      </c>
      <c r="F171" s="296">
        <f>'14A-14H'!F20/'14A-14H'!F51</f>
        <v>51.79048356565135</v>
      </c>
      <c r="G171" s="296">
        <f>'14A-14H'!G20/'14A-14H'!G51</f>
        <v>40.477875802409805</v>
      </c>
    </row>
    <row r="172" spans="1:7">
      <c r="A172" s="223">
        <v>2011</v>
      </c>
      <c r="B172" s="296">
        <f>'14A-14H'!B21/'14A-14H'!B52</f>
        <v>34.575511255827031</v>
      </c>
      <c r="C172" s="296">
        <f>'14A-14H'!C21/'14A-14H'!C52</f>
        <v>29.348506115901344</v>
      </c>
      <c r="D172" s="296">
        <f>'14A-14H'!D21/'14A-14H'!D52</f>
        <v>27.188124702522607</v>
      </c>
      <c r="E172" s="296">
        <f>'14A-14H'!E21/'14A-14H'!E52</f>
        <v>41.765817938164069</v>
      </c>
      <c r="F172" s="296">
        <f>'14A-14H'!F21/'14A-14H'!F52</f>
        <v>47.691513098091065</v>
      </c>
      <c r="G172" s="296">
        <f>'14A-14H'!G21/'14A-14H'!G52</f>
        <v>39.350389059184153</v>
      </c>
    </row>
    <row r="173" spans="1:7">
      <c r="A173" s="223">
        <v>2012</v>
      </c>
      <c r="B173" s="296">
        <f>'14A-14H'!B22/'14A-14H'!B53</f>
        <v>37.002789961329839</v>
      </c>
      <c r="C173" s="296">
        <f>'14A-14H'!C22/'14A-14H'!C53</f>
        <v>31.332868757259</v>
      </c>
      <c r="D173" s="296">
        <f>'14A-14H'!D22/'14A-14H'!D53</f>
        <v>28.087118957878729</v>
      </c>
      <c r="E173" s="296">
        <f>'14A-14H'!E22/'14A-14H'!E53</f>
        <v>45.338690258074649</v>
      </c>
      <c r="F173" s="296">
        <f>'14A-14H'!F22/'14A-14H'!F53</f>
        <v>53.186193963207714</v>
      </c>
      <c r="G173" s="296">
        <f>'14A-14H'!G22/'14A-14H'!G53</f>
        <v>42.08497482227488</v>
      </c>
    </row>
    <row r="174" spans="1:7">
      <c r="A174" s="223">
        <v>2013</v>
      </c>
      <c r="B174" s="296">
        <f>'14A-14H'!B23/'14A-14H'!B54</f>
        <v>36.901547495416487</v>
      </c>
      <c r="C174" s="296">
        <f>'14A-14H'!C23/'14A-14H'!C54</f>
        <v>33.69747706422018</v>
      </c>
      <c r="D174" s="296">
        <f>'14A-14H'!D23/'14A-14H'!D54</f>
        <v>27.066098484848485</v>
      </c>
      <c r="E174" s="296">
        <f>'14A-14H'!E23/'14A-14H'!E54</f>
        <v>45.932228635263449</v>
      </c>
      <c r="F174" s="296">
        <f>'14A-14H'!F23/'14A-14H'!F54</f>
        <v>53.019252352585688</v>
      </c>
      <c r="G174" s="296">
        <f>'14A-14H'!G23/'14A-14H'!G54</f>
        <v>42.776658722226493</v>
      </c>
    </row>
    <row r="175" spans="1:7">
      <c r="A175" s="223"/>
      <c r="B175" s="296"/>
      <c r="C175" s="296"/>
      <c r="D175" s="296"/>
      <c r="E175" s="296"/>
      <c r="F175" s="296"/>
      <c r="G175" s="296"/>
    </row>
    <row r="176" spans="1:7">
      <c r="A176" s="223" t="s">
        <v>32</v>
      </c>
      <c r="B176" s="296"/>
      <c r="C176" s="296"/>
      <c r="D176" s="296"/>
      <c r="E176" s="296"/>
      <c r="F176" s="296"/>
      <c r="G176" s="296"/>
    </row>
    <row r="177" spans="1:7">
      <c r="A177" s="295" t="s">
        <v>444</v>
      </c>
      <c r="B177" s="296">
        <f t="shared" ref="B177:G177" si="26">((B174/B158)^(1/16)-1)*100</f>
        <v>3.107344274884416</v>
      </c>
      <c r="C177" s="296">
        <f t="shared" si="26"/>
        <v>2.6964640019697672</v>
      </c>
      <c r="D177" s="296">
        <f t="shared" si="26"/>
        <v>2.2324262960540686</v>
      </c>
      <c r="E177" s="296">
        <f t="shared" si="26"/>
        <v>3.6074406204379628</v>
      </c>
      <c r="F177" s="296">
        <f t="shared" si="26"/>
        <v>3.891525219901304</v>
      </c>
      <c r="G177" s="296">
        <f t="shared" si="26"/>
        <v>3.8570173663978968</v>
      </c>
    </row>
    <row r="178" spans="1:7">
      <c r="A178" s="295" t="s">
        <v>445</v>
      </c>
      <c r="B178" s="296">
        <f t="shared" ref="B178:G178" si="27">((B174/B161)^(1/13)-1)*100</f>
        <v>2.5656068430486734</v>
      </c>
      <c r="C178" s="296">
        <f t="shared" si="27"/>
        <v>2.7257075392646657</v>
      </c>
      <c r="D178" s="296">
        <f t="shared" si="27"/>
        <v>1.2409578143770084</v>
      </c>
      <c r="E178" s="296">
        <f t="shared" si="27"/>
        <v>3.1323157459082429</v>
      </c>
      <c r="F178" s="296">
        <f t="shared" si="27"/>
        <v>3.2767412894669556</v>
      </c>
      <c r="G178" s="296">
        <f t="shared" si="27"/>
        <v>3.4462039601159677</v>
      </c>
    </row>
    <row r="179" spans="1:7">
      <c r="A179" s="295" t="s">
        <v>446</v>
      </c>
      <c r="B179" s="296">
        <f t="shared" ref="B179:G179" si="28">((B168/B161)^(1/7)-1)*100</f>
        <v>2.7036012555743616</v>
      </c>
      <c r="C179" s="296">
        <f t="shared" si="28"/>
        <v>3.6786211824342496</v>
      </c>
      <c r="D179" s="296">
        <f t="shared" si="28"/>
        <v>2.202079683908531</v>
      </c>
      <c r="E179" s="296">
        <f t="shared" si="28"/>
        <v>2.6962526167320089</v>
      </c>
      <c r="F179" s="296">
        <f t="shared" si="28"/>
        <v>2.9471679536016149</v>
      </c>
      <c r="G179" s="296">
        <f t="shared" si="28"/>
        <v>3.2191260452424153</v>
      </c>
    </row>
    <row r="180" spans="1:7">
      <c r="A180" s="300" t="s">
        <v>447</v>
      </c>
      <c r="B180" s="296">
        <f t="shared" ref="B180:G180" si="29">((B174/B168)^(1/6)-1)*100</f>
        <v>2.404847684164535</v>
      </c>
      <c r="C180" s="296">
        <f t="shared" si="29"/>
        <v>1.6250387610975414</v>
      </c>
      <c r="D180" s="296">
        <f t="shared" si="29"/>
        <v>0.13106666790829724</v>
      </c>
      <c r="E180" s="296">
        <f t="shared" si="29"/>
        <v>3.6433968151530438</v>
      </c>
      <c r="F180" s="296">
        <f t="shared" si="29"/>
        <v>3.6625772688761105</v>
      </c>
      <c r="G180" s="296">
        <f t="shared" si="29"/>
        <v>3.7117596624524962</v>
      </c>
    </row>
    <row r="181" spans="1:7">
      <c r="A181" s="297"/>
      <c r="B181" s="297"/>
      <c r="C181" s="297"/>
      <c r="D181" s="297"/>
      <c r="E181" s="297"/>
      <c r="F181" s="297"/>
      <c r="G181" s="297"/>
    </row>
    <row r="182" spans="1:7">
      <c r="A182" s="297" t="s">
        <v>452</v>
      </c>
      <c r="B182" s="297"/>
      <c r="C182" s="297"/>
      <c r="D182" s="297"/>
      <c r="E182" s="297"/>
      <c r="F182" s="297"/>
      <c r="G182" s="297"/>
    </row>
    <row r="183" spans="1:7">
      <c r="A183" s="297"/>
      <c r="B183" s="297"/>
      <c r="C183" s="297"/>
      <c r="D183" s="297"/>
      <c r="E183" s="297"/>
      <c r="F183" s="297"/>
      <c r="G183" s="297"/>
    </row>
    <row r="184" spans="1:7">
      <c r="A184" s="475" t="s">
        <v>509</v>
      </c>
      <c r="B184" s="475"/>
      <c r="C184" s="475"/>
      <c r="D184" s="475"/>
      <c r="E184" s="475"/>
      <c r="F184" s="475"/>
      <c r="G184" s="475"/>
    </row>
    <row r="185" spans="1:7">
      <c r="A185" s="297"/>
      <c r="B185" s="297"/>
      <c r="C185" s="297"/>
      <c r="D185" s="297"/>
      <c r="E185" s="297"/>
      <c r="F185" s="297"/>
      <c r="G185" s="297"/>
    </row>
    <row r="186" spans="1:7">
      <c r="B186" s="461" t="s">
        <v>133</v>
      </c>
      <c r="C186" s="461"/>
      <c r="D186" s="461"/>
      <c r="E186" s="461"/>
      <c r="F186" s="461"/>
      <c r="G186" s="461"/>
    </row>
    <row r="187" spans="1:7" ht="30">
      <c r="B187" s="294" t="s">
        <v>8</v>
      </c>
      <c r="C187" s="146" t="s">
        <v>441</v>
      </c>
      <c r="D187" s="146" t="s">
        <v>248</v>
      </c>
      <c r="E187" s="146" t="s">
        <v>249</v>
      </c>
      <c r="F187" s="146" t="s">
        <v>442</v>
      </c>
      <c r="G187" s="146" t="s">
        <v>443</v>
      </c>
    </row>
    <row r="188" spans="1:7">
      <c r="A188" s="223">
        <v>1997</v>
      </c>
      <c r="B188" s="296">
        <f>IFERROR('14A-14H'!B68/'14A-14H'!B38*1000,"..")</f>
        <v>37.677611733296345</v>
      </c>
      <c r="C188" s="296">
        <f>IFERROR('14A-14H'!C68/'14A-14H'!C38*1000,"..")</f>
        <v>30.65854736531945</v>
      </c>
      <c r="D188" s="296">
        <f>IFERROR('14A-14H'!D68/'14A-14H'!D38*1000,"..")</f>
        <v>20.915299848415174</v>
      </c>
      <c r="E188" s="296">
        <f>IFERROR('14A-14H'!E68/'14A-14H'!E38*1000,"..")</f>
        <v>54.983187213069449</v>
      </c>
      <c r="F188" s="296">
        <f>IFERROR('14A-14H'!F68/'14A-14H'!F38*1000,"..")</f>
        <v>48.15991609340778</v>
      </c>
      <c r="G188" s="296">
        <f>IFERROR('14A-14H'!G68/'14A-14H'!G38*1000,"..")</f>
        <v>60.253118121790166</v>
      </c>
    </row>
    <row r="189" spans="1:7">
      <c r="A189" s="223">
        <v>1998</v>
      </c>
      <c r="B189" s="296">
        <f>IFERROR('14A-14H'!B69/'14A-14H'!B39*1000,"..")</f>
        <v>38.441169371441546</v>
      </c>
      <c r="C189" s="296">
        <f>IFERROR('14A-14H'!C69/'14A-14H'!C39*1000,"..")</f>
        <v>34.546665186993678</v>
      </c>
      <c r="D189" s="296">
        <f>IFERROR('14A-14H'!D69/'14A-14H'!D39*1000,"..")</f>
        <v>21.861892249188031</v>
      </c>
      <c r="E189" s="296">
        <f>IFERROR('14A-14H'!E69/'14A-14H'!E39*1000,"..")</f>
        <v>56.080170215530543</v>
      </c>
      <c r="F189" s="296">
        <f>IFERROR('14A-14H'!F69/'14A-14H'!F39*1000,"..")</f>
        <v>53.815826527738665</v>
      </c>
      <c r="G189" s="296">
        <f>IFERROR('14A-14H'!G69/'14A-14H'!G39*1000,"..")</f>
        <v>56.050782545761592</v>
      </c>
    </row>
    <row r="190" spans="1:7">
      <c r="A190" s="223">
        <v>1999</v>
      </c>
      <c r="B190" s="296">
        <f>IFERROR('14A-14H'!B70/'14A-14H'!B40*1000,"..")</f>
        <v>36.374657139954621</v>
      </c>
      <c r="C190" s="296">
        <f>IFERROR('14A-14H'!C70/'14A-14H'!C40*1000,"..")</f>
        <v>35.920129519697788</v>
      </c>
      <c r="D190" s="296">
        <f>IFERROR('14A-14H'!D70/'14A-14H'!D40*1000,"..")</f>
        <v>21.002017908941859</v>
      </c>
      <c r="E190" s="296">
        <f>IFERROR('14A-14H'!E70/'14A-14H'!E40*1000,"..")</f>
        <v>51.346414382049836</v>
      </c>
      <c r="F190" s="296">
        <f>IFERROR('14A-14H'!F70/'14A-14H'!F40*1000,"..")</f>
        <v>49.905603020703332</v>
      </c>
      <c r="G190" s="296">
        <f>IFERROR('14A-14H'!G70/'14A-14H'!G40*1000,"..")</f>
        <v>49.788049474478832</v>
      </c>
    </row>
    <row r="191" spans="1:7">
      <c r="A191" s="223">
        <v>2000</v>
      </c>
      <c r="B191" s="296">
        <f>IFERROR('14A-14H'!B71/'14A-14H'!B41*1000,"..")</f>
        <v>42.719764213989514</v>
      </c>
      <c r="C191" s="296">
        <f>IFERROR('14A-14H'!C71/'14A-14H'!C41*1000,"..")</f>
        <v>40</v>
      </c>
      <c r="D191" s="296">
        <f>IFERROR('14A-14H'!D71/'14A-14H'!D41*1000,"..")</f>
        <v>25.993648507071768</v>
      </c>
      <c r="E191" s="296">
        <f>IFERROR('14A-14H'!E71/'14A-14H'!E41*1000,"..")</f>
        <v>59.493828505611162</v>
      </c>
      <c r="F191" s="296">
        <f>IFERROR('14A-14H'!F71/'14A-14H'!F41*1000,"..")</f>
        <v>64.067532651399844</v>
      </c>
      <c r="G191" s="296">
        <f>IFERROR('14A-14H'!G71/'14A-14H'!G41*1000,"..")</f>
        <v>52.008668111351895</v>
      </c>
    </row>
    <row r="192" spans="1:7">
      <c r="A192" s="223">
        <v>2001</v>
      </c>
      <c r="B192" s="296">
        <f>IFERROR('14A-14H'!B72/'14A-14H'!B42*1000,"..")</f>
        <v>42.019040849662034</v>
      </c>
      <c r="C192" s="296">
        <f>IFERROR('14A-14H'!C72/'14A-14H'!C42*1000,"..")</f>
        <v>42.631785774434405</v>
      </c>
      <c r="D192" s="296">
        <f>IFERROR('14A-14H'!D72/'14A-14H'!D42*1000,"..")</f>
        <v>25.757282492983645</v>
      </c>
      <c r="E192" s="296">
        <f>IFERROR('14A-14H'!E72/'14A-14H'!E42*1000,"..")</f>
        <v>57.01440471536403</v>
      </c>
      <c r="F192" s="296">
        <f>IFERROR('14A-14H'!F72/'14A-14H'!F42*1000,"..")</f>
        <v>57.527504342790962</v>
      </c>
      <c r="G192" s="296">
        <f>IFERROR('14A-14H'!G72/'14A-14H'!G42*1000,"..")</f>
        <v>56.608530122961362</v>
      </c>
    </row>
    <row r="193" spans="1:7">
      <c r="A193" s="223">
        <v>2002</v>
      </c>
      <c r="B193" s="296">
        <f>IFERROR('14A-14H'!B73/'14A-14H'!B43*1000,"..")</f>
        <v>43.932226889042944</v>
      </c>
      <c r="C193" s="296">
        <f>IFERROR('14A-14H'!C73/'14A-14H'!C43*1000,"..")</f>
        <v>45.043115921060242</v>
      </c>
      <c r="D193" s="296">
        <f>IFERROR('14A-14H'!D73/'14A-14H'!D43*1000,"..")</f>
        <v>28.043380607071811</v>
      </c>
      <c r="E193" s="296">
        <f>IFERROR('14A-14H'!E73/'14A-14H'!E43*1000,"..")</f>
        <v>58.314451996978988</v>
      </c>
      <c r="F193" s="296">
        <f>IFERROR('14A-14H'!F73/'14A-14H'!F43*1000,"..")</f>
        <v>61.095659811168851</v>
      </c>
      <c r="G193" s="296">
        <f>IFERROR('14A-14H'!G73/'14A-14H'!G43*1000,"..")</f>
        <v>56.161385005721115</v>
      </c>
    </row>
    <row r="194" spans="1:7">
      <c r="A194" s="223">
        <v>2003</v>
      </c>
      <c r="B194" s="296">
        <f>IFERROR('14A-14H'!B74/'14A-14H'!B44*1000,"..")</f>
        <v>45.9784819949246</v>
      </c>
      <c r="C194" s="296">
        <f>IFERROR('14A-14H'!C74/'14A-14H'!C44*1000,"..")</f>
        <v>42.245896919090129</v>
      </c>
      <c r="D194" s="296">
        <f>IFERROR('14A-14H'!D74/'14A-14H'!D44*1000,"..")</f>
        <v>29.734634081374441</v>
      </c>
      <c r="E194" s="296">
        <f>IFERROR('14A-14H'!E74/'14A-14H'!E44*1000,"..")</f>
        <v>61.838134430727017</v>
      </c>
      <c r="F194" s="296">
        <f>IFERROR('14A-14H'!F74/'14A-14H'!F44*1000,"..")</f>
        <v>65.646653582729201</v>
      </c>
      <c r="G194" s="296">
        <f>IFERROR('14A-14H'!G74/'14A-14H'!G44*1000,"..")</f>
        <v>59.786433088108652</v>
      </c>
    </row>
    <row r="195" spans="1:7">
      <c r="A195" s="223">
        <v>2004</v>
      </c>
      <c r="B195" s="296">
        <f>IFERROR('14A-14H'!B75/'14A-14H'!B45*1000,"..")</f>
        <v>45.511438411782827</v>
      </c>
      <c r="C195" s="296">
        <f>IFERROR('14A-14H'!C75/'14A-14H'!C45*1000,"..")</f>
        <v>42.181662277209533</v>
      </c>
      <c r="D195" s="296">
        <f>IFERROR('14A-14H'!D75/'14A-14H'!D45*1000,"..")</f>
        <v>29.492682765135822</v>
      </c>
      <c r="E195" s="296">
        <f>IFERROR('14A-14H'!E75/'14A-14H'!E45*1000,"..")</f>
        <v>60.935517012147216</v>
      </c>
      <c r="F195" s="296">
        <f>IFERROR('14A-14H'!F75/'14A-14H'!F45*1000,"..")</f>
        <v>68.47194603657347</v>
      </c>
      <c r="G195" s="296">
        <f>IFERROR('14A-14H'!G75/'14A-14H'!G45*1000,"..")</f>
        <v>56.05574740996547</v>
      </c>
    </row>
    <row r="196" spans="1:7">
      <c r="A196" s="223">
        <v>2005</v>
      </c>
      <c r="B196" s="296">
        <f>IFERROR('14A-14H'!B76/'14A-14H'!B46*1000,"..")</f>
        <v>47.342732785238653</v>
      </c>
      <c r="C196" s="296">
        <f>IFERROR('14A-14H'!C76/'14A-14H'!C46*1000,"..")</f>
        <v>45.285624607658505</v>
      </c>
      <c r="D196" s="296">
        <f>IFERROR('14A-14H'!D76/'14A-14H'!D46*1000,"..")</f>
        <v>31.870373300979409</v>
      </c>
      <c r="E196" s="296">
        <f>IFERROR('14A-14H'!E76/'14A-14H'!E46*1000,"..")</f>
        <v>62.158301408999407</v>
      </c>
      <c r="F196" s="296">
        <f>IFERROR('14A-14H'!F76/'14A-14H'!F46*1000,"..")</f>
        <v>75.80987273428461</v>
      </c>
      <c r="G196" s="296">
        <f>IFERROR('14A-14H'!G76/'14A-14H'!G46*1000,"..")</f>
        <v>55.176211453744493</v>
      </c>
    </row>
    <row r="197" spans="1:7">
      <c r="A197" s="223">
        <v>2006</v>
      </c>
      <c r="B197" s="296">
        <f>IFERROR('14A-14H'!B77/'14A-14H'!B47*1000,"..")</f>
        <v>44.421612100798789</v>
      </c>
      <c r="C197" s="296">
        <f>IFERROR('14A-14H'!C77/'14A-14H'!C47*1000,"..")</f>
        <v>40.219808975533162</v>
      </c>
      <c r="D197" s="296">
        <f>IFERROR('14A-14H'!D77/'14A-14H'!D47*1000,"..")</f>
        <v>32.883657601490555</v>
      </c>
      <c r="E197" s="296">
        <f>IFERROR('14A-14H'!E77/'14A-14H'!E47*1000,"..")</f>
        <v>56.561310890953344</v>
      </c>
      <c r="F197" s="296">
        <f>IFERROR('14A-14H'!F77/'14A-14H'!F47*1000,"..")</f>
        <v>66.075869001640129</v>
      </c>
      <c r="G197" s="296">
        <f>IFERROR('14A-14H'!G77/'14A-14H'!G47*1000,"..")</f>
        <v>52.037220151618882</v>
      </c>
    </row>
    <row r="198" spans="1:7">
      <c r="A198" s="223">
        <v>2007</v>
      </c>
      <c r="B198" s="296">
        <f>IFERROR('14A-14H'!B78/'14A-14H'!B48*1000,"..")</f>
        <v>46.318846665266989</v>
      </c>
      <c r="C198" s="296">
        <f>IFERROR('14A-14H'!C78/'14A-14H'!C48*1000,"..")</f>
        <v>41.5706560075241</v>
      </c>
      <c r="D198" s="296">
        <f>IFERROR('14A-14H'!D78/'14A-14H'!D48*1000,"..")</f>
        <v>33.760674966560345</v>
      </c>
      <c r="E198" s="296">
        <f>IFERROR('14A-14H'!E78/'14A-14H'!E48*1000,"..")</f>
        <v>58.986366554628198</v>
      </c>
      <c r="F198" s="296">
        <f>IFERROR('14A-14H'!F78/'14A-14H'!F48*1000,"..")</f>
        <v>72.156885805009992</v>
      </c>
      <c r="G198" s="296">
        <f>IFERROR('14A-14H'!G78/'14A-14H'!G48*1000,"..")</f>
        <v>52.756453048509123</v>
      </c>
    </row>
    <row r="199" spans="1:7">
      <c r="A199" s="223">
        <v>2008</v>
      </c>
      <c r="B199" s="296">
        <f>IFERROR('14A-14H'!B79/'14A-14H'!B49*1000,"..")</f>
        <v>46.52658334288882</v>
      </c>
      <c r="C199" s="296">
        <f>IFERROR('14A-14H'!C79/'14A-14H'!C49*1000,"..")</f>
        <v>42.257106491302501</v>
      </c>
      <c r="D199" s="296">
        <f>IFERROR('14A-14H'!D79/'14A-14H'!D49*1000,"..")</f>
        <v>33.526078408696662</v>
      </c>
      <c r="E199" s="296">
        <f>IFERROR('14A-14H'!E79/'14A-14H'!E49*1000,"..")</f>
        <v>58.865248226950349</v>
      </c>
      <c r="F199" s="296">
        <f>IFERROR('14A-14H'!F79/'14A-14H'!F49*1000,"..")</f>
        <v>78.814885366351447</v>
      </c>
      <c r="G199" s="296">
        <f>IFERROR('14A-14H'!G79/'14A-14H'!G49*1000,"..")</f>
        <v>50.479489308104085</v>
      </c>
    </row>
    <row r="200" spans="1:7">
      <c r="A200" s="223">
        <v>2009</v>
      </c>
      <c r="B200" s="296">
        <f>IFERROR('14A-14H'!B80/'14A-14H'!B50*1000,"..")</f>
        <v>43.950453439504535</v>
      </c>
      <c r="C200" s="296">
        <f>IFERROR('14A-14H'!C80/'14A-14H'!C50*1000,"..")</f>
        <v>44.387288523090994</v>
      </c>
      <c r="D200" s="296">
        <f>IFERROR('14A-14H'!D80/'14A-14H'!D50*1000,"..")</f>
        <v>31.39489664662419</v>
      </c>
      <c r="E200" s="296">
        <f>IFERROR('14A-14H'!E80/'14A-14H'!E50*1000,"..")</f>
        <v>53.462787612643517</v>
      </c>
      <c r="F200" s="296">
        <f>IFERROR('14A-14H'!F80/'14A-14H'!F50*1000,"..")</f>
        <v>60.730409545307964</v>
      </c>
      <c r="G200" s="296">
        <f>IFERROR('14A-14H'!G80/'14A-14H'!G50*1000,"..")</f>
        <v>50.83338655086532</v>
      </c>
    </row>
    <row r="201" spans="1:7">
      <c r="A201" s="223">
        <v>2010</v>
      </c>
      <c r="B201" s="296">
        <f>IFERROR('14A-14H'!B81/'14A-14H'!B51*1000,"..")</f>
        <v>47.156173847209409</v>
      </c>
      <c r="C201" s="296">
        <f>IFERROR('14A-14H'!C81/'14A-14H'!C51*1000,"..")</f>
        <v>46.251588310038116</v>
      </c>
      <c r="D201" s="296">
        <f>IFERROR('14A-14H'!D81/'14A-14H'!D51*1000,"..")</f>
        <v>31.104088372622709</v>
      </c>
      <c r="E201" s="296">
        <f>IFERROR('14A-14H'!E81/'14A-14H'!E51*1000,"..")</f>
        <v>61.183225774789591</v>
      </c>
      <c r="F201" s="296">
        <f>IFERROR('14A-14H'!F81/'14A-14H'!F51*1000,"..")</f>
        <v>73.610394080192734</v>
      </c>
      <c r="G201" s="296">
        <f>IFERROR('14A-14H'!G81/'14A-14H'!G51*1000,"..")</f>
        <v>56.190999279118472</v>
      </c>
    </row>
    <row r="202" spans="1:7">
      <c r="A202" s="223">
        <v>2011</v>
      </c>
      <c r="B202" s="296">
        <f>IFERROR('14A-14H'!B82/'14A-14H'!B52*1000,"..")</f>
        <v>45.138091780083862</v>
      </c>
      <c r="C202" s="296">
        <f>IFERROR('14A-14H'!C82/'14A-14H'!C52*1000,"..")</f>
        <v>39.402446360537397</v>
      </c>
      <c r="D202" s="296">
        <f>IFERROR('14A-14H'!D82/'14A-14H'!D52*1000,"..")</f>
        <v>30.812708234174202</v>
      </c>
      <c r="E202" s="296">
        <f>IFERROR('14A-14H'!E82/'14A-14H'!E52*1000,"..")</f>
        <v>58.031013688140135</v>
      </c>
      <c r="F202" s="296">
        <f>IFERROR('14A-14H'!F82/'14A-14H'!F52*1000,"..")</f>
        <v>66.135030162796454</v>
      </c>
      <c r="G202" s="296">
        <f>IFERROR('14A-14H'!G82/'14A-14H'!G52*1000,"..")</f>
        <v>54.899450938121063</v>
      </c>
    </row>
    <row r="203" spans="1:7">
      <c r="A203" s="223">
        <v>2012</v>
      </c>
      <c r="B203" s="296">
        <f>IFERROR('14A-14H'!B83/'14A-14H'!B53*1000,"..")</f>
        <v>49.066985025044772</v>
      </c>
      <c r="C203" s="296">
        <f>IFERROR('14A-14H'!C83/'14A-14H'!C53*1000,"..")</f>
        <v>39.372822299651567</v>
      </c>
      <c r="D203" s="296">
        <f>IFERROR('14A-14H'!D83/'14A-14H'!D53*1000,"..")</f>
        <v>36.398201415063149</v>
      </c>
      <c r="E203" s="296">
        <f>IFERROR('14A-14H'!E83/'14A-14H'!E53*1000,"..")</f>
        <v>61.280950636025757</v>
      </c>
      <c r="F203" s="296">
        <f>IFERROR('14A-14H'!F83/'14A-14H'!F53*1000,"..")</f>
        <v>59.474906233255936</v>
      </c>
      <c r="G203" s="296">
        <f>IFERROR('14A-14H'!G83/'14A-14H'!G53*1000,"..")</f>
        <v>62.770290284360193</v>
      </c>
    </row>
    <row r="204" spans="1:7">
      <c r="A204" s="223">
        <v>2013</v>
      </c>
      <c r="B204" s="296">
        <f>IFERROR('14A-14H'!B84/'14A-14H'!B54*1000,"..")</f>
        <v>48.356988089285487</v>
      </c>
      <c r="C204" s="296">
        <f>IFERROR('14A-14H'!C84/'14A-14H'!C54*1000,"..")</f>
        <v>43.188073394495419</v>
      </c>
      <c r="D204" s="296">
        <f>IFERROR('14A-14H'!D84/'14A-14H'!D54*1000,"..")</f>
        <v>36.316287878787875</v>
      </c>
      <c r="E204" s="296">
        <f>IFERROR('14A-14H'!E84/'14A-14H'!E54*1000,"..")</f>
        <v>59.7015719339309</v>
      </c>
      <c r="F204" s="296">
        <f>IFERROR('14A-14H'!F84/'14A-14H'!F54*1000,"..")</f>
        <v>59.639126305792971</v>
      </c>
      <c r="G204" s="296">
        <f>IFERROR('14A-14H'!G84/'14A-14H'!G54*1000,"..")</f>
        <v>60.198354732067344</v>
      </c>
    </row>
    <row r="205" spans="1:7">
      <c r="A205" s="223"/>
      <c r="B205" s="296"/>
      <c r="C205" s="296"/>
      <c r="D205" s="296"/>
      <c r="E205" s="296"/>
      <c r="F205" s="296"/>
      <c r="G205" s="296"/>
    </row>
    <row r="206" spans="1:7">
      <c r="A206" s="223" t="s">
        <v>32</v>
      </c>
      <c r="B206" s="296"/>
      <c r="C206" s="296"/>
      <c r="D206" s="296"/>
      <c r="E206" s="296"/>
      <c r="F206" s="296"/>
      <c r="G206" s="296"/>
    </row>
    <row r="207" spans="1:7">
      <c r="A207" s="295" t="s">
        <v>444</v>
      </c>
      <c r="B207" s="296">
        <f t="shared" ref="B207:G207" si="30">IFERROR(((B204/B188)^(1/16)-1)*100,"..")</f>
        <v>1.5718803227405598</v>
      </c>
      <c r="C207" s="296">
        <f t="shared" si="30"/>
        <v>2.1646769473102179</v>
      </c>
      <c r="D207" s="296">
        <f t="shared" si="30"/>
        <v>3.5088145241739088</v>
      </c>
      <c r="E207" s="296">
        <f t="shared" si="30"/>
        <v>0.51589429507714613</v>
      </c>
      <c r="F207" s="296">
        <f t="shared" si="30"/>
        <v>1.3451213248618643</v>
      </c>
      <c r="G207" s="296">
        <f t="shared" si="30"/>
        <v>-5.6829771451050171E-3</v>
      </c>
    </row>
    <row r="208" spans="1:7">
      <c r="A208" s="295" t="s">
        <v>445</v>
      </c>
      <c r="B208" s="296">
        <f t="shared" ref="B208:G208" si="31">IFERROR(((B204/B191)^(1/13)-1)*100,"..")</f>
        <v>0.95801422184320639</v>
      </c>
      <c r="C208" s="296">
        <f t="shared" si="31"/>
        <v>0.59162727409065585</v>
      </c>
      <c r="D208" s="296">
        <f t="shared" si="31"/>
        <v>2.6057884986204316</v>
      </c>
      <c r="E208" s="296">
        <f t="shared" si="31"/>
        <v>2.6817179980409556E-2</v>
      </c>
      <c r="F208" s="296">
        <f t="shared" si="31"/>
        <v>-0.54945329461562054</v>
      </c>
      <c r="G208" s="296">
        <f t="shared" si="31"/>
        <v>1.1312322978172196</v>
      </c>
    </row>
    <row r="209" spans="1:7">
      <c r="A209" s="295" t="s">
        <v>446</v>
      </c>
      <c r="B209" s="296">
        <f t="shared" ref="B209:G209" si="32">IFERROR(((B198/B191)^(1/7)-1)*100,"..")</f>
        <v>1.1622343264604984</v>
      </c>
      <c r="C209" s="296">
        <f t="shared" si="32"/>
        <v>0.55173189104709142</v>
      </c>
      <c r="D209" s="296">
        <f t="shared" si="32"/>
        <v>3.8055452837816528</v>
      </c>
      <c r="E209" s="296">
        <f t="shared" si="32"/>
        <v>-0.12230004844223652</v>
      </c>
      <c r="F209" s="296">
        <f t="shared" si="32"/>
        <v>1.7131517331859136</v>
      </c>
      <c r="G209" s="296">
        <f t="shared" si="32"/>
        <v>0.20414664479371236</v>
      </c>
    </row>
    <row r="210" spans="1:7">
      <c r="A210" s="300" t="s">
        <v>447</v>
      </c>
      <c r="B210" s="296">
        <f t="shared" ref="B210:G210" si="33">IFERROR(((B204/B198)^(1/6)-1)*100,"..")</f>
        <v>0.72027843434443461</v>
      </c>
      <c r="C210" s="296">
        <f t="shared" si="33"/>
        <v>0.63819189428302447</v>
      </c>
      <c r="D210" s="296">
        <f t="shared" si="33"/>
        <v>1.2235866445885035</v>
      </c>
      <c r="E210" s="296">
        <f t="shared" si="33"/>
        <v>0.20106868494242924</v>
      </c>
      <c r="F210" s="296">
        <f t="shared" si="33"/>
        <v>-3.1256246449039904</v>
      </c>
      <c r="G210" s="296">
        <f t="shared" si="33"/>
        <v>2.2236786275102061</v>
      </c>
    </row>
    <row r="211" spans="1:7">
      <c r="A211" s="297"/>
      <c r="B211" s="297"/>
      <c r="C211" s="297"/>
      <c r="D211" s="297"/>
      <c r="E211" s="297"/>
      <c r="F211" s="297"/>
      <c r="G211" s="297"/>
    </row>
    <row r="212" spans="1:7">
      <c r="A212" s="297" t="s">
        <v>453</v>
      </c>
      <c r="B212" s="297"/>
      <c r="C212" s="297"/>
      <c r="D212" s="297"/>
      <c r="E212" s="297"/>
      <c r="F212" s="297"/>
      <c r="G212" s="297"/>
    </row>
    <row r="214" spans="1:7">
      <c r="A214" s="475" t="s">
        <v>510</v>
      </c>
      <c r="B214" s="475"/>
      <c r="C214" s="475"/>
      <c r="D214" s="475"/>
      <c r="E214" s="475"/>
      <c r="F214" s="475"/>
      <c r="G214" s="475"/>
    </row>
    <row r="216" spans="1:7">
      <c r="B216" s="461" t="s">
        <v>133</v>
      </c>
      <c r="C216" s="461"/>
      <c r="D216" s="461"/>
      <c r="E216" s="461"/>
      <c r="F216" s="461"/>
      <c r="G216" s="279"/>
    </row>
    <row r="217" spans="1:7">
      <c r="B217" s="298" t="s">
        <v>461</v>
      </c>
      <c r="C217" s="298" t="s">
        <v>462</v>
      </c>
      <c r="D217" s="298" t="s">
        <v>463</v>
      </c>
      <c r="E217" s="298" t="s">
        <v>464</v>
      </c>
      <c r="F217" s="298" t="s">
        <v>465</v>
      </c>
      <c r="G217" s="298"/>
    </row>
    <row r="218" spans="1:7">
      <c r="B218" s="480" t="s">
        <v>466</v>
      </c>
      <c r="C218" s="480"/>
      <c r="D218" s="480"/>
      <c r="E218" s="480"/>
      <c r="F218" s="480"/>
      <c r="G218" s="298"/>
    </row>
    <row r="219" spans="1:7">
      <c r="A219" s="295" t="s">
        <v>445</v>
      </c>
      <c r="B219" s="296">
        <f>B148</f>
        <v>4.4931000719883318</v>
      </c>
      <c r="C219" s="296">
        <f>'16A'!B23</f>
        <v>-3.0041418112049856</v>
      </c>
      <c r="D219" s="296">
        <f>B118</f>
        <v>1.5923377986347464</v>
      </c>
      <c r="E219" s="299">
        <f>B208</f>
        <v>0.95801422184320639</v>
      </c>
      <c r="F219" s="299">
        <f>B178</f>
        <v>2.5656068430486734</v>
      </c>
      <c r="G219" s="299"/>
    </row>
    <row r="220" spans="1:7">
      <c r="A220" s="295" t="s">
        <v>446</v>
      </c>
      <c r="B220" s="296">
        <f t="shared" ref="B220:B221" si="34">B149</f>
        <v>6.3369641750549155</v>
      </c>
      <c r="C220" s="296">
        <f>'16A'!B24</f>
        <v>-3.7814232314877794</v>
      </c>
      <c r="D220" s="296">
        <f t="shared" ref="D220:D221" si="35">B119</f>
        <v>1.5236584476176374</v>
      </c>
      <c r="E220" s="299">
        <f t="shared" ref="E220:E221" si="36">B209</f>
        <v>1.1622343264604984</v>
      </c>
      <c r="F220" s="299">
        <f t="shared" ref="F220:F221" si="37">B179</f>
        <v>2.7036012555743616</v>
      </c>
      <c r="G220" s="299"/>
    </row>
    <row r="221" spans="1:7">
      <c r="A221" s="300" t="s">
        <v>447</v>
      </c>
      <c r="B221" s="296">
        <f t="shared" si="34"/>
        <v>2.3822956213608082</v>
      </c>
      <c r="C221" s="296">
        <f>'16A'!B25</f>
        <v>-2.0893738426500441</v>
      </c>
      <c r="D221" s="296">
        <f t="shared" si="35"/>
        <v>1.6725224314368736</v>
      </c>
      <c r="E221" s="299">
        <f t="shared" si="36"/>
        <v>0.72027843434443461</v>
      </c>
      <c r="F221" s="299">
        <f t="shared" si="37"/>
        <v>2.404847684164535</v>
      </c>
      <c r="G221" s="299"/>
    </row>
    <row r="222" spans="1:7" ht="15" hidden="1" customHeight="1">
      <c r="A222" s="300"/>
      <c r="B222" s="481" t="s">
        <v>467</v>
      </c>
      <c r="C222" s="481"/>
      <c r="D222" s="481"/>
      <c r="E222" s="481"/>
      <c r="F222" s="481"/>
      <c r="G222" s="299"/>
    </row>
    <row r="223" spans="1:7" ht="15" hidden="1" customHeight="1">
      <c r="A223" s="295" t="s">
        <v>445</v>
      </c>
      <c r="B223" s="299">
        <f>LN(B144)-LN(B131)</f>
        <v>0.57136111782851895</v>
      </c>
      <c r="C223" s="299">
        <f>LN('16A'!B20)-LN('16A'!B7)</f>
        <v>-0.36598801554819677</v>
      </c>
      <c r="D223" s="299">
        <f>LN(B114)-LN(B101)</f>
        <v>0.20537310228032218</v>
      </c>
      <c r="E223" s="299">
        <f>LN(B204)-LN(B191)</f>
        <v>0.1239490674736472</v>
      </c>
      <c r="F223" s="299">
        <f>LN(B174/B161)</f>
        <v>0.32932216975396877</v>
      </c>
      <c r="G223" s="299"/>
    </row>
    <row r="224" spans="1:7" ht="15" hidden="1" customHeight="1">
      <c r="A224" s="295" t="s">
        <v>446</v>
      </c>
      <c r="B224" s="299">
        <f>LN(B138)-LN(B131)</f>
        <v>0.43009941374819138</v>
      </c>
      <c r="C224" s="299">
        <f>LN('16A'!B14)-LN('16A'!B7)</f>
        <v>-0.32424769934062081</v>
      </c>
      <c r="D224" s="299">
        <f>LN(B108)-LN(B101)</f>
        <v>0.10585171440757057</v>
      </c>
      <c r="E224" s="299">
        <f>LN(B198)-LN(B191)</f>
        <v>8.0887258371690418E-2</v>
      </c>
      <c r="F224" s="299">
        <f>LN(B168/B161)</f>
        <v>0.1867389727792608</v>
      </c>
      <c r="G224" s="299"/>
    </row>
    <row r="225" spans="1:7" ht="15" hidden="1" customHeight="1">
      <c r="A225" s="300" t="s">
        <v>447</v>
      </c>
      <c r="B225" s="299">
        <f>LN(B138)-LN(B144)</f>
        <v>-0.14126170408032757</v>
      </c>
      <c r="C225" s="299">
        <f>LN('16A'!B20)-LN('16A'!B14)</f>
        <v>-4.1740316207575991E-2</v>
      </c>
      <c r="D225" s="299">
        <f>LN(B114)-LN(B108)</f>
        <v>9.952138787275161E-2</v>
      </c>
      <c r="E225" s="299">
        <f>LN(B204)-LN(B198)</f>
        <v>4.3061809101956783E-2</v>
      </c>
      <c r="F225" s="299">
        <f>LN(B174/B168)</f>
        <v>0.14258319697470789</v>
      </c>
      <c r="G225" s="299"/>
    </row>
    <row r="226" spans="1:7">
      <c r="B226" s="480" t="s">
        <v>468</v>
      </c>
      <c r="C226" s="480"/>
      <c r="D226" s="480"/>
      <c r="E226" s="480"/>
      <c r="F226" s="480"/>
      <c r="G226" s="299"/>
    </row>
    <row r="227" spans="1:7">
      <c r="A227" s="295" t="s">
        <v>445</v>
      </c>
      <c r="B227" s="299">
        <f>B223/$B223*100</f>
        <v>100</v>
      </c>
      <c r="C227" s="299">
        <f t="shared" ref="C227:F227" si="38">C223/$B223*100</f>
        <v>-64.055464071330064</v>
      </c>
      <c r="D227" s="299">
        <f t="shared" si="38"/>
        <v>35.944535928669943</v>
      </c>
      <c r="E227" s="299">
        <f t="shared" si="38"/>
        <v>21.693647608489819</v>
      </c>
      <c r="F227" s="299">
        <f t="shared" si="38"/>
        <v>57.638183537159648</v>
      </c>
      <c r="G227" s="299"/>
    </row>
    <row r="228" spans="1:7">
      <c r="A228" s="295" t="s">
        <v>446</v>
      </c>
      <c r="B228" s="299">
        <f t="shared" ref="B228:F229" si="39">B224/$B224*100</f>
        <v>100</v>
      </c>
      <c r="C228" s="299">
        <f t="shared" si="39"/>
        <v>-75.389012162303672</v>
      </c>
      <c r="D228" s="299">
        <f t="shared" si="39"/>
        <v>24.610987837696324</v>
      </c>
      <c r="E228" s="299">
        <f t="shared" si="39"/>
        <v>18.806642321778927</v>
      </c>
      <c r="F228" s="299">
        <f t="shared" si="39"/>
        <v>43.417630159475209</v>
      </c>
      <c r="G228" s="299"/>
    </row>
    <row r="229" spans="1:7">
      <c r="A229" s="300" t="s">
        <v>447</v>
      </c>
      <c r="B229" s="299">
        <f t="shared" si="39"/>
        <v>100</v>
      </c>
      <c r="C229" s="299">
        <f t="shared" si="39"/>
        <v>29.548217954273458</v>
      </c>
      <c r="D229" s="299">
        <f t="shared" si="39"/>
        <v>-70.45178204572656</v>
      </c>
      <c r="E229" s="299">
        <f t="shared" si="39"/>
        <v>-30.483710629364886</v>
      </c>
      <c r="F229" s="299">
        <f t="shared" si="39"/>
        <v>-100.9354926750911</v>
      </c>
      <c r="G229" s="299"/>
    </row>
    <row r="230" spans="1:7">
      <c r="B230" s="480" t="s">
        <v>469</v>
      </c>
      <c r="C230" s="480"/>
      <c r="D230" s="480"/>
      <c r="E230" s="480"/>
      <c r="F230" s="480"/>
    </row>
    <row r="231" spans="1:7">
      <c r="A231" s="295" t="s">
        <v>445</v>
      </c>
      <c r="B231" s="299" t="s">
        <v>10</v>
      </c>
      <c r="C231" s="299" t="s">
        <v>10</v>
      </c>
      <c r="D231" s="299">
        <f>D223/$D223*100</f>
        <v>100</v>
      </c>
      <c r="E231" s="299">
        <f t="shared" ref="E231:F231" si="40">E223/$D223*100</f>
        <v>60.353116400055164</v>
      </c>
      <c r="F231" s="299">
        <f t="shared" si="40"/>
        <v>160.35311640005489</v>
      </c>
      <c r="G231" s="299"/>
    </row>
    <row r="232" spans="1:7">
      <c r="A232" s="295" t="s">
        <v>446</v>
      </c>
      <c r="B232" s="299" t="s">
        <v>10</v>
      </c>
      <c r="C232" s="299" t="s">
        <v>10</v>
      </c>
      <c r="D232" s="299">
        <f t="shared" ref="D232:F233" si="41">D224/$D224*100</f>
        <v>100</v>
      </c>
      <c r="E232" s="299">
        <f t="shared" si="41"/>
        <v>76.415633723458441</v>
      </c>
      <c r="F232" s="299">
        <f t="shared" si="41"/>
        <v>176.41563372345826</v>
      </c>
      <c r="G232" s="299"/>
    </row>
    <row r="233" spans="1:7">
      <c r="A233" s="300" t="s">
        <v>447</v>
      </c>
      <c r="B233" s="299" t="s">
        <v>10</v>
      </c>
      <c r="C233" s="299" t="s">
        <v>10</v>
      </c>
      <c r="D233" s="299">
        <f t="shared" si="41"/>
        <v>100</v>
      </c>
      <c r="E233" s="299">
        <f>E225/$D225*100</f>
        <v>43.268899301339893</v>
      </c>
      <c r="F233" s="299">
        <f>F225/$D225*100</f>
        <v>143.26889930133939</v>
      </c>
      <c r="G233" s="299"/>
    </row>
  </sheetData>
  <mergeCells count="21">
    <mergeCell ref="A184:G184"/>
    <mergeCell ref="A214:G214"/>
    <mergeCell ref="A3:G3"/>
    <mergeCell ref="A1:G1"/>
    <mergeCell ref="A34:G34"/>
    <mergeCell ref="A64:G64"/>
    <mergeCell ref="A94:G94"/>
    <mergeCell ref="A124:G124"/>
    <mergeCell ref="B186:G186"/>
    <mergeCell ref="B5:G5"/>
    <mergeCell ref="B36:G36"/>
    <mergeCell ref="B66:G66"/>
    <mergeCell ref="B96:G96"/>
    <mergeCell ref="B126:G126"/>
    <mergeCell ref="B156:G156"/>
    <mergeCell ref="A154:G154"/>
    <mergeCell ref="B216:F216"/>
    <mergeCell ref="B218:F218"/>
    <mergeCell ref="B222:F222"/>
    <mergeCell ref="B226:F226"/>
    <mergeCell ref="B230:F230"/>
  </mergeCells>
  <printOptions gridLines="1"/>
  <pageMargins left="0.7" right="0.7" top="0.75" bottom="0.75" header="0.3" footer="0.3"/>
  <pageSetup scale="57" orientation="portrait" horizontalDpi="0" verticalDpi="0" r:id="rId1"/>
  <rowBreaks count="3" manualBreakCount="3">
    <brk id="63" max="16383" man="1"/>
    <brk id="123" max="16383" man="1"/>
    <brk id="183" max="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1"/>
  <sheetViews>
    <sheetView view="pageBreakPreview" zoomScaleNormal="100" zoomScaleSheetLayoutView="100" workbookViewId="0">
      <selection activeCell="C36" sqref="C36:C39"/>
    </sheetView>
  </sheetViews>
  <sheetFormatPr defaultRowHeight="15"/>
  <cols>
    <col min="2" max="2" width="13.85546875" bestFit="1" customWidth="1"/>
    <col min="3" max="3" width="11.140625" bestFit="1" customWidth="1"/>
    <col min="4" max="5" width="10.140625" bestFit="1" customWidth="1"/>
    <col min="6" max="8" width="10.140625" style="38" customWidth="1"/>
    <col min="9" max="11" width="10.140625" bestFit="1" customWidth="1"/>
    <col min="13" max="33" width="0" hidden="1" customWidth="1"/>
  </cols>
  <sheetData>
    <row r="1" spans="1:29">
      <c r="A1" s="454" t="s">
        <v>165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18"/>
      <c r="B2" s="18" t="s">
        <v>16</v>
      </c>
      <c r="C2" s="18" t="s">
        <v>8</v>
      </c>
      <c r="D2" s="18" t="s">
        <v>3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17</v>
      </c>
      <c r="J2" s="18" t="s">
        <v>6</v>
      </c>
      <c r="K2" s="18" t="s">
        <v>7</v>
      </c>
    </row>
    <row r="3" spans="1:29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18">
        <v>1984</v>
      </c>
      <c r="B4" s="9" t="s">
        <v>10</v>
      </c>
      <c r="C4" s="9" t="s">
        <v>10</v>
      </c>
      <c r="D4" s="9" t="s">
        <v>10</v>
      </c>
      <c r="E4" s="9" t="s">
        <v>10</v>
      </c>
      <c r="F4" s="9" t="s">
        <v>10</v>
      </c>
      <c r="G4" s="9" t="s">
        <v>10</v>
      </c>
      <c r="H4" s="9" t="s">
        <v>10</v>
      </c>
      <c r="I4" s="9" t="s">
        <v>10</v>
      </c>
      <c r="J4" s="9" t="s">
        <v>10</v>
      </c>
      <c r="K4" s="9" t="s">
        <v>10</v>
      </c>
    </row>
    <row r="5" spans="1:29">
      <c r="A5" s="18">
        <v>1985</v>
      </c>
      <c r="B5" s="9" t="s">
        <v>10</v>
      </c>
      <c r="C5" s="9" t="s">
        <v>10</v>
      </c>
      <c r="D5" s="9" t="s">
        <v>10</v>
      </c>
      <c r="E5" s="9" t="s">
        <v>10</v>
      </c>
      <c r="F5" s="9" t="s">
        <v>10</v>
      </c>
      <c r="G5" s="9" t="s">
        <v>10</v>
      </c>
      <c r="H5" s="9" t="s">
        <v>10</v>
      </c>
      <c r="I5" s="9" t="s">
        <v>10</v>
      </c>
      <c r="J5" s="9" t="s">
        <v>10</v>
      </c>
      <c r="K5" s="9" t="s">
        <v>10</v>
      </c>
    </row>
    <row r="6" spans="1:29">
      <c r="A6" s="18">
        <v>1986</v>
      </c>
      <c r="B6" s="9" t="s">
        <v>10</v>
      </c>
      <c r="C6" s="9" t="s">
        <v>10</v>
      </c>
      <c r="D6" s="9" t="s">
        <v>10</v>
      </c>
      <c r="E6" s="9" t="s">
        <v>10</v>
      </c>
      <c r="F6" s="9" t="s">
        <v>10</v>
      </c>
      <c r="G6" s="9" t="s">
        <v>10</v>
      </c>
      <c r="H6" s="9" t="s">
        <v>10</v>
      </c>
      <c r="I6" s="9" t="s">
        <v>10</v>
      </c>
      <c r="J6" s="9" t="s">
        <v>10</v>
      </c>
      <c r="K6" s="9" t="s">
        <v>10</v>
      </c>
    </row>
    <row r="7" spans="1:29">
      <c r="A7" s="18">
        <v>1987</v>
      </c>
      <c r="B7" s="9" t="s">
        <v>10</v>
      </c>
      <c r="C7" s="9" t="s">
        <v>10</v>
      </c>
      <c r="D7" s="9" t="s">
        <v>10</v>
      </c>
      <c r="E7" s="9" t="s">
        <v>10</v>
      </c>
      <c r="F7" s="9" t="s">
        <v>10</v>
      </c>
      <c r="G7" s="9" t="s">
        <v>10</v>
      </c>
      <c r="H7" s="9" t="s">
        <v>10</v>
      </c>
      <c r="I7" s="9" t="s">
        <v>10</v>
      </c>
      <c r="J7" s="9" t="s">
        <v>10</v>
      </c>
      <c r="K7" s="9" t="s">
        <v>10</v>
      </c>
    </row>
    <row r="8" spans="1:29">
      <c r="A8" s="18">
        <v>1988</v>
      </c>
      <c r="B8" s="9" t="s">
        <v>10</v>
      </c>
      <c r="C8" s="9" t="s">
        <v>10</v>
      </c>
      <c r="D8" s="9" t="s">
        <v>10</v>
      </c>
      <c r="E8" s="9" t="s">
        <v>10</v>
      </c>
      <c r="F8" s="9" t="s">
        <v>10</v>
      </c>
      <c r="G8" s="9" t="s">
        <v>10</v>
      </c>
      <c r="H8" s="9" t="s">
        <v>10</v>
      </c>
      <c r="I8" s="9" t="s">
        <v>10</v>
      </c>
      <c r="J8" s="9" t="s">
        <v>10</v>
      </c>
      <c r="K8" s="9" t="s">
        <v>10</v>
      </c>
    </row>
    <row r="9" spans="1:29">
      <c r="A9" s="18">
        <v>1989</v>
      </c>
      <c r="B9" s="9" t="s">
        <v>10</v>
      </c>
      <c r="C9" s="9" t="s">
        <v>10</v>
      </c>
      <c r="D9" s="9" t="s">
        <v>10</v>
      </c>
      <c r="E9" s="9" t="s">
        <v>10</v>
      </c>
      <c r="F9" s="9" t="s">
        <v>10</v>
      </c>
      <c r="G9" s="9" t="s">
        <v>10</v>
      </c>
      <c r="H9" s="9" t="s">
        <v>10</v>
      </c>
      <c r="I9" s="9" t="s">
        <v>10</v>
      </c>
      <c r="J9" s="9" t="s">
        <v>10</v>
      </c>
      <c r="K9" s="9" t="s">
        <v>10</v>
      </c>
    </row>
    <row r="10" spans="1:29">
      <c r="A10" s="18">
        <v>1990</v>
      </c>
      <c r="B10" s="9" t="s">
        <v>10</v>
      </c>
      <c r="C10" s="9" t="s">
        <v>10</v>
      </c>
      <c r="D10" s="9" t="s">
        <v>10</v>
      </c>
      <c r="E10" s="9" t="s">
        <v>10</v>
      </c>
      <c r="F10" s="9" t="s">
        <v>10</v>
      </c>
      <c r="G10" s="9" t="s">
        <v>10</v>
      </c>
      <c r="H10" s="9" t="s">
        <v>10</v>
      </c>
      <c r="I10" s="9" t="s">
        <v>10</v>
      </c>
      <c r="J10" s="9" t="s">
        <v>10</v>
      </c>
      <c r="K10" s="9" t="s">
        <v>10</v>
      </c>
    </row>
    <row r="11" spans="1:29">
      <c r="A11" s="18">
        <v>1991</v>
      </c>
      <c r="B11" s="9" t="s">
        <v>10</v>
      </c>
      <c r="C11" s="9" t="s">
        <v>10</v>
      </c>
      <c r="D11" s="9" t="s">
        <v>10</v>
      </c>
      <c r="E11" s="9" t="s">
        <v>10</v>
      </c>
      <c r="F11" s="9" t="s">
        <v>10</v>
      </c>
      <c r="G11" s="9" t="s">
        <v>10</v>
      </c>
      <c r="H11" s="9" t="s">
        <v>10</v>
      </c>
      <c r="I11" s="9" t="s">
        <v>10</v>
      </c>
      <c r="J11" s="9" t="s">
        <v>10</v>
      </c>
      <c r="K11" s="9" t="s">
        <v>10</v>
      </c>
    </row>
    <row r="12" spans="1:29">
      <c r="A12" s="18">
        <v>1992</v>
      </c>
      <c r="B12" s="9" t="s">
        <v>10</v>
      </c>
      <c r="C12" s="9" t="s">
        <v>10</v>
      </c>
      <c r="D12" s="9" t="s">
        <v>10</v>
      </c>
      <c r="E12" s="9" t="s">
        <v>10</v>
      </c>
      <c r="F12" s="9" t="s">
        <v>10</v>
      </c>
      <c r="G12" s="9" t="s">
        <v>10</v>
      </c>
      <c r="H12" s="9" t="s">
        <v>10</v>
      </c>
      <c r="I12" s="9" t="s">
        <v>10</v>
      </c>
      <c r="J12" s="9" t="s">
        <v>10</v>
      </c>
      <c r="K12" s="9" t="s">
        <v>10</v>
      </c>
    </row>
    <row r="13" spans="1:29">
      <c r="A13" s="18">
        <v>1993</v>
      </c>
      <c r="B13" s="9" t="s">
        <v>10</v>
      </c>
      <c r="C13" s="9" t="s">
        <v>10</v>
      </c>
      <c r="D13" s="9" t="s">
        <v>10</v>
      </c>
      <c r="E13" s="9" t="s">
        <v>10</v>
      </c>
      <c r="F13" s="9" t="s">
        <v>10</v>
      </c>
      <c r="G13" s="9" t="s">
        <v>10</v>
      </c>
      <c r="H13" s="9" t="s">
        <v>10</v>
      </c>
      <c r="I13" s="9" t="s">
        <v>10</v>
      </c>
      <c r="J13" s="9" t="s">
        <v>10</v>
      </c>
      <c r="K13" s="9" t="s">
        <v>10</v>
      </c>
    </row>
    <row r="14" spans="1:29">
      <c r="A14" s="18">
        <v>1994</v>
      </c>
      <c r="B14" s="9" t="s">
        <v>10</v>
      </c>
      <c r="C14" s="9" t="s">
        <v>10</v>
      </c>
      <c r="D14" s="9" t="s">
        <v>10</v>
      </c>
      <c r="E14" s="9" t="s">
        <v>10</v>
      </c>
      <c r="F14" s="9" t="s">
        <v>10</v>
      </c>
      <c r="G14" s="9" t="s">
        <v>10</v>
      </c>
      <c r="H14" s="9" t="s">
        <v>10</v>
      </c>
      <c r="I14" s="9" t="s">
        <v>10</v>
      </c>
      <c r="J14" s="9" t="s">
        <v>10</v>
      </c>
      <c r="K14" s="9" t="s">
        <v>10</v>
      </c>
      <c r="W14" t="s">
        <v>32</v>
      </c>
    </row>
    <row r="15" spans="1:29">
      <c r="A15" s="18">
        <v>1995</v>
      </c>
      <c r="B15" s="9" t="s">
        <v>10</v>
      </c>
      <c r="C15" s="9" t="s">
        <v>10</v>
      </c>
      <c r="D15" s="9" t="s">
        <v>10</v>
      </c>
      <c r="E15" s="9" t="s">
        <v>10</v>
      </c>
      <c r="F15" s="9" t="s">
        <v>10</v>
      </c>
      <c r="G15" s="9" t="s">
        <v>10</v>
      </c>
      <c r="H15" s="9" t="s">
        <v>10</v>
      </c>
      <c r="I15" s="9" t="s">
        <v>10</v>
      </c>
      <c r="J15" s="9" t="s">
        <v>10</v>
      </c>
      <c r="K15" s="9" t="s">
        <v>10</v>
      </c>
      <c r="N15" t="s">
        <v>24</v>
      </c>
      <c r="W15" t="s">
        <v>16</v>
      </c>
      <c r="X15" t="s">
        <v>8</v>
      </c>
      <c r="Y15" t="s">
        <v>3</v>
      </c>
      <c r="Z15" t="s">
        <v>4</v>
      </c>
      <c r="AA15" t="s">
        <v>17</v>
      </c>
      <c r="AB15" t="s">
        <v>6</v>
      </c>
      <c r="AC15" t="s">
        <v>7</v>
      </c>
    </row>
    <row r="16" spans="1:29">
      <c r="A16" s="18">
        <v>1996</v>
      </c>
      <c r="B16" s="9" t="s">
        <v>10</v>
      </c>
      <c r="C16" s="9" t="s">
        <v>10</v>
      </c>
      <c r="D16" s="9" t="s">
        <v>10</v>
      </c>
      <c r="E16" s="9" t="s">
        <v>10</v>
      </c>
      <c r="F16" s="9" t="s">
        <v>10</v>
      </c>
      <c r="G16" s="9" t="s">
        <v>10</v>
      </c>
      <c r="H16" s="9" t="s">
        <v>10</v>
      </c>
      <c r="I16" s="9" t="s">
        <v>10</v>
      </c>
      <c r="J16" s="9" t="s">
        <v>10</v>
      </c>
      <c r="K16" s="9" t="s">
        <v>10</v>
      </c>
      <c r="N16" t="s">
        <v>16</v>
      </c>
      <c r="O16" t="s">
        <v>8</v>
      </c>
      <c r="P16" t="s">
        <v>3</v>
      </c>
      <c r="Q16" t="s">
        <v>4</v>
      </c>
      <c r="R16" t="s">
        <v>17</v>
      </c>
      <c r="S16" t="s">
        <v>6</v>
      </c>
      <c r="T16" t="s">
        <v>7</v>
      </c>
      <c r="V16" t="s">
        <v>19</v>
      </c>
      <c r="W16">
        <f>((B20/B17)^(1/3)-1)*100</f>
        <v>3.1842054575017986</v>
      </c>
      <c r="X16">
        <f>((C20/C17)^(1/3)-1)*100</f>
        <v>0.38913137707370371</v>
      </c>
      <c r="Y16">
        <f>((D20/D17)^(1/3)-1)*100</f>
        <v>0.32144593358289786</v>
      </c>
      <c r="Z16">
        <f>((E20/E17)^(1/3)-1)*100</f>
        <v>1.3305838562247096</v>
      </c>
      <c r="AA16">
        <f t="shared" ref="AA16:AC16" si="0">((I20/I17)^(1/3)-1)*100</f>
        <v>-0.45346501042654586</v>
      </c>
      <c r="AB16">
        <f t="shared" si="0"/>
        <v>-4.4793543105754674</v>
      </c>
      <c r="AC16">
        <f t="shared" si="0"/>
        <v>3.2383381332756089</v>
      </c>
    </row>
    <row r="17" spans="1:29">
      <c r="A17" s="18">
        <v>1997</v>
      </c>
      <c r="B17" s="129">
        <v>9682871</v>
      </c>
      <c r="C17" s="10">
        <f>D17+E17+I17</f>
        <v>144205</v>
      </c>
      <c r="D17" s="129">
        <v>20363</v>
      </c>
      <c r="E17" s="129">
        <v>58713</v>
      </c>
      <c r="F17" s="129">
        <v>17315</v>
      </c>
      <c r="G17" s="129">
        <v>13125</v>
      </c>
      <c r="H17" s="129">
        <v>28274</v>
      </c>
      <c r="I17" s="129">
        <v>65129</v>
      </c>
      <c r="J17" s="129">
        <v>32417</v>
      </c>
      <c r="K17" s="129">
        <v>32712</v>
      </c>
      <c r="M17">
        <v>1998</v>
      </c>
      <c r="N17">
        <f>((B18/B17)-1)*100</f>
        <v>3.3239624900507359</v>
      </c>
      <c r="O17">
        <f>((C18/C17)-1)*100</f>
        <v>-2.3182275233174954</v>
      </c>
      <c r="P17">
        <f>((D18/D17)-1)*100</f>
        <v>-11.496341403525999</v>
      </c>
      <c r="Q17">
        <f>((E18/E17)-1)*100</f>
        <v>4.3567864016486935</v>
      </c>
      <c r="R17">
        <f t="shared" ref="R17:T32" si="1">((I18/I17)-1)*100</f>
        <v>-5.466075020344241</v>
      </c>
      <c r="S17">
        <f t="shared" si="1"/>
        <v>-12.366967948915697</v>
      </c>
      <c r="T17">
        <f t="shared" si="1"/>
        <v>1.3725849841036863</v>
      </c>
      <c r="V17" t="s">
        <v>21</v>
      </c>
      <c r="W17">
        <f>((B28/B20)^(1/8)-1)*100</f>
        <v>1.2208992095735116</v>
      </c>
      <c r="X17">
        <f>((C28/C20)^(1/8)-1)*100</f>
        <v>-4.0680239127184548</v>
      </c>
      <c r="Y17">
        <f>((D28/D20)^(1/8)-1)*100</f>
        <v>-6.7200489383083877</v>
      </c>
      <c r="Z17">
        <f>((E28/E20)^(1/8)-1)*100</f>
        <v>-4.2287965884520107</v>
      </c>
      <c r="AA17">
        <f t="shared" ref="AA17:AC17" si="2">((I28/I20)^(1/8)-1)*100</f>
        <v>-3.1747525922727671</v>
      </c>
      <c r="AB17">
        <f t="shared" si="2"/>
        <v>-7.8430904192802853</v>
      </c>
      <c r="AC17">
        <f t="shared" si="2"/>
        <v>-0.37330543518094839</v>
      </c>
    </row>
    <row r="18" spans="1:29">
      <c r="A18" s="18">
        <v>1998</v>
      </c>
      <c r="B18" s="129">
        <v>10004726</v>
      </c>
      <c r="C18" s="10">
        <f t="shared" ref="C18:C33" si="3">D18+E18+I18</f>
        <v>140862</v>
      </c>
      <c r="D18" s="129">
        <v>18022</v>
      </c>
      <c r="E18" s="129">
        <v>61271</v>
      </c>
      <c r="F18" s="129">
        <v>17786</v>
      </c>
      <c r="G18" s="129">
        <v>13055</v>
      </c>
      <c r="H18" s="129">
        <v>30431</v>
      </c>
      <c r="I18" s="129">
        <v>61569</v>
      </c>
      <c r="J18" s="129">
        <v>28408</v>
      </c>
      <c r="K18" s="129">
        <v>33161</v>
      </c>
      <c r="M18">
        <v>1999</v>
      </c>
      <c r="N18">
        <f t="shared" ref="N18:N32" si="4">((B19/B18)-1)*100</f>
        <v>3.340701184620154</v>
      </c>
      <c r="O18">
        <f t="shared" ref="O18:O32" si="5">((C19/C18)-1)*100</f>
        <v>4.8224503414689535</v>
      </c>
      <c r="P18">
        <f t="shared" ref="P18:P32" si="6">((D19/D18)-1)*100</f>
        <v>2.8187770502718923</v>
      </c>
      <c r="Q18">
        <f t="shared" ref="Q18:Q32" si="7">((E19/E18)-1)*100</f>
        <v>3.5269540239264874</v>
      </c>
      <c r="R18">
        <f t="shared" si="1"/>
        <v>6.6981760301450421</v>
      </c>
      <c r="S18">
        <f t="shared" si="1"/>
        <v>10.007744297381027</v>
      </c>
      <c r="T18">
        <f t="shared" si="1"/>
        <v>3.8629715629806105</v>
      </c>
      <c r="V18" t="s">
        <v>22</v>
      </c>
      <c r="W18">
        <f>((B33/B28)^(1/5)-1)*100</f>
        <v>0.36008000987277633</v>
      </c>
      <c r="X18">
        <f>((C33/C28)^(1/5)-1)*100</f>
        <v>-5.7099050135046348</v>
      </c>
      <c r="Y18">
        <f>((D33/D28)^(1/5)-1)*100</f>
        <v>-5.8463025447200723</v>
      </c>
      <c r="Z18">
        <f>((E33/E28)^(1/5)-1)*100</f>
        <v>-6.0298452782785228</v>
      </c>
      <c r="AA18">
        <f t="shared" ref="AA18:AC18" si="8">((I33/I28)^(1/5)-1)*100</f>
        <v>-5.4027996903013626</v>
      </c>
      <c r="AB18">
        <f t="shared" si="8"/>
        <v>-4.6530833517727128</v>
      </c>
      <c r="AC18">
        <f t="shared" si="8"/>
        <v>-5.7254972489457545</v>
      </c>
    </row>
    <row r="19" spans="1:29">
      <c r="A19" s="18">
        <v>1999</v>
      </c>
      <c r="B19" s="129">
        <v>10338954</v>
      </c>
      <c r="C19" s="10">
        <f t="shared" si="3"/>
        <v>147655</v>
      </c>
      <c r="D19" s="129">
        <v>18530</v>
      </c>
      <c r="E19" s="129">
        <v>63432</v>
      </c>
      <c r="F19" s="129">
        <v>15876</v>
      </c>
      <c r="G19" s="129">
        <v>15727</v>
      </c>
      <c r="H19" s="129">
        <v>31830</v>
      </c>
      <c r="I19" s="129">
        <v>65693</v>
      </c>
      <c r="J19" s="129">
        <v>31251</v>
      </c>
      <c r="K19" s="129">
        <v>34442</v>
      </c>
      <c r="M19">
        <v>2000</v>
      </c>
      <c r="N19">
        <f t="shared" si="4"/>
        <v>2.8885900836777001</v>
      </c>
      <c r="O19">
        <f t="shared" si="5"/>
        <v>-1.1919677626900493</v>
      </c>
      <c r="P19">
        <f t="shared" si="6"/>
        <v>10.955207771181863</v>
      </c>
      <c r="Q19">
        <f t="shared" si="7"/>
        <v>-3.6952957497792926</v>
      </c>
      <c r="R19">
        <f t="shared" si="1"/>
        <v>-2.2011477630797804</v>
      </c>
      <c r="S19">
        <f t="shared" si="1"/>
        <v>-9.5932930146235265</v>
      </c>
      <c r="T19">
        <f t="shared" si="1"/>
        <v>4.5061262412171121</v>
      </c>
      <c r="V19" t="s">
        <v>18</v>
      </c>
      <c r="W19">
        <f>((B33/B17)^(1/16)-1)*100</f>
        <v>1.3153822404936788</v>
      </c>
      <c r="X19">
        <f>((C33/C17)^(1/16)-1)*100</f>
        <v>-3.7682023345497195</v>
      </c>
      <c r="Y19">
        <f>((D33/D17)^(1/16)-1)*100</f>
        <v>-5.1625932101915906</v>
      </c>
      <c r="Z19">
        <f>((E33/E17)^(1/16)-1)*100</f>
        <v>-3.7826965576393756</v>
      </c>
      <c r="AA19">
        <f t="shared" ref="AA19:AC19" si="9">((I33/I17)^(1/16)-1)*100</f>
        <v>-3.3757415533632873</v>
      </c>
      <c r="AB19">
        <f t="shared" si="9"/>
        <v>-6.2296548185081901</v>
      </c>
      <c r="AC19">
        <f t="shared" si="9"/>
        <v>-1.4217163432445501</v>
      </c>
    </row>
    <row r="20" spans="1:29">
      <c r="A20" s="18">
        <v>2000</v>
      </c>
      <c r="B20" s="129">
        <v>10637604</v>
      </c>
      <c r="C20" s="10">
        <f t="shared" si="3"/>
        <v>145895</v>
      </c>
      <c r="D20" s="129">
        <v>20560</v>
      </c>
      <c r="E20" s="129">
        <v>61088</v>
      </c>
      <c r="F20" s="129">
        <v>14818</v>
      </c>
      <c r="G20" s="129">
        <v>14732</v>
      </c>
      <c r="H20" s="129">
        <v>31539</v>
      </c>
      <c r="I20" s="129">
        <v>64247</v>
      </c>
      <c r="J20" s="129">
        <v>28253</v>
      </c>
      <c r="K20" s="129">
        <v>35994</v>
      </c>
      <c r="M20">
        <v>2001</v>
      </c>
      <c r="N20">
        <f t="shared" si="4"/>
        <v>1.4711207523799619</v>
      </c>
      <c r="O20">
        <f t="shared" si="5"/>
        <v>0.28924911751602167</v>
      </c>
      <c r="P20">
        <f t="shared" si="6"/>
        <v>-13.360894941634239</v>
      </c>
      <c r="Q20">
        <f t="shared" si="7"/>
        <v>1.4896542692509174</v>
      </c>
      <c r="R20">
        <f t="shared" si="1"/>
        <v>3.5161174840848686</v>
      </c>
      <c r="S20">
        <f t="shared" si="1"/>
        <v>-2.1979966729196887</v>
      </c>
      <c r="T20">
        <f t="shared" si="1"/>
        <v>8.0013335555926055</v>
      </c>
    </row>
    <row r="21" spans="1:29">
      <c r="A21" s="18">
        <v>2001</v>
      </c>
      <c r="B21" s="129">
        <v>10794096</v>
      </c>
      <c r="C21" s="10">
        <f t="shared" si="3"/>
        <v>146317</v>
      </c>
      <c r="D21" s="129">
        <v>17813</v>
      </c>
      <c r="E21" s="129">
        <v>61998</v>
      </c>
      <c r="F21" s="129">
        <v>16952</v>
      </c>
      <c r="G21" s="129">
        <v>13573</v>
      </c>
      <c r="H21" s="129">
        <v>31473</v>
      </c>
      <c r="I21" s="129">
        <v>66506</v>
      </c>
      <c r="J21" s="129">
        <v>27632</v>
      </c>
      <c r="K21" s="129">
        <v>38874</v>
      </c>
      <c r="M21">
        <v>2002</v>
      </c>
      <c r="N21">
        <f t="shared" si="4"/>
        <v>0.92658060480470539</v>
      </c>
      <c r="O21">
        <f t="shared" si="5"/>
        <v>0.56111046563283029</v>
      </c>
      <c r="P21">
        <f t="shared" si="6"/>
        <v>-2.9978105877729755</v>
      </c>
      <c r="Q21">
        <f t="shared" si="7"/>
        <v>0.53872705571147428</v>
      </c>
      <c r="R21">
        <f t="shared" si="1"/>
        <v>1.5351998315941362</v>
      </c>
      <c r="S21">
        <f t="shared" si="1"/>
        <v>-1.1074116965836711</v>
      </c>
      <c r="T21">
        <f t="shared" si="1"/>
        <v>3.4161650460462045</v>
      </c>
    </row>
    <row r="22" spans="1:29">
      <c r="A22" s="18">
        <v>2002</v>
      </c>
      <c r="B22" s="129">
        <v>10894112</v>
      </c>
      <c r="C22" s="10">
        <f t="shared" si="3"/>
        <v>147138</v>
      </c>
      <c r="D22" s="129">
        <v>17279</v>
      </c>
      <c r="E22" s="129">
        <v>62332</v>
      </c>
      <c r="F22" s="129">
        <v>15545</v>
      </c>
      <c r="G22" s="129">
        <v>14163</v>
      </c>
      <c r="H22" s="129">
        <v>32626</v>
      </c>
      <c r="I22" s="129">
        <v>67527</v>
      </c>
      <c r="J22" s="129">
        <v>27326</v>
      </c>
      <c r="K22" s="129">
        <v>40202</v>
      </c>
      <c r="M22">
        <v>2003</v>
      </c>
      <c r="N22">
        <f t="shared" si="4"/>
        <v>1.3160778960231045</v>
      </c>
      <c r="O22">
        <f t="shared" si="5"/>
        <v>-2.7831015781103474</v>
      </c>
      <c r="P22">
        <f t="shared" si="6"/>
        <v>0.49771398807800793</v>
      </c>
      <c r="Q22">
        <f t="shared" si="7"/>
        <v>-3.6321632548289795</v>
      </c>
      <c r="R22">
        <f t="shared" si="1"/>
        <v>-2.838864454218315</v>
      </c>
      <c r="S22">
        <f t="shared" si="1"/>
        <v>-8.6328039230037295</v>
      </c>
      <c r="T22">
        <f t="shared" si="1"/>
        <v>1.0969603502313241</v>
      </c>
    </row>
    <row r="23" spans="1:29">
      <c r="A23" s="18">
        <v>2003</v>
      </c>
      <c r="B23" s="129">
        <v>11037487</v>
      </c>
      <c r="C23" s="10">
        <f t="shared" si="3"/>
        <v>143043</v>
      </c>
      <c r="D23" s="129">
        <v>17365</v>
      </c>
      <c r="E23" s="129">
        <v>60068</v>
      </c>
      <c r="F23" s="129">
        <v>14636</v>
      </c>
      <c r="G23" s="129">
        <v>15166</v>
      </c>
      <c r="H23" s="129">
        <v>30265</v>
      </c>
      <c r="I23" s="129">
        <v>65610</v>
      </c>
      <c r="J23" s="129">
        <v>24967</v>
      </c>
      <c r="K23" s="129">
        <v>40643</v>
      </c>
      <c r="M23">
        <v>2004</v>
      </c>
      <c r="N23">
        <f t="shared" si="4"/>
        <v>3.1956821330797469</v>
      </c>
      <c r="O23">
        <f t="shared" si="5"/>
        <v>-0.13352628230671737</v>
      </c>
      <c r="P23">
        <f t="shared" si="6"/>
        <v>-5.977541030809097</v>
      </c>
      <c r="Q23">
        <f t="shared" si="7"/>
        <v>0.44782579742959072</v>
      </c>
      <c r="R23">
        <f t="shared" si="1"/>
        <v>0.88096326779454337</v>
      </c>
      <c r="S23">
        <f t="shared" si="1"/>
        <v>2.7235951455921725</v>
      </c>
      <c r="T23">
        <f t="shared" si="1"/>
        <v>-0.25342617424894964</v>
      </c>
    </row>
    <row r="24" spans="1:29">
      <c r="A24" s="18">
        <v>2004</v>
      </c>
      <c r="B24" s="129">
        <v>11390210</v>
      </c>
      <c r="C24" s="10">
        <f t="shared" si="3"/>
        <v>142852</v>
      </c>
      <c r="D24" s="129">
        <v>16327</v>
      </c>
      <c r="E24" s="129">
        <v>60337</v>
      </c>
      <c r="F24" s="129">
        <v>15636</v>
      </c>
      <c r="G24" s="129">
        <v>14491</v>
      </c>
      <c r="H24" s="129">
        <v>30210</v>
      </c>
      <c r="I24" s="129">
        <v>66188</v>
      </c>
      <c r="J24" s="129">
        <v>25647</v>
      </c>
      <c r="K24" s="129">
        <v>40540</v>
      </c>
      <c r="M24">
        <v>2005</v>
      </c>
      <c r="N24">
        <f t="shared" si="4"/>
        <v>0.14023446450943666</v>
      </c>
      <c r="O24">
        <f t="shared" si="5"/>
        <v>-5.9131128720633974</v>
      </c>
      <c r="P24">
        <f t="shared" si="6"/>
        <v>-2.4315550927910823</v>
      </c>
      <c r="Q24">
        <f t="shared" si="7"/>
        <v>-5.7444022738949556</v>
      </c>
      <c r="R24">
        <f t="shared" si="1"/>
        <v>-6.9257267178340465</v>
      </c>
      <c r="S24">
        <f t="shared" si="1"/>
        <v>-19.117245681756145</v>
      </c>
      <c r="T24">
        <f t="shared" si="1"/>
        <v>0.78934385791811223</v>
      </c>
    </row>
    <row r="25" spans="1:29">
      <c r="A25" s="18">
        <v>2005</v>
      </c>
      <c r="B25" s="129">
        <v>11406183</v>
      </c>
      <c r="C25" s="10">
        <f t="shared" si="3"/>
        <v>134405</v>
      </c>
      <c r="D25" s="129">
        <v>15930</v>
      </c>
      <c r="E25" s="129">
        <v>56871</v>
      </c>
      <c r="F25" s="129">
        <v>15109</v>
      </c>
      <c r="G25" s="129">
        <v>12976</v>
      </c>
      <c r="H25" s="129">
        <v>28785</v>
      </c>
      <c r="I25" s="129">
        <v>61604</v>
      </c>
      <c r="J25" s="129">
        <v>20744</v>
      </c>
      <c r="K25" s="129">
        <v>40860</v>
      </c>
      <c r="M25">
        <v>2006</v>
      </c>
      <c r="N25">
        <f t="shared" si="4"/>
        <v>0.79280684870652873</v>
      </c>
      <c r="O25">
        <f t="shared" si="5"/>
        <v>-3.6895948811428103</v>
      </c>
      <c r="P25">
        <f t="shared" si="6"/>
        <v>-4.0426867545511609</v>
      </c>
      <c r="Q25">
        <f t="shared" si="7"/>
        <v>-1.8515587909479381</v>
      </c>
      <c r="R25">
        <f t="shared" si="1"/>
        <v>-5.2951107070969394</v>
      </c>
      <c r="S25">
        <f t="shared" si="1"/>
        <v>-8.884496721943691</v>
      </c>
      <c r="T25">
        <f t="shared" si="1"/>
        <v>-3.4728340675477254</v>
      </c>
    </row>
    <row r="26" spans="1:29">
      <c r="A26" s="18">
        <v>2006</v>
      </c>
      <c r="B26" s="129">
        <v>11496612</v>
      </c>
      <c r="C26" s="10">
        <f t="shared" si="3"/>
        <v>129446</v>
      </c>
      <c r="D26" s="129">
        <v>15286</v>
      </c>
      <c r="E26" s="129">
        <v>55818</v>
      </c>
      <c r="F26" s="129">
        <v>13473</v>
      </c>
      <c r="G26" s="129">
        <v>12216</v>
      </c>
      <c r="H26" s="129">
        <v>30129</v>
      </c>
      <c r="I26" s="129">
        <v>58342</v>
      </c>
      <c r="J26" s="129">
        <v>18901</v>
      </c>
      <c r="K26" s="129">
        <v>39441</v>
      </c>
      <c r="M26">
        <v>2007</v>
      </c>
      <c r="N26">
        <f t="shared" si="4"/>
        <v>1.4209142658724083</v>
      </c>
      <c r="O26">
        <f t="shared" si="5"/>
        <v>-11.691361648872888</v>
      </c>
      <c r="P26">
        <f t="shared" si="6"/>
        <v>-16.531466701556987</v>
      </c>
      <c r="Q26">
        <f t="shared" si="7"/>
        <v>-12.940270163746458</v>
      </c>
      <c r="R26">
        <f t="shared" si="1"/>
        <v>-9.2283432175791056</v>
      </c>
      <c r="S26">
        <f t="shared" si="1"/>
        <v>-10.025924554256394</v>
      </c>
      <c r="T26">
        <f t="shared" si="1"/>
        <v>-8.8461245911614856</v>
      </c>
    </row>
    <row r="27" spans="1:29">
      <c r="A27" s="18">
        <v>2007</v>
      </c>
      <c r="B27" s="129">
        <v>11659969</v>
      </c>
      <c r="C27" s="10">
        <f t="shared" si="3"/>
        <v>114312</v>
      </c>
      <c r="D27" s="129">
        <v>12759</v>
      </c>
      <c r="E27" s="129">
        <v>48595</v>
      </c>
      <c r="F27" s="129">
        <v>11015</v>
      </c>
      <c r="G27" s="129">
        <v>9290</v>
      </c>
      <c r="H27" s="129">
        <v>28289</v>
      </c>
      <c r="I27" s="129">
        <v>52958</v>
      </c>
      <c r="J27" s="129">
        <v>17006</v>
      </c>
      <c r="K27" s="129">
        <v>35952</v>
      </c>
      <c r="M27">
        <v>2008</v>
      </c>
      <c r="N27">
        <f t="shared" si="4"/>
        <v>0.53284018165056235</v>
      </c>
      <c r="O27">
        <f t="shared" si="5"/>
        <v>-8.4505563720344341</v>
      </c>
      <c r="P27">
        <f t="shared" si="6"/>
        <v>-7.633827102437496</v>
      </c>
      <c r="Q27">
        <f t="shared" si="7"/>
        <v>-11.029941351990946</v>
      </c>
      <c r="R27">
        <f t="shared" si="1"/>
        <v>-6.2804486574266409</v>
      </c>
      <c r="S27">
        <f t="shared" si="1"/>
        <v>-13.565800305774435</v>
      </c>
      <c r="T27">
        <f t="shared" si="1"/>
        <v>-2.834334668446814</v>
      </c>
    </row>
    <row r="28" spans="1:29">
      <c r="A28" s="18">
        <v>2008</v>
      </c>
      <c r="B28" s="129">
        <v>11722098</v>
      </c>
      <c r="C28" s="10">
        <f t="shared" si="3"/>
        <v>104652</v>
      </c>
      <c r="D28" s="129">
        <v>11785</v>
      </c>
      <c r="E28" s="129">
        <v>43235</v>
      </c>
      <c r="F28" s="129">
        <v>8498</v>
      </c>
      <c r="G28" s="129">
        <v>8015</v>
      </c>
      <c r="H28" s="129">
        <v>26722</v>
      </c>
      <c r="I28" s="129">
        <v>49632</v>
      </c>
      <c r="J28" s="129">
        <v>14699</v>
      </c>
      <c r="K28" s="129">
        <v>34933</v>
      </c>
      <c r="M28">
        <v>2009</v>
      </c>
      <c r="N28">
        <f t="shared" si="4"/>
        <v>-4.1541880984103718</v>
      </c>
      <c r="O28">
        <f t="shared" si="5"/>
        <v>-17.919389978213506</v>
      </c>
      <c r="P28">
        <f t="shared" si="6"/>
        <v>-25.770046669495116</v>
      </c>
      <c r="Q28">
        <f t="shared" si="7"/>
        <v>-22.680698508153117</v>
      </c>
      <c r="R28">
        <f t="shared" si="1"/>
        <v>-11.907640232108319</v>
      </c>
      <c r="S28">
        <f t="shared" si="1"/>
        <v>-15.613307027688961</v>
      </c>
      <c r="T28">
        <f t="shared" si="1"/>
        <v>-10.34838118684338</v>
      </c>
    </row>
    <row r="29" spans="1:29">
      <c r="A29" s="18">
        <v>2009</v>
      </c>
      <c r="B29" s="129">
        <v>11235140</v>
      </c>
      <c r="C29" s="10">
        <f t="shared" si="3"/>
        <v>85899</v>
      </c>
      <c r="D29" s="129">
        <v>8748</v>
      </c>
      <c r="E29" s="129">
        <v>33429</v>
      </c>
      <c r="F29" s="129">
        <v>5755</v>
      </c>
      <c r="G29" s="129">
        <v>6690</v>
      </c>
      <c r="H29" s="129">
        <v>20984</v>
      </c>
      <c r="I29" s="129">
        <v>43722</v>
      </c>
      <c r="J29" s="129">
        <v>12404</v>
      </c>
      <c r="K29" s="129">
        <v>31318</v>
      </c>
      <c r="M29">
        <v>2010</v>
      </c>
      <c r="N29">
        <f t="shared" si="4"/>
        <v>2.1884462498909629</v>
      </c>
      <c r="O29">
        <f t="shared" si="5"/>
        <v>-1.5890755422065417</v>
      </c>
      <c r="P29">
        <f t="shared" si="6"/>
        <v>-1.0402377686328346</v>
      </c>
      <c r="Q29">
        <f t="shared" si="7"/>
        <v>5.0704478147715948</v>
      </c>
      <c r="R29">
        <f t="shared" si="1"/>
        <v>-6.7906317185856047</v>
      </c>
      <c r="S29">
        <f t="shared" si="1"/>
        <v>-6.3044179297001008</v>
      </c>
      <c r="T29">
        <f t="shared" si="1"/>
        <v>-6.9832045469059301</v>
      </c>
    </row>
    <row r="30" spans="1:29">
      <c r="A30" s="18">
        <v>2010</v>
      </c>
      <c r="B30" s="129">
        <v>11481015</v>
      </c>
      <c r="C30" s="10">
        <f t="shared" si="3"/>
        <v>84534</v>
      </c>
      <c r="D30" s="129">
        <v>8657</v>
      </c>
      <c r="E30" s="129">
        <v>35124</v>
      </c>
      <c r="F30" s="129">
        <v>6650</v>
      </c>
      <c r="G30" s="129">
        <v>6864</v>
      </c>
      <c r="H30" s="129">
        <v>21610</v>
      </c>
      <c r="I30" s="129">
        <v>40753</v>
      </c>
      <c r="J30" s="129">
        <v>11622</v>
      </c>
      <c r="K30" s="129">
        <v>29131</v>
      </c>
      <c r="M30">
        <v>2011</v>
      </c>
      <c r="N30">
        <f t="shared" si="4"/>
        <v>1.7553587378816182</v>
      </c>
      <c r="O30">
        <f t="shared" si="5"/>
        <v>0.99841483899969496</v>
      </c>
      <c r="P30">
        <f t="shared" si="6"/>
        <v>15.213122328751293</v>
      </c>
      <c r="Q30">
        <f t="shared" si="7"/>
        <v>-4.29336066507231</v>
      </c>
      <c r="R30">
        <f t="shared" si="1"/>
        <v>2.5396903295462847</v>
      </c>
      <c r="S30">
        <f t="shared" si="1"/>
        <v>4.121493718809166</v>
      </c>
      <c r="T30">
        <f t="shared" si="1"/>
        <v>1.9086196834986691</v>
      </c>
    </row>
    <row r="31" spans="1:29">
      <c r="A31" s="18">
        <v>2011</v>
      </c>
      <c r="B31" s="129">
        <v>11682548</v>
      </c>
      <c r="C31" s="10">
        <f t="shared" si="3"/>
        <v>85378</v>
      </c>
      <c r="D31" s="129">
        <v>9974</v>
      </c>
      <c r="E31" s="129">
        <v>33616</v>
      </c>
      <c r="F31" s="129">
        <v>6775</v>
      </c>
      <c r="G31" s="129">
        <v>5956</v>
      </c>
      <c r="H31" s="129">
        <v>20885</v>
      </c>
      <c r="I31" s="129">
        <v>41788</v>
      </c>
      <c r="J31" s="129">
        <v>12101</v>
      </c>
      <c r="K31" s="129">
        <v>29687</v>
      </c>
      <c r="M31">
        <v>2012</v>
      </c>
      <c r="N31">
        <f t="shared" si="4"/>
        <v>1.1373375054825274</v>
      </c>
      <c r="O31">
        <f t="shared" si="5"/>
        <v>-9.7402141066785362</v>
      </c>
      <c r="P31">
        <f t="shared" si="6"/>
        <v>-13.675556446761583</v>
      </c>
      <c r="Q31">
        <f t="shared" si="7"/>
        <v>-10.024988100904331</v>
      </c>
      <c r="R31">
        <f t="shared" si="1"/>
        <v>-8.5718388053986789</v>
      </c>
      <c r="S31">
        <f t="shared" si="1"/>
        <v>-7.4621932071729624</v>
      </c>
      <c r="T31">
        <f t="shared" si="1"/>
        <v>-9.0241519857176549</v>
      </c>
    </row>
    <row r="32" spans="1:29">
      <c r="A32" s="18">
        <v>2012</v>
      </c>
      <c r="B32" s="129">
        <v>11815418</v>
      </c>
      <c r="C32" s="10">
        <f t="shared" si="3"/>
        <v>77062</v>
      </c>
      <c r="D32" s="129">
        <v>8610</v>
      </c>
      <c r="E32" s="129">
        <v>30246</v>
      </c>
      <c r="F32" s="129">
        <v>4201</v>
      </c>
      <c r="G32" s="129">
        <v>6003</v>
      </c>
      <c r="H32" s="129">
        <v>20042</v>
      </c>
      <c r="I32" s="129">
        <v>38206</v>
      </c>
      <c r="J32" s="129">
        <v>11198</v>
      </c>
      <c r="K32" s="129">
        <v>27008</v>
      </c>
      <c r="M32">
        <v>2013</v>
      </c>
      <c r="N32">
        <f t="shared" si="4"/>
        <v>1.0092744920239038</v>
      </c>
      <c r="O32">
        <f t="shared" si="5"/>
        <v>1.2133087643715346</v>
      </c>
      <c r="P32">
        <f t="shared" si="6"/>
        <v>1.2775842044134622</v>
      </c>
      <c r="Q32">
        <f t="shared" si="7"/>
        <v>4.7411227930965971</v>
      </c>
      <c r="R32">
        <f t="shared" si="1"/>
        <v>-1.5939904727006238</v>
      </c>
      <c r="S32">
        <f t="shared" si="1"/>
        <v>3.4381139489194412</v>
      </c>
      <c r="T32">
        <f t="shared" si="1"/>
        <v>-3.6803909952606628</v>
      </c>
    </row>
    <row r="33" spans="1:20">
      <c r="A33" s="18">
        <v>2013</v>
      </c>
      <c r="B33" s="129">
        <v>11934668</v>
      </c>
      <c r="C33" s="10">
        <f t="shared" si="3"/>
        <v>77997</v>
      </c>
      <c r="D33" s="129">
        <v>8720</v>
      </c>
      <c r="E33" s="129">
        <v>31680</v>
      </c>
      <c r="F33" s="129">
        <v>4112</v>
      </c>
      <c r="G33" s="129">
        <v>6766</v>
      </c>
      <c r="H33" s="129">
        <v>20801</v>
      </c>
      <c r="I33" s="129">
        <v>37597</v>
      </c>
      <c r="J33" s="129">
        <v>11583</v>
      </c>
      <c r="K33" s="129">
        <v>26014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t="s">
        <v>16</v>
      </c>
      <c r="O35" t="s">
        <v>8</v>
      </c>
      <c r="P35" t="s">
        <v>3</v>
      </c>
      <c r="Q35" t="s">
        <v>4</v>
      </c>
      <c r="R35" t="s">
        <v>17</v>
      </c>
      <c r="S35" t="s">
        <v>6</v>
      </c>
      <c r="T35" t="s">
        <v>7</v>
      </c>
    </row>
    <row r="36" spans="1:20" ht="30">
      <c r="A36" s="18" t="s">
        <v>19</v>
      </c>
      <c r="B36" s="11">
        <f>((B20/B17)^(1/3)-1)*100</f>
        <v>3.1842054575017986</v>
      </c>
      <c r="C36" s="11">
        <f t="shared" ref="C36:K36" si="10">((C20/C17)^(1/3)-1)*100</f>
        <v>0.38913137707370371</v>
      </c>
      <c r="D36" s="11">
        <f t="shared" si="10"/>
        <v>0.32144593358289786</v>
      </c>
      <c r="E36" s="11">
        <f t="shared" si="10"/>
        <v>1.3305838562247096</v>
      </c>
      <c r="F36" s="11">
        <f t="shared" si="10"/>
        <v>-5.0585854234998839</v>
      </c>
      <c r="G36" s="11">
        <f t="shared" si="10"/>
        <v>3.9251833464932107</v>
      </c>
      <c r="H36" s="11">
        <f t="shared" si="10"/>
        <v>3.7099015092977528</v>
      </c>
      <c r="I36" s="11">
        <f t="shared" si="10"/>
        <v>-0.45346501042654586</v>
      </c>
      <c r="J36" s="11">
        <f t="shared" si="10"/>
        <v>-4.4793543105754674</v>
      </c>
      <c r="K36" s="11">
        <f t="shared" si="10"/>
        <v>3.2383381332756089</v>
      </c>
      <c r="M36">
        <v>1999</v>
      </c>
      <c r="N36">
        <f t="shared" ref="N36:N38" si="11">B19/$B$20</f>
        <v>0.97192506884069008</v>
      </c>
      <c r="O36">
        <f t="shared" ref="O36:O38" si="12">C19/$C$20</f>
        <v>1.0120634703039857</v>
      </c>
      <c r="P36">
        <f t="shared" ref="P36" si="13">D19/$D$20</f>
        <v>0.90126459143968873</v>
      </c>
      <c r="Q36">
        <f t="shared" ref="Q36:Q38" si="14">E19/$E$20</f>
        <v>1.038370874803562</v>
      </c>
      <c r="R36">
        <f t="shared" ref="R36:R38" si="15">I19/$I$20</f>
        <v>1.0225068874811276</v>
      </c>
      <c r="S36">
        <f t="shared" ref="S36:S38" si="16">J19/$J$20</f>
        <v>1.1061126252079425</v>
      </c>
      <c r="T36">
        <f t="shared" ref="T36:T38" si="17">K19/$K$20</f>
        <v>0.95688170250597326</v>
      </c>
    </row>
    <row r="37" spans="1:20" ht="30">
      <c r="A37" s="325" t="s">
        <v>68</v>
      </c>
      <c r="B37" s="11">
        <f>((B27/B20)^(1/7)-1)*100</f>
        <v>1.3195770282988128</v>
      </c>
      <c r="C37" s="11">
        <f t="shared" ref="C37:K37" si="18">((C27/C20)^(1/7)-1)*100</f>
        <v>-3.4250509181431799</v>
      </c>
      <c r="D37" s="11">
        <f t="shared" si="18"/>
        <v>-6.5887733174673446</v>
      </c>
      <c r="E37" s="11">
        <f t="shared" si="18"/>
        <v>-3.2156590462793733</v>
      </c>
      <c r="F37" s="11">
        <f t="shared" si="18"/>
        <v>-4.1484206838617315</v>
      </c>
      <c r="G37" s="11">
        <f t="shared" si="18"/>
        <v>-6.3746554152566919</v>
      </c>
      <c r="H37" s="11">
        <f t="shared" si="18"/>
        <v>-1.5415916232260796</v>
      </c>
      <c r="I37" s="11">
        <f t="shared" si="18"/>
        <v>-2.7227586705017459</v>
      </c>
      <c r="J37" s="11">
        <f t="shared" si="18"/>
        <v>-6.9951980712968602</v>
      </c>
      <c r="K37" s="11">
        <f t="shared" si="18"/>
        <v>-1.6677787045837889E-2</v>
      </c>
      <c r="M37">
        <v>2000</v>
      </c>
      <c r="N37">
        <f t="shared" si="11"/>
        <v>1</v>
      </c>
      <c r="O37">
        <f t="shared" si="12"/>
        <v>1</v>
      </c>
      <c r="P37">
        <f t="shared" ref="P37" si="19">D20/$D$20</f>
        <v>1</v>
      </c>
      <c r="Q37">
        <f t="shared" si="14"/>
        <v>1</v>
      </c>
      <c r="R37">
        <f t="shared" si="15"/>
        <v>1</v>
      </c>
      <c r="S37">
        <f t="shared" si="16"/>
        <v>1</v>
      </c>
      <c r="T37">
        <f t="shared" si="17"/>
        <v>1</v>
      </c>
    </row>
    <row r="38" spans="1:20" ht="30">
      <c r="A38" s="63" t="s">
        <v>69</v>
      </c>
      <c r="B38" s="11">
        <f>((B33/B27)^(1/6)-1)*100</f>
        <v>0.38885274145630255</v>
      </c>
      <c r="C38" s="11">
        <f t="shared" ref="C38:K38" si="20">((C33/C27)^(1/6)-1)*100</f>
        <v>-6.1723125313041578</v>
      </c>
      <c r="D38" s="11">
        <f t="shared" si="20"/>
        <v>-6.1466077192637076</v>
      </c>
      <c r="E38" s="11">
        <f t="shared" si="20"/>
        <v>-6.8822948517230476</v>
      </c>
      <c r="F38" s="11">
        <f t="shared" si="20"/>
        <v>-15.144870468068561</v>
      </c>
      <c r="G38" s="11">
        <f t="shared" si="20"/>
        <v>-5.1466413783096909</v>
      </c>
      <c r="H38" s="11">
        <f t="shared" si="20"/>
        <v>-4.9954431794442815</v>
      </c>
      <c r="I38" s="11">
        <f t="shared" si="20"/>
        <v>-5.5496432041109545</v>
      </c>
      <c r="J38" s="11">
        <f t="shared" si="20"/>
        <v>-6.1999333575451061</v>
      </c>
      <c r="K38" s="11">
        <f t="shared" si="20"/>
        <v>-5.2496811443645814</v>
      </c>
      <c r="M38">
        <v>2001</v>
      </c>
      <c r="N38">
        <f t="shared" si="11"/>
        <v>1.0147112075237996</v>
      </c>
      <c r="O38">
        <f t="shared" si="12"/>
        <v>1.0028924911751602</v>
      </c>
      <c r="P38">
        <f t="shared" ref="P38" si="21">D21/$D$20</f>
        <v>0.86639105058365762</v>
      </c>
      <c r="Q38">
        <f t="shared" si="14"/>
        <v>1.0148965426925092</v>
      </c>
      <c r="R38">
        <f t="shared" si="15"/>
        <v>1.0351611748408487</v>
      </c>
      <c r="S38">
        <f t="shared" si="16"/>
        <v>0.97802003327080311</v>
      </c>
      <c r="T38">
        <f t="shared" si="17"/>
        <v>1.080013335555926</v>
      </c>
    </row>
    <row r="39" spans="1:20" s="259" customFormat="1" ht="30">
      <c r="A39" s="325" t="s">
        <v>15</v>
      </c>
      <c r="B39" s="11">
        <f>((B33/B20)^(1/13)-1)*100</f>
        <v>0.88894455531263183</v>
      </c>
      <c r="C39" s="11">
        <f t="shared" ref="C39:K39" si="22">((C33/C20)^(1/13)-1)*100</f>
        <v>-4.702873187315304</v>
      </c>
      <c r="D39" s="11">
        <f t="shared" si="22"/>
        <v>-6.3849563359691501</v>
      </c>
      <c r="E39" s="11">
        <f t="shared" si="22"/>
        <v>-4.925557008698922</v>
      </c>
      <c r="F39" s="11">
        <f t="shared" si="22"/>
        <v>-9.3904201578608131</v>
      </c>
      <c r="G39" s="11">
        <f t="shared" si="22"/>
        <v>-5.8098678095353513</v>
      </c>
      <c r="H39" s="11">
        <f t="shared" si="22"/>
        <v>-3.1510091943228291</v>
      </c>
      <c r="I39" s="11">
        <f t="shared" si="22"/>
        <v>-4.0378375235581743</v>
      </c>
      <c r="J39" s="11">
        <f t="shared" si="22"/>
        <v>-6.6289941216900017</v>
      </c>
      <c r="K39" s="11">
        <f t="shared" si="22"/>
        <v>-2.4668886248600974</v>
      </c>
    </row>
    <row r="40" spans="1:20">
      <c r="M40">
        <v>2003</v>
      </c>
      <c r="N40">
        <f>B23/$B$20</f>
        <v>1.0375914538649869</v>
      </c>
      <c r="O40">
        <f>C23/$C$20</f>
        <v>0.98045169471195037</v>
      </c>
      <c r="P40">
        <f t="shared" ref="P40" si="23">D23/$D$20</f>
        <v>0.84460116731517509</v>
      </c>
      <c r="Q40">
        <f>E23/$E$20</f>
        <v>0.98330277632268204</v>
      </c>
      <c r="R40">
        <f>I23/$I$20</f>
        <v>1.0212149983656824</v>
      </c>
      <c r="S40">
        <f>J23/$J$20</f>
        <v>0.88369376703358937</v>
      </c>
      <c r="T40">
        <f>K23/$K$20</f>
        <v>1.1291604156248263</v>
      </c>
    </row>
    <row r="41" spans="1:20">
      <c r="A41" s="42" t="s">
        <v>40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  <c r="M41">
        <v>2004</v>
      </c>
      <c r="N41">
        <f>B24/$B$20</f>
        <v>1.0707495785705128</v>
      </c>
      <c r="O41">
        <f>C24/$C$20</f>
        <v>0.97914253401418827</v>
      </c>
      <c r="P41">
        <f t="shared" ref="P41" si="24">D24/$D$20</f>
        <v>0.79411478599221785</v>
      </c>
      <c r="Q41">
        <f>E24/$E$20</f>
        <v>0.9877062598218963</v>
      </c>
      <c r="R41">
        <f>I24/$I$20</f>
        <v>1.0302115273864927</v>
      </c>
      <c r="S41">
        <f>J24/$J$20</f>
        <v>0.90776200757441683</v>
      </c>
      <c r="T41">
        <f>K24/$K$20</f>
        <v>1.1262988275823749</v>
      </c>
    </row>
    <row r="42" spans="1:20" ht="15" customHeight="1">
      <c r="A42" s="229" t="s">
        <v>52</v>
      </c>
      <c r="B42" s="229"/>
      <c r="C42" s="229"/>
      <c r="D42" s="229"/>
      <c r="E42" s="229"/>
      <c r="F42" s="229"/>
      <c r="G42" s="229"/>
      <c r="H42" s="229"/>
      <c r="I42" s="229"/>
      <c r="J42" s="229"/>
      <c r="M42">
        <v>2005</v>
      </c>
      <c r="N42">
        <f>B25/$B$20</f>
        <v>1.072251138508258</v>
      </c>
      <c r="O42">
        <f>C25/$C$20</f>
        <v>0.92124473079954761</v>
      </c>
      <c r="P42">
        <f t="shared" ref="P42" si="25">D25/$D$20</f>
        <v>0.77480544747081714</v>
      </c>
      <c r="Q42">
        <f>E25/$E$20</f>
        <v>0.93096843897328441</v>
      </c>
      <c r="R42">
        <f>I25/$I$20</f>
        <v>0.95886189238408015</v>
      </c>
      <c r="S42">
        <f>J25/$J$20</f>
        <v>0.73422291438077369</v>
      </c>
      <c r="T42">
        <f>K25/$K$20</f>
        <v>1.1351891981997</v>
      </c>
    </row>
    <row r="43" spans="1:20">
      <c r="A43" s="231" t="s">
        <v>144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M43">
        <v>2006</v>
      </c>
      <c r="N43">
        <f>B26/$B$20</f>
        <v>1.0807520189696853</v>
      </c>
      <c r="O43">
        <f>C26/$C$20</f>
        <v>0.88725453236916962</v>
      </c>
      <c r="P43">
        <f t="shared" ref="P43" si="26">D26/$D$20</f>
        <v>0.74348249027237356</v>
      </c>
      <c r="Q43">
        <f>E26/$E$20</f>
        <v>0.91373101100052379</v>
      </c>
      <c r="R43">
        <f>I26/$I$20</f>
        <v>0.90808909365417845</v>
      </c>
      <c r="S43">
        <f>J26/$J$20</f>
        <v>0.66899090362085445</v>
      </c>
      <c r="T43">
        <f>K26/$K$20</f>
        <v>1.0957659609934989</v>
      </c>
    </row>
    <row r="44" spans="1:20" s="237" customFormat="1"/>
    <row r="45" spans="1:20">
      <c r="A45" s="42" t="s">
        <v>41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M45">
        <v>2007</v>
      </c>
      <c r="N45">
        <f t="shared" ref="N45:N51" si="27">B27/$B$20</f>
        <v>1.0961085785859297</v>
      </c>
      <c r="O45">
        <f t="shared" ref="O45:O51" si="28">C27/$C$20</f>
        <v>0.78352239624387399</v>
      </c>
      <c r="P45">
        <f t="shared" ref="P45" si="29">D27/$D$20</f>
        <v>0.62057392996108951</v>
      </c>
      <c r="Q45">
        <f t="shared" ref="Q45:Q51" si="30">E27/$E$20</f>
        <v>0.7954917496071241</v>
      </c>
      <c r="R45">
        <f t="shared" ref="R45:R51" si="31">I27/$I$20</f>
        <v>0.82428751537036749</v>
      </c>
      <c r="S45">
        <f t="shared" ref="S45:S51" si="32">J27/$J$20</f>
        <v>0.60191838034898948</v>
      </c>
      <c r="T45">
        <f t="shared" ref="T45:T51" si="33">K27/$K$20</f>
        <v>0.99883313885647607</v>
      </c>
    </row>
    <row r="46" spans="1:20">
      <c r="A46" s="455" t="s">
        <v>53</v>
      </c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M46">
        <v>2008</v>
      </c>
      <c r="N46">
        <f t="shared" si="27"/>
        <v>1.1019490855271543</v>
      </c>
      <c r="O46">
        <f t="shared" si="28"/>
        <v>0.71731039446177047</v>
      </c>
      <c r="P46">
        <f t="shared" ref="P46" si="34">D28/$D$20</f>
        <v>0.57320038910505833</v>
      </c>
      <c r="Q46">
        <f t="shared" si="30"/>
        <v>0.70774947616553174</v>
      </c>
      <c r="R46">
        <f t="shared" si="31"/>
        <v>0.77251856117795381</v>
      </c>
      <c r="S46">
        <f t="shared" si="32"/>
        <v>0.52026333486709375</v>
      </c>
      <c r="T46">
        <f t="shared" si="33"/>
        <v>0.97052286492193141</v>
      </c>
    </row>
    <row r="47" spans="1:20">
      <c r="A47" s="455" t="s">
        <v>54</v>
      </c>
      <c r="B47" s="455"/>
      <c r="C47" s="455"/>
      <c r="D47" s="455"/>
      <c r="E47" s="455"/>
      <c r="F47" s="455"/>
      <c r="G47" s="455"/>
      <c r="H47" s="455"/>
      <c r="I47" s="455"/>
      <c r="J47" s="455"/>
      <c r="K47" s="455"/>
      <c r="M47">
        <v>2009</v>
      </c>
      <c r="N47">
        <f t="shared" si="27"/>
        <v>1.0561720477656436</v>
      </c>
      <c r="O47">
        <f t="shared" si="28"/>
        <v>0.58877274752390418</v>
      </c>
      <c r="P47">
        <f t="shared" ref="P47" si="35">D29/$D$20</f>
        <v>0.42548638132295719</v>
      </c>
      <c r="Q47">
        <f t="shared" si="30"/>
        <v>0.54722695128339449</v>
      </c>
      <c r="R47">
        <f t="shared" si="31"/>
        <v>0.6805298301866235</v>
      </c>
      <c r="S47">
        <f t="shared" si="32"/>
        <v>0.43903302304180086</v>
      </c>
      <c r="T47">
        <f t="shared" si="33"/>
        <v>0.87008945935433679</v>
      </c>
    </row>
    <row r="48" spans="1:20">
      <c r="M48">
        <v>2010</v>
      </c>
      <c r="N48">
        <f t="shared" si="27"/>
        <v>1.0792858053373673</v>
      </c>
      <c r="O48">
        <f t="shared" si="28"/>
        <v>0.57941670379382437</v>
      </c>
      <c r="P48">
        <f t="shared" ref="P48" si="36">D30/$D$20</f>
        <v>0.4210603112840467</v>
      </c>
      <c r="Q48">
        <f t="shared" si="30"/>
        <v>0.57497380827658462</v>
      </c>
      <c r="R48">
        <f t="shared" si="31"/>
        <v>0.63431755568353387</v>
      </c>
      <c r="S48">
        <f t="shared" si="32"/>
        <v>0.4113545464198492</v>
      </c>
      <c r="T48">
        <f t="shared" si="33"/>
        <v>0.80932933266655549</v>
      </c>
    </row>
    <row r="49" spans="13:20">
      <c r="M49">
        <v>2011</v>
      </c>
      <c r="N49">
        <f t="shared" si="27"/>
        <v>1.0982311430280729</v>
      </c>
      <c r="O49">
        <f t="shared" si="28"/>
        <v>0.58520168614414481</v>
      </c>
      <c r="P49">
        <f t="shared" ref="P49" si="37">D31/$D$20</f>
        <v>0.48511673151750972</v>
      </c>
      <c r="Q49">
        <f t="shared" si="30"/>
        <v>0.55028810895756941</v>
      </c>
      <c r="R49">
        <f t="shared" si="31"/>
        <v>0.65042725730384299</v>
      </c>
      <c r="S49">
        <f t="shared" si="32"/>
        <v>0.42830849821257921</v>
      </c>
      <c r="T49">
        <f t="shared" si="33"/>
        <v>0.82477635161415797</v>
      </c>
    </row>
    <row r="50" spans="13:20">
      <c r="M50">
        <v>2012</v>
      </c>
      <c r="N50">
        <f t="shared" si="27"/>
        <v>1.1107217377146208</v>
      </c>
      <c r="O50">
        <f t="shared" si="28"/>
        <v>0.52820178895781211</v>
      </c>
      <c r="P50">
        <f t="shared" ref="P50" si="38">D32/$D$20</f>
        <v>0.41877431906614787</v>
      </c>
      <c r="Q50">
        <f t="shared" si="30"/>
        <v>0.49512179151388164</v>
      </c>
      <c r="R50">
        <f t="shared" si="31"/>
        <v>0.59467368126138187</v>
      </c>
      <c r="S50">
        <f t="shared" si="32"/>
        <v>0.3963472905532156</v>
      </c>
      <c r="T50">
        <f t="shared" si="33"/>
        <v>0.75034728010223928</v>
      </c>
    </row>
    <row r="51" spans="13:20">
      <c r="M51">
        <v>2013</v>
      </c>
      <c r="N51">
        <f t="shared" si="27"/>
        <v>1.121931968890739</v>
      </c>
      <c r="O51">
        <f t="shared" si="28"/>
        <v>0.5346105075568045</v>
      </c>
      <c r="P51">
        <f t="shared" ref="P51" si="39">D33/$D$20</f>
        <v>0.42412451361867703</v>
      </c>
      <c r="Q51">
        <f t="shared" si="30"/>
        <v>0.51859612362493457</v>
      </c>
      <c r="R51">
        <f t="shared" si="31"/>
        <v>0.58519463943841732</v>
      </c>
      <c r="S51">
        <f t="shared" si="32"/>
        <v>0.40997416203588999</v>
      </c>
      <c r="T51">
        <f t="shared" si="33"/>
        <v>0.72273156637217317</v>
      </c>
    </row>
  </sheetData>
  <mergeCells count="4">
    <mergeCell ref="A1:K1"/>
    <mergeCell ref="A35:K35"/>
    <mergeCell ref="A46:K46"/>
    <mergeCell ref="A47:K47"/>
  </mergeCells>
  <printOptions gridLines="1"/>
  <pageMargins left="0.7" right="0.7" top="0.75" bottom="0.75" header="0.3" footer="0.3"/>
  <pageSetup scale="78"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AE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5.42578125" style="3" customWidth="1"/>
    <col min="2" max="31" width="10.7109375" style="3" customWidth="1"/>
    <col min="32" max="16384" width="9.140625" style="3"/>
  </cols>
  <sheetData>
    <row r="1" spans="1:31">
      <c r="A1" s="475" t="s">
        <v>512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</row>
    <row r="2" spans="1:31" ht="10.5" customHeight="1">
      <c r="A2" s="215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31">
      <c r="A3" s="215"/>
      <c r="B3" s="482" t="s">
        <v>471</v>
      </c>
      <c r="C3" s="482"/>
      <c r="D3" s="482"/>
      <c r="E3" s="482"/>
      <c r="F3" s="482"/>
      <c r="G3" s="482" t="s">
        <v>472</v>
      </c>
      <c r="H3" s="482"/>
      <c r="I3" s="482"/>
      <c r="J3" s="482"/>
      <c r="K3" s="482"/>
      <c r="L3" s="482" t="s">
        <v>475</v>
      </c>
      <c r="M3" s="482"/>
      <c r="N3" s="482"/>
      <c r="O3" s="482"/>
      <c r="P3" s="482"/>
    </row>
    <row r="4" spans="1:31" ht="105">
      <c r="A4" s="313"/>
      <c r="B4" s="308" t="s">
        <v>477</v>
      </c>
      <c r="C4" s="308" t="s">
        <v>478</v>
      </c>
      <c r="D4" s="308" t="s">
        <v>479</v>
      </c>
      <c r="E4" s="308" t="s">
        <v>480</v>
      </c>
      <c r="F4" s="301" t="s">
        <v>481</v>
      </c>
      <c r="G4" s="308" t="s">
        <v>477</v>
      </c>
      <c r="H4" s="308" t="s">
        <v>478</v>
      </c>
      <c r="I4" s="308" t="s">
        <v>479</v>
      </c>
      <c r="J4" s="308" t="s">
        <v>480</v>
      </c>
      <c r="K4" s="301" t="s">
        <v>481</v>
      </c>
      <c r="L4" s="308" t="s">
        <v>477</v>
      </c>
      <c r="M4" s="308" t="s">
        <v>478</v>
      </c>
      <c r="N4" s="308" t="s">
        <v>479</v>
      </c>
      <c r="O4" s="308" t="s">
        <v>480</v>
      </c>
      <c r="P4" s="301" t="s">
        <v>481</v>
      </c>
    </row>
    <row r="5" spans="1:31">
      <c r="A5" s="223">
        <v>2007</v>
      </c>
      <c r="B5" s="309">
        <v>60234</v>
      </c>
      <c r="C5" s="309">
        <v>242</v>
      </c>
      <c r="D5" s="309">
        <v>1398.9</v>
      </c>
      <c r="E5" s="309">
        <v>1485.5</v>
      </c>
      <c r="F5" s="309">
        <f>C5+D5+E5</f>
        <v>3126.4</v>
      </c>
      <c r="G5" s="309">
        <v>61921</v>
      </c>
      <c r="H5" s="309">
        <v>260</v>
      </c>
      <c r="I5" s="309">
        <v>1000.5</v>
      </c>
      <c r="J5" s="309">
        <v>979.4</v>
      </c>
      <c r="K5" s="309">
        <f>H5+I5+J5</f>
        <v>2239.9</v>
      </c>
      <c r="L5" s="302">
        <f t="shared" ref="L5:P9" si="0">B5-G5</f>
        <v>-1687</v>
      </c>
      <c r="M5" s="302">
        <f t="shared" si="0"/>
        <v>-18</v>
      </c>
      <c r="N5" s="302">
        <f t="shared" si="0"/>
        <v>398.40000000000009</v>
      </c>
      <c r="O5" s="302">
        <f t="shared" si="0"/>
        <v>506.1</v>
      </c>
      <c r="P5" s="302">
        <f t="shared" si="0"/>
        <v>886.5</v>
      </c>
    </row>
    <row r="6" spans="1:31">
      <c r="A6" s="223">
        <v>2008</v>
      </c>
      <c r="B6" s="309">
        <v>61379</v>
      </c>
      <c r="C6" s="309">
        <v>232.3</v>
      </c>
      <c r="D6" s="309">
        <v>1326.9</v>
      </c>
      <c r="E6" s="309">
        <v>1549.3</v>
      </c>
      <c r="F6" s="309">
        <f t="shared" ref="F6:F9" si="1">C6+D6+E6</f>
        <v>3108.5</v>
      </c>
      <c r="G6" s="309">
        <v>62393</v>
      </c>
      <c r="H6" s="309">
        <v>189.2</v>
      </c>
      <c r="I6" s="309">
        <v>866.7</v>
      </c>
      <c r="J6" s="309">
        <v>956.2</v>
      </c>
      <c r="K6" s="309">
        <f t="shared" ref="K6:K9" si="2">H6+I6+J6</f>
        <v>2012.1000000000001</v>
      </c>
      <c r="L6" s="302">
        <f t="shared" si="0"/>
        <v>-1014</v>
      </c>
      <c r="M6" s="302">
        <f t="shared" si="0"/>
        <v>43.100000000000023</v>
      </c>
      <c r="N6" s="302">
        <f t="shared" si="0"/>
        <v>460.20000000000005</v>
      </c>
      <c r="O6" s="302">
        <f t="shared" si="0"/>
        <v>593.09999999999991</v>
      </c>
      <c r="P6" s="302">
        <f t="shared" si="0"/>
        <v>1096.3999999999999</v>
      </c>
    </row>
    <row r="7" spans="1:31">
      <c r="A7" s="223">
        <v>2009</v>
      </c>
      <c r="B7" s="309">
        <v>61685.4</v>
      </c>
      <c r="C7" s="309">
        <v>242.4</v>
      </c>
      <c r="D7" s="309">
        <v>1127.4000000000001</v>
      </c>
      <c r="E7" s="309">
        <v>1465.4</v>
      </c>
      <c r="F7" s="309">
        <f t="shared" si="1"/>
        <v>2835.2000000000003</v>
      </c>
      <c r="G7" s="309">
        <v>60386.3</v>
      </c>
      <c r="H7" s="309">
        <v>129.30000000000001</v>
      </c>
      <c r="I7" s="309">
        <v>854.3</v>
      </c>
      <c r="J7" s="309">
        <v>944.4</v>
      </c>
      <c r="K7" s="309">
        <f t="shared" si="2"/>
        <v>1928</v>
      </c>
      <c r="L7" s="302">
        <f t="shared" si="0"/>
        <v>1299.0999999999985</v>
      </c>
      <c r="M7" s="302">
        <f t="shared" si="0"/>
        <v>113.1</v>
      </c>
      <c r="N7" s="302">
        <f t="shared" si="0"/>
        <v>273.10000000000014</v>
      </c>
      <c r="O7" s="302">
        <f t="shared" si="0"/>
        <v>521.00000000000011</v>
      </c>
      <c r="P7" s="302">
        <f t="shared" si="0"/>
        <v>907.20000000000027</v>
      </c>
    </row>
    <row r="8" spans="1:31">
      <c r="A8" s="223">
        <v>2010</v>
      </c>
      <c r="B8" s="309">
        <v>64691.9</v>
      </c>
      <c r="C8" s="309">
        <v>342.7</v>
      </c>
      <c r="D8" s="309">
        <v>1192.0999999999999</v>
      </c>
      <c r="E8" s="309">
        <v>1879.9</v>
      </c>
      <c r="F8" s="309">
        <f t="shared" si="1"/>
        <v>3414.7</v>
      </c>
      <c r="G8" s="309">
        <v>62350.2</v>
      </c>
      <c r="H8" s="309">
        <v>82.2</v>
      </c>
      <c r="I8" s="309">
        <v>868.9</v>
      </c>
      <c r="J8" s="309">
        <v>973.2</v>
      </c>
      <c r="K8" s="309">
        <f t="shared" si="2"/>
        <v>1924.3000000000002</v>
      </c>
      <c r="L8" s="302">
        <f t="shared" si="0"/>
        <v>2341.7000000000044</v>
      </c>
      <c r="M8" s="302">
        <f t="shared" si="0"/>
        <v>260.5</v>
      </c>
      <c r="N8" s="302">
        <f t="shared" si="0"/>
        <v>323.19999999999993</v>
      </c>
      <c r="O8" s="302">
        <f t="shared" si="0"/>
        <v>906.7</v>
      </c>
      <c r="P8" s="302">
        <f t="shared" si="0"/>
        <v>1490.3999999999996</v>
      </c>
    </row>
    <row r="9" spans="1:31">
      <c r="A9" s="223">
        <v>2011</v>
      </c>
      <c r="B9" s="309">
        <v>67916.7</v>
      </c>
      <c r="C9" s="309">
        <v>346.3</v>
      </c>
      <c r="D9" s="309">
        <v>975.7</v>
      </c>
      <c r="E9" s="309">
        <v>1625.1</v>
      </c>
      <c r="F9" s="309">
        <f t="shared" si="1"/>
        <v>2947.1</v>
      </c>
      <c r="G9" s="309">
        <v>65350.1</v>
      </c>
      <c r="H9" s="309">
        <v>76.5</v>
      </c>
      <c r="I9" s="309">
        <v>768.1</v>
      </c>
      <c r="J9" s="309">
        <v>813.7</v>
      </c>
      <c r="K9" s="309">
        <f t="shared" si="2"/>
        <v>1658.3000000000002</v>
      </c>
      <c r="L9" s="302">
        <f t="shared" si="0"/>
        <v>2566.5999999999985</v>
      </c>
      <c r="M9" s="302">
        <f t="shared" si="0"/>
        <v>269.8</v>
      </c>
      <c r="N9" s="302">
        <f t="shared" si="0"/>
        <v>207.60000000000002</v>
      </c>
      <c r="O9" s="302">
        <f t="shared" si="0"/>
        <v>811.39999999999986</v>
      </c>
      <c r="P9" s="302">
        <f t="shared" si="0"/>
        <v>1288.7999999999997</v>
      </c>
    </row>
    <row r="10" spans="1:31">
      <c r="A10" s="223"/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2"/>
      <c r="M10" s="302"/>
      <c r="N10" s="302"/>
      <c r="O10" s="302"/>
      <c r="P10" s="302"/>
    </row>
    <row r="11" spans="1:31">
      <c r="A11" s="223" t="s">
        <v>32</v>
      </c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2"/>
      <c r="M11" s="302"/>
      <c r="N11" s="302"/>
      <c r="O11" s="302"/>
      <c r="P11" s="302"/>
    </row>
    <row r="12" spans="1:31">
      <c r="A12" s="310" t="s">
        <v>482</v>
      </c>
      <c r="B12" s="311">
        <f>IFERROR(((B9/B5)^(1/4)-1)*100,"..")</f>
        <v>3.0466120787645989</v>
      </c>
      <c r="C12" s="311">
        <f t="shared" ref="C12:K12" si="3">IFERROR(((C9/C5)^(1/4)-1)*100,"..")</f>
        <v>9.3727876530414367</v>
      </c>
      <c r="D12" s="311">
        <f t="shared" si="3"/>
        <v>-8.6134233950566301</v>
      </c>
      <c r="E12" s="311">
        <f t="shared" si="3"/>
        <v>2.2708483615481168</v>
      </c>
      <c r="F12" s="311">
        <f t="shared" si="3"/>
        <v>-1.4656666602130941</v>
      </c>
      <c r="G12" s="311">
        <f t="shared" si="3"/>
        <v>1.3566093409583146</v>
      </c>
      <c r="H12" s="311">
        <f t="shared" si="3"/>
        <v>-26.350123692589666</v>
      </c>
      <c r="I12" s="311">
        <f t="shared" si="3"/>
        <v>-6.3947585106696181</v>
      </c>
      <c r="J12" s="311">
        <f t="shared" si="3"/>
        <v>-4.5279926183945278</v>
      </c>
      <c r="K12" s="311">
        <f t="shared" si="3"/>
        <v>-7.2404532792667347</v>
      </c>
      <c r="L12" s="311" t="str">
        <f>IFERROR(((L9/L5)^(1/4)-1)*100,"..")</f>
        <v>..</v>
      </c>
      <c r="M12" s="311" t="str">
        <f>IFERROR(((M9/M5)^(1/4)-1)*100,"..")</f>
        <v>..</v>
      </c>
      <c r="N12" s="311">
        <f>IFERROR(((N9/N5)^(1/4)-1)*100,"..")</f>
        <v>-15.037554400565856</v>
      </c>
      <c r="O12" s="311">
        <f>IFERROR(((O9/O5)^(1/4)-1)*100,"..")</f>
        <v>12.525167093804779</v>
      </c>
      <c r="P12" s="311">
        <f>IFERROR(((P9/P5)^(1/4)-1)*100,"..")</f>
        <v>9.8061581409599974</v>
      </c>
    </row>
    <row r="13" spans="1:31">
      <c r="A13" s="297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31">
      <c r="B14" s="482" t="s">
        <v>473</v>
      </c>
      <c r="C14" s="482"/>
      <c r="D14" s="482"/>
      <c r="E14" s="482"/>
      <c r="F14" s="482"/>
      <c r="G14" s="482" t="s">
        <v>474</v>
      </c>
      <c r="H14" s="482"/>
      <c r="I14" s="482"/>
      <c r="J14" s="482"/>
      <c r="K14" s="482"/>
      <c r="L14" s="482" t="s">
        <v>476</v>
      </c>
      <c r="M14" s="482"/>
      <c r="N14" s="482"/>
      <c r="O14" s="482"/>
      <c r="P14" s="482"/>
      <c r="Q14" s="297"/>
      <c r="R14" s="297"/>
      <c r="S14" s="297"/>
      <c r="T14" s="297"/>
      <c r="U14" s="297"/>
    </row>
    <row r="15" spans="1:31" ht="105">
      <c r="B15" s="308" t="s">
        <v>477</v>
      </c>
      <c r="C15" s="308" t="s">
        <v>478</v>
      </c>
      <c r="D15" s="308" t="s">
        <v>479</v>
      </c>
      <c r="E15" s="308" t="s">
        <v>480</v>
      </c>
      <c r="F15" s="301" t="s">
        <v>481</v>
      </c>
      <c r="G15" s="308" t="s">
        <v>477</v>
      </c>
      <c r="H15" s="308" t="s">
        <v>478</v>
      </c>
      <c r="I15" s="308" t="s">
        <v>479</v>
      </c>
      <c r="J15" s="308" t="s">
        <v>480</v>
      </c>
      <c r="K15" s="301" t="s">
        <v>481</v>
      </c>
      <c r="L15" s="308" t="s">
        <v>477</v>
      </c>
      <c r="M15" s="308" t="s">
        <v>478</v>
      </c>
      <c r="N15" s="308" t="s">
        <v>479</v>
      </c>
      <c r="O15" s="308" t="s">
        <v>480</v>
      </c>
      <c r="P15" s="301" t="s">
        <v>481</v>
      </c>
      <c r="Q15" s="297"/>
      <c r="R15" s="297"/>
      <c r="S15" s="297"/>
      <c r="T15" s="297"/>
      <c r="U15" s="297"/>
    </row>
    <row r="16" spans="1:31">
      <c r="A16" s="223">
        <v>2007</v>
      </c>
      <c r="B16" s="309">
        <v>88042.2</v>
      </c>
      <c r="C16" s="309">
        <v>40.299999999999997</v>
      </c>
      <c r="D16" s="309">
        <v>2296.3000000000002</v>
      </c>
      <c r="E16" s="309">
        <v>6147.2</v>
      </c>
      <c r="F16" s="309">
        <f>C16+D16+E16</f>
        <v>8483.7999999999993</v>
      </c>
      <c r="G16" s="309">
        <v>95900</v>
      </c>
      <c r="H16" s="309">
        <v>237.2</v>
      </c>
      <c r="I16" s="309">
        <v>735</v>
      </c>
      <c r="J16" s="309">
        <v>1539.8</v>
      </c>
      <c r="K16" s="309">
        <f>H16+I16+J16</f>
        <v>2512</v>
      </c>
      <c r="L16" s="302">
        <f t="shared" ref="L16:P20" si="4">B16-G16</f>
        <v>-7857.8000000000029</v>
      </c>
      <c r="M16" s="302">
        <f t="shared" si="4"/>
        <v>-196.89999999999998</v>
      </c>
      <c r="N16" s="302">
        <f t="shared" si="4"/>
        <v>1561.3000000000002</v>
      </c>
      <c r="O16" s="302">
        <f t="shared" si="4"/>
        <v>4607.3999999999996</v>
      </c>
      <c r="P16" s="302">
        <f t="shared" si="4"/>
        <v>5971.7999999999993</v>
      </c>
      <c r="Q16" s="297"/>
      <c r="R16" s="297"/>
      <c r="S16" s="297"/>
      <c r="T16" s="297"/>
      <c r="U16" s="297"/>
    </row>
    <row r="17" spans="1:16">
      <c r="A17" s="223">
        <v>2008</v>
      </c>
      <c r="B17" s="309">
        <v>90196.4</v>
      </c>
      <c r="C17" s="309">
        <v>33.1</v>
      </c>
      <c r="D17" s="309">
        <v>1575.9</v>
      </c>
      <c r="E17" s="309">
        <v>6039.8</v>
      </c>
      <c r="F17" s="309">
        <f t="shared" ref="F17:F20" si="5">C17+D17+E17</f>
        <v>7648.8</v>
      </c>
      <c r="G17" s="309">
        <v>106084.5</v>
      </c>
      <c r="H17" s="309">
        <v>182</v>
      </c>
      <c r="I17" s="309">
        <v>606.6</v>
      </c>
      <c r="J17" s="309">
        <v>1523.5</v>
      </c>
      <c r="K17" s="309">
        <f t="shared" ref="K17:K20" si="6">H17+I17+J17</f>
        <v>2312.1</v>
      </c>
      <c r="L17" s="302">
        <f t="shared" si="4"/>
        <v>-15888.100000000006</v>
      </c>
      <c r="M17" s="302">
        <f t="shared" si="4"/>
        <v>-148.9</v>
      </c>
      <c r="N17" s="302">
        <f t="shared" si="4"/>
        <v>969.30000000000007</v>
      </c>
      <c r="O17" s="302">
        <f t="shared" si="4"/>
        <v>4516.3</v>
      </c>
      <c r="P17" s="302">
        <f t="shared" si="4"/>
        <v>5336.7000000000007</v>
      </c>
    </row>
    <row r="18" spans="1:16">
      <c r="A18" s="223">
        <v>2009</v>
      </c>
      <c r="B18" s="309">
        <v>76536.5</v>
      </c>
      <c r="C18" s="309">
        <v>62.6</v>
      </c>
      <c r="D18" s="309">
        <v>1360.5</v>
      </c>
      <c r="E18" s="309">
        <v>5099.8999999999996</v>
      </c>
      <c r="F18" s="309">
        <f t="shared" si="5"/>
        <v>6523</v>
      </c>
      <c r="G18" s="309">
        <v>94752.7</v>
      </c>
      <c r="H18" s="309">
        <v>216.9</v>
      </c>
      <c r="I18" s="309">
        <v>503.9</v>
      </c>
      <c r="J18" s="309">
        <v>1522.9</v>
      </c>
      <c r="K18" s="309">
        <f t="shared" si="6"/>
        <v>2243.6999999999998</v>
      </c>
      <c r="L18" s="302">
        <f t="shared" si="4"/>
        <v>-18216.199999999997</v>
      </c>
      <c r="M18" s="302">
        <f t="shared" si="4"/>
        <v>-154.30000000000001</v>
      </c>
      <c r="N18" s="302">
        <f t="shared" si="4"/>
        <v>856.6</v>
      </c>
      <c r="O18" s="302">
        <f t="shared" si="4"/>
        <v>3576.9999999999995</v>
      </c>
      <c r="P18" s="302">
        <f t="shared" si="4"/>
        <v>4279.3</v>
      </c>
    </row>
    <row r="19" spans="1:16">
      <c r="A19" s="223">
        <v>2010</v>
      </c>
      <c r="B19" s="309">
        <v>78082.8</v>
      </c>
      <c r="C19" s="309">
        <v>77.3</v>
      </c>
      <c r="D19" s="309">
        <v>1565</v>
      </c>
      <c r="E19" s="309">
        <v>4679.3999999999996</v>
      </c>
      <c r="F19" s="309">
        <f t="shared" si="5"/>
        <v>6321.7</v>
      </c>
      <c r="G19" s="309">
        <v>101006.2</v>
      </c>
      <c r="H19" s="309">
        <v>156.80000000000001</v>
      </c>
      <c r="I19" s="309">
        <v>521.5</v>
      </c>
      <c r="J19" s="309">
        <v>1472</v>
      </c>
      <c r="K19" s="309">
        <f t="shared" si="6"/>
        <v>2150.3000000000002</v>
      </c>
      <c r="L19" s="302">
        <f t="shared" si="4"/>
        <v>-22923.399999999994</v>
      </c>
      <c r="M19" s="302">
        <f t="shared" si="4"/>
        <v>-79.500000000000014</v>
      </c>
      <c r="N19" s="302">
        <f t="shared" si="4"/>
        <v>1043.5</v>
      </c>
      <c r="O19" s="302">
        <f t="shared" si="4"/>
        <v>3207.3999999999996</v>
      </c>
      <c r="P19" s="302">
        <f t="shared" si="4"/>
        <v>4171.3999999999996</v>
      </c>
    </row>
    <row r="20" spans="1:16">
      <c r="A20" s="223">
        <v>2011</v>
      </c>
      <c r="B20" s="309">
        <v>84269.4</v>
      </c>
      <c r="C20" s="309">
        <v>169.7</v>
      </c>
      <c r="D20" s="309">
        <v>1392.6</v>
      </c>
      <c r="E20" s="309">
        <v>4743.6000000000004</v>
      </c>
      <c r="F20" s="309">
        <f t="shared" si="5"/>
        <v>6305.9000000000005</v>
      </c>
      <c r="G20" s="309">
        <v>108395.3</v>
      </c>
      <c r="H20" s="309">
        <v>118.8</v>
      </c>
      <c r="I20" s="309">
        <v>468.9</v>
      </c>
      <c r="J20" s="309">
        <v>1387.3</v>
      </c>
      <c r="K20" s="309">
        <f t="shared" si="6"/>
        <v>1975</v>
      </c>
      <c r="L20" s="302">
        <f t="shared" si="4"/>
        <v>-24125.900000000009</v>
      </c>
      <c r="M20" s="302">
        <f t="shared" si="4"/>
        <v>50.899999999999991</v>
      </c>
      <c r="N20" s="302">
        <f t="shared" si="4"/>
        <v>923.69999999999993</v>
      </c>
      <c r="O20" s="302">
        <f t="shared" si="4"/>
        <v>3356.3</v>
      </c>
      <c r="P20" s="302">
        <f t="shared" si="4"/>
        <v>4330.9000000000005</v>
      </c>
    </row>
    <row r="21" spans="1:16">
      <c r="A21" s="223"/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2"/>
      <c r="M21" s="302"/>
      <c r="N21" s="302"/>
      <c r="O21" s="302"/>
      <c r="P21" s="302"/>
    </row>
    <row r="22" spans="1:16">
      <c r="A22" s="223" t="s">
        <v>32</v>
      </c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2"/>
      <c r="M22" s="302"/>
      <c r="N22" s="302"/>
      <c r="O22" s="302"/>
      <c r="P22" s="302"/>
    </row>
    <row r="23" spans="1:16">
      <c r="A23" s="310" t="s">
        <v>482</v>
      </c>
      <c r="B23" s="311">
        <f t="shared" ref="B23:P23" si="7">IFERROR(((B20/B16)^(1/4)-1)*100,"..")</f>
        <v>-1.0889632757027368</v>
      </c>
      <c r="C23" s="311">
        <f t="shared" si="7"/>
        <v>43.249857640387866</v>
      </c>
      <c r="D23" s="311">
        <f t="shared" si="7"/>
        <v>-11.753103426951061</v>
      </c>
      <c r="E23" s="311">
        <f t="shared" si="7"/>
        <v>-6.274518697906295</v>
      </c>
      <c r="F23" s="311">
        <f t="shared" si="7"/>
        <v>-7.1484486213168275</v>
      </c>
      <c r="G23" s="311">
        <f t="shared" si="7"/>
        <v>3.1093291189149941</v>
      </c>
      <c r="H23" s="311">
        <f t="shared" si="7"/>
        <v>-15.874929925995795</v>
      </c>
      <c r="I23" s="311">
        <f t="shared" si="7"/>
        <v>-10.628669510713051</v>
      </c>
      <c r="J23" s="311">
        <f t="shared" si="7"/>
        <v>-2.5736308452886214</v>
      </c>
      <c r="K23" s="311">
        <f t="shared" si="7"/>
        <v>-5.8355733898284301</v>
      </c>
      <c r="L23" s="311">
        <f t="shared" si="7"/>
        <v>32.371849891448591</v>
      </c>
      <c r="M23" s="311" t="str">
        <f t="shared" si="7"/>
        <v>..</v>
      </c>
      <c r="N23" s="311">
        <f t="shared" si="7"/>
        <v>-12.297667072433072</v>
      </c>
      <c r="O23" s="311">
        <f t="shared" si="7"/>
        <v>-7.6150530547340551</v>
      </c>
      <c r="P23" s="311">
        <f t="shared" si="7"/>
        <v>-7.7177392543649859</v>
      </c>
    </row>
    <row r="25" spans="1:16">
      <c r="A25" s="297" t="s">
        <v>483</v>
      </c>
    </row>
  </sheetData>
  <mergeCells count="7">
    <mergeCell ref="A1:P1"/>
    <mergeCell ref="B3:F3"/>
    <mergeCell ref="G3:K3"/>
    <mergeCell ref="B14:F14"/>
    <mergeCell ref="G14:K14"/>
    <mergeCell ref="L3:P3"/>
    <mergeCell ref="L14:P14"/>
  </mergeCells>
  <printOptions gridLines="1"/>
  <pageMargins left="0.70866141732283472" right="0.70866141732283472" top="0.74803149606299213" bottom="0.74803149606299213" header="0.31496062992125984" footer="0.31496062992125984"/>
  <pageSetup scale="70" fitToWidth="2" orientation="landscape" horizontalDpi="0" verticalDpi="0" r:id="rId1"/>
  <colBreaks count="1" manualBreakCount="1">
    <brk id="16" max="29" man="1"/>
  </colBreaks>
</worksheet>
</file>

<file path=xl/worksheets/sheet131.xml><?xml version="1.0" encoding="utf-8"?>
<worksheet xmlns="http://schemas.openxmlformats.org/spreadsheetml/2006/main" xmlns:r="http://schemas.openxmlformats.org/officeDocument/2006/relationships">
  <dimension ref="A1:U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5.42578125" style="3" customWidth="1"/>
    <col min="2" max="31" width="10.7109375" style="3" customWidth="1"/>
    <col min="32" max="16384" width="9.140625" style="3"/>
  </cols>
  <sheetData>
    <row r="1" spans="1:21">
      <c r="A1" s="475" t="s">
        <v>515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297"/>
      <c r="R1" s="297"/>
      <c r="S1" s="297"/>
      <c r="T1" s="297"/>
      <c r="U1" s="297"/>
    </row>
    <row r="2" spans="1:21" ht="10.5" customHeight="1">
      <c r="A2" s="215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</row>
    <row r="3" spans="1:21">
      <c r="A3" s="297"/>
      <c r="B3" s="482" t="s">
        <v>471</v>
      </c>
      <c r="C3" s="482"/>
      <c r="D3" s="482"/>
      <c r="E3" s="482"/>
      <c r="F3" s="482"/>
      <c r="G3" s="482" t="s">
        <v>472</v>
      </c>
      <c r="H3" s="482"/>
      <c r="I3" s="482"/>
      <c r="J3" s="482"/>
      <c r="K3" s="482"/>
      <c r="L3" s="482" t="s">
        <v>475</v>
      </c>
      <c r="M3" s="482"/>
      <c r="N3" s="482"/>
      <c r="O3" s="482"/>
      <c r="P3" s="482"/>
    </row>
    <row r="4" spans="1:21" ht="105">
      <c r="A4" s="314"/>
      <c r="B4" s="308" t="s">
        <v>477</v>
      </c>
      <c r="C4" s="308" t="s">
        <v>478</v>
      </c>
      <c r="D4" s="308" t="s">
        <v>479</v>
      </c>
      <c r="E4" s="308" t="s">
        <v>480</v>
      </c>
      <c r="F4" s="301" t="s">
        <v>481</v>
      </c>
      <c r="G4" s="308" t="s">
        <v>477</v>
      </c>
      <c r="H4" s="308" t="s">
        <v>478</v>
      </c>
      <c r="I4" s="308" t="s">
        <v>479</v>
      </c>
      <c r="J4" s="308" t="s">
        <v>480</v>
      </c>
      <c r="K4" s="301" t="s">
        <v>481</v>
      </c>
      <c r="L4" s="308" t="s">
        <v>477</v>
      </c>
      <c r="M4" s="308" t="s">
        <v>478</v>
      </c>
      <c r="N4" s="308" t="s">
        <v>479</v>
      </c>
      <c r="O4" s="308" t="s">
        <v>480</v>
      </c>
      <c r="P4" s="301" t="s">
        <v>481</v>
      </c>
    </row>
    <row r="5" spans="1:21">
      <c r="A5" s="223">
        <v>2007</v>
      </c>
      <c r="B5" s="309">
        <v>109999.6</v>
      </c>
      <c r="C5" s="309">
        <v>174.6</v>
      </c>
      <c r="D5" s="309">
        <v>542.9</v>
      </c>
      <c r="E5" s="309">
        <v>1022.5</v>
      </c>
      <c r="F5" s="309">
        <f>C5+D5+E5</f>
        <v>1740</v>
      </c>
      <c r="G5" s="309">
        <v>82735.399999999994</v>
      </c>
      <c r="H5" s="309">
        <v>179.5</v>
      </c>
      <c r="I5" s="309">
        <v>1866.1</v>
      </c>
      <c r="J5" s="309">
        <v>1424.1</v>
      </c>
      <c r="K5" s="309">
        <f>H5+I5+J5</f>
        <v>3469.7</v>
      </c>
      <c r="L5" s="302">
        <f t="shared" ref="L5:P9" si="0">B5-G5</f>
        <v>27264.200000000012</v>
      </c>
      <c r="M5" s="302">
        <f t="shared" si="0"/>
        <v>-4.9000000000000057</v>
      </c>
      <c r="N5" s="302">
        <f t="shared" si="0"/>
        <v>-1323.1999999999998</v>
      </c>
      <c r="O5" s="302">
        <f t="shared" si="0"/>
        <v>-401.59999999999991</v>
      </c>
      <c r="P5" s="302">
        <f t="shared" si="0"/>
        <v>-1729.6999999999998</v>
      </c>
    </row>
    <row r="6" spans="1:21">
      <c r="A6" s="223">
        <v>2008</v>
      </c>
      <c r="B6" s="309">
        <v>111817.2</v>
      </c>
      <c r="C6" s="309">
        <v>130.4</v>
      </c>
      <c r="D6" s="309">
        <v>498.1</v>
      </c>
      <c r="E6" s="309">
        <v>935.5</v>
      </c>
      <c r="F6" s="309">
        <f t="shared" ref="F6:F9" si="1">C6+D6+E6</f>
        <v>1564</v>
      </c>
      <c r="G6" s="309">
        <v>86800.5</v>
      </c>
      <c r="H6" s="309">
        <v>136.69999999999999</v>
      </c>
      <c r="I6" s="309">
        <v>1677.6</v>
      </c>
      <c r="J6" s="309">
        <v>1490.8</v>
      </c>
      <c r="K6" s="309">
        <f t="shared" ref="K6:K9" si="2">H6+I6+J6</f>
        <v>3305.1</v>
      </c>
      <c r="L6" s="302">
        <f t="shared" si="0"/>
        <v>25016.699999999997</v>
      </c>
      <c r="M6" s="302">
        <f t="shared" si="0"/>
        <v>-6.2999999999999829</v>
      </c>
      <c r="N6" s="302">
        <f t="shared" si="0"/>
        <v>-1179.5</v>
      </c>
      <c r="O6" s="302">
        <f t="shared" si="0"/>
        <v>-555.29999999999995</v>
      </c>
      <c r="P6" s="302">
        <f t="shared" si="0"/>
        <v>-1741.1</v>
      </c>
    </row>
    <row r="7" spans="1:21">
      <c r="A7" s="223">
        <v>2009</v>
      </c>
      <c r="B7" s="309">
        <v>107098.8</v>
      </c>
      <c r="C7" s="309">
        <v>97.4</v>
      </c>
      <c r="D7" s="309">
        <v>429.8</v>
      </c>
      <c r="E7" s="309">
        <v>1110.5</v>
      </c>
      <c r="F7" s="309">
        <f t="shared" si="1"/>
        <v>1637.7</v>
      </c>
      <c r="G7" s="309">
        <v>82997.100000000006</v>
      </c>
      <c r="H7" s="309">
        <v>110.2</v>
      </c>
      <c r="I7" s="309">
        <v>1224.4000000000001</v>
      </c>
      <c r="J7" s="309">
        <v>1395.5</v>
      </c>
      <c r="K7" s="309">
        <f t="shared" si="2"/>
        <v>2730.1000000000004</v>
      </c>
      <c r="L7" s="302">
        <f t="shared" si="0"/>
        <v>24101.699999999997</v>
      </c>
      <c r="M7" s="302">
        <f t="shared" si="0"/>
        <v>-12.799999999999997</v>
      </c>
      <c r="N7" s="302">
        <f t="shared" si="0"/>
        <v>-794.60000000000014</v>
      </c>
      <c r="O7" s="302">
        <f t="shared" si="0"/>
        <v>-285</v>
      </c>
      <c r="P7" s="302">
        <f t="shared" si="0"/>
        <v>-1092.4000000000003</v>
      </c>
    </row>
    <row r="8" spans="1:21">
      <c r="A8" s="223">
        <v>2010</v>
      </c>
      <c r="B8" s="309">
        <v>113737.4</v>
      </c>
      <c r="C8" s="309">
        <v>110.5</v>
      </c>
      <c r="D8" s="309">
        <v>567</v>
      </c>
      <c r="E8" s="309">
        <v>1289</v>
      </c>
      <c r="F8" s="309">
        <f t="shared" si="1"/>
        <v>1966.5</v>
      </c>
      <c r="G8" s="309">
        <v>87933.6</v>
      </c>
      <c r="H8" s="309">
        <v>225.4</v>
      </c>
      <c r="I8" s="309">
        <v>1136</v>
      </c>
      <c r="J8" s="309">
        <v>1973.2</v>
      </c>
      <c r="K8" s="309">
        <f t="shared" si="2"/>
        <v>3334.6000000000004</v>
      </c>
      <c r="L8" s="302">
        <f t="shared" si="0"/>
        <v>25803.799999999988</v>
      </c>
      <c r="M8" s="302">
        <f t="shared" si="0"/>
        <v>-114.9</v>
      </c>
      <c r="N8" s="302">
        <f t="shared" si="0"/>
        <v>-569</v>
      </c>
      <c r="O8" s="302">
        <f t="shared" si="0"/>
        <v>-684.2</v>
      </c>
      <c r="P8" s="302">
        <f t="shared" si="0"/>
        <v>-1368.1000000000004</v>
      </c>
    </row>
    <row r="9" spans="1:21">
      <c r="A9" s="223">
        <v>2011</v>
      </c>
      <c r="B9" s="309">
        <v>120507.3</v>
      </c>
      <c r="C9" s="309">
        <v>96.1</v>
      </c>
      <c r="D9" s="309">
        <v>432.1</v>
      </c>
      <c r="E9" s="309">
        <v>983.2</v>
      </c>
      <c r="F9" s="309">
        <f t="shared" si="1"/>
        <v>1511.4</v>
      </c>
      <c r="G9" s="309">
        <v>92391.4</v>
      </c>
      <c r="H9" s="309">
        <v>212.9</v>
      </c>
      <c r="I9" s="309">
        <v>1110.2</v>
      </c>
      <c r="J9" s="309">
        <v>1606.9</v>
      </c>
      <c r="K9" s="309">
        <f t="shared" si="2"/>
        <v>2930</v>
      </c>
      <c r="L9" s="302">
        <f t="shared" si="0"/>
        <v>28115.900000000009</v>
      </c>
      <c r="M9" s="302">
        <f t="shared" si="0"/>
        <v>-116.80000000000001</v>
      </c>
      <c r="N9" s="302">
        <f t="shared" si="0"/>
        <v>-678.1</v>
      </c>
      <c r="O9" s="302">
        <f t="shared" si="0"/>
        <v>-623.70000000000005</v>
      </c>
      <c r="P9" s="302">
        <f t="shared" si="0"/>
        <v>-1418.6</v>
      </c>
    </row>
    <row r="10" spans="1:21">
      <c r="A10" s="223"/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2"/>
      <c r="M10" s="302"/>
      <c r="N10" s="302"/>
      <c r="O10" s="302"/>
      <c r="P10" s="302"/>
    </row>
    <row r="11" spans="1:21">
      <c r="A11" s="223" t="s">
        <v>32</v>
      </c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2"/>
      <c r="M11" s="302"/>
      <c r="N11" s="302"/>
      <c r="O11" s="302"/>
      <c r="P11" s="302"/>
    </row>
    <row r="12" spans="1:21">
      <c r="A12" s="310" t="s">
        <v>482</v>
      </c>
      <c r="B12" s="311">
        <f>IFERROR(((B9/B5)^(1/4)-1)*100,"..")</f>
        <v>2.307050112091602</v>
      </c>
      <c r="C12" s="311">
        <f t="shared" ref="C12:K12" si="3">IFERROR(((C9/C5)^(1/4)-1)*100,"..")</f>
        <v>-13.866957720144979</v>
      </c>
      <c r="D12" s="311">
        <f t="shared" si="3"/>
        <v>-5.546923945078075</v>
      </c>
      <c r="E12" s="311">
        <f t="shared" si="3"/>
        <v>-0.9750485159175315</v>
      </c>
      <c r="F12" s="311">
        <f t="shared" si="3"/>
        <v>-3.4599448901005858</v>
      </c>
      <c r="G12" s="311">
        <f t="shared" si="3"/>
        <v>2.7980897096536284</v>
      </c>
      <c r="H12" s="311">
        <f t="shared" si="3"/>
        <v>4.3584937529697498</v>
      </c>
      <c r="I12" s="311">
        <f t="shared" si="3"/>
        <v>-12.175319703025412</v>
      </c>
      <c r="J12" s="311">
        <f t="shared" si="3"/>
        <v>3.0652096645722215</v>
      </c>
      <c r="K12" s="311">
        <f t="shared" si="3"/>
        <v>-4.1385655122952336</v>
      </c>
      <c r="L12" s="311">
        <f>IFERROR(((L9/L5)^(1/4)-1)*100,"..")</f>
        <v>0.77198370458597676</v>
      </c>
      <c r="M12" s="311">
        <f>IFERROR(((M9/M5)^(1/4)-1)*100,"..")</f>
        <v>120.95899742864415</v>
      </c>
      <c r="N12" s="311">
        <f>IFERROR(((N9/N5)^(1/4)-1)*100,"..")</f>
        <v>-15.390902411030449</v>
      </c>
      <c r="O12" s="311">
        <f>IFERROR(((O9/O5)^(1/4)-1)*100,"..")</f>
        <v>11.633749016975226</v>
      </c>
      <c r="P12" s="311">
        <f>IFERROR(((P9/P5)^(1/4)-1)*100,"..")</f>
        <v>-4.8360867278602004</v>
      </c>
    </row>
    <row r="13" spans="1:21">
      <c r="A13" s="297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21">
      <c r="B14" s="482" t="s">
        <v>473</v>
      </c>
      <c r="C14" s="482"/>
      <c r="D14" s="482"/>
      <c r="E14" s="482"/>
      <c r="F14" s="482"/>
      <c r="G14" s="482" t="s">
        <v>474</v>
      </c>
      <c r="H14" s="482"/>
      <c r="I14" s="482"/>
      <c r="J14" s="482"/>
      <c r="K14" s="482"/>
      <c r="L14" s="482" t="s">
        <v>476</v>
      </c>
      <c r="M14" s="482"/>
      <c r="N14" s="482"/>
      <c r="O14" s="482"/>
      <c r="P14" s="482"/>
      <c r="Q14" s="297"/>
      <c r="R14" s="297"/>
      <c r="S14" s="297"/>
      <c r="T14" s="297"/>
      <c r="U14" s="297"/>
    </row>
    <row r="15" spans="1:21" ht="105">
      <c r="A15" s="297"/>
      <c r="B15" s="308" t="s">
        <v>477</v>
      </c>
      <c r="C15" s="308" t="s">
        <v>478</v>
      </c>
      <c r="D15" s="308" t="s">
        <v>479</v>
      </c>
      <c r="E15" s="308" t="s">
        <v>480</v>
      </c>
      <c r="F15" s="301" t="s">
        <v>481</v>
      </c>
      <c r="G15" s="308" t="s">
        <v>477</v>
      </c>
      <c r="H15" s="308" t="s">
        <v>478</v>
      </c>
      <c r="I15" s="308" t="s">
        <v>479</v>
      </c>
      <c r="J15" s="308" t="s">
        <v>480</v>
      </c>
      <c r="K15" s="301" t="s">
        <v>481</v>
      </c>
      <c r="L15" s="308" t="s">
        <v>477</v>
      </c>
      <c r="M15" s="308" t="s">
        <v>478</v>
      </c>
      <c r="N15" s="308" t="s">
        <v>479</v>
      </c>
      <c r="O15" s="308" t="s">
        <v>480</v>
      </c>
      <c r="P15" s="301" t="s">
        <v>481</v>
      </c>
      <c r="Q15" s="297"/>
      <c r="R15" s="297"/>
      <c r="S15" s="297"/>
      <c r="T15" s="297"/>
      <c r="U15" s="297"/>
    </row>
    <row r="16" spans="1:21">
      <c r="A16" s="223">
        <v>2007</v>
      </c>
      <c r="B16" s="309">
        <v>216635.4</v>
      </c>
      <c r="C16" s="309">
        <v>35</v>
      </c>
      <c r="D16" s="309">
        <v>1572.8</v>
      </c>
      <c r="E16" s="309">
        <v>4496.3999999999996</v>
      </c>
      <c r="F16" s="309">
        <f>C16+D16+E16</f>
        <v>6104.2</v>
      </c>
      <c r="G16" s="309">
        <v>218346.9</v>
      </c>
      <c r="H16" s="309">
        <v>54.8</v>
      </c>
      <c r="I16" s="309">
        <v>1131.8</v>
      </c>
      <c r="J16" s="309">
        <v>3830.9</v>
      </c>
      <c r="K16" s="309">
        <f>H16+I16+J16</f>
        <v>5017.5</v>
      </c>
      <c r="L16" s="302">
        <f t="shared" ref="L16:P20" si="4">B16-G16</f>
        <v>-1711.5</v>
      </c>
      <c r="M16" s="302">
        <f t="shared" si="4"/>
        <v>-19.799999999999997</v>
      </c>
      <c r="N16" s="302">
        <f t="shared" si="4"/>
        <v>441</v>
      </c>
      <c r="O16" s="302">
        <f t="shared" si="4"/>
        <v>665.49999999999955</v>
      </c>
      <c r="P16" s="302">
        <f t="shared" si="4"/>
        <v>1086.6999999999998</v>
      </c>
      <c r="Q16" s="297"/>
      <c r="R16" s="297"/>
      <c r="S16" s="297"/>
      <c r="T16" s="297"/>
      <c r="U16" s="297"/>
    </row>
    <row r="17" spans="1:16">
      <c r="A17" s="223">
        <v>2008</v>
      </c>
      <c r="B17" s="309">
        <v>205699.20000000001</v>
      </c>
      <c r="C17" s="309">
        <v>27.5</v>
      </c>
      <c r="D17" s="309">
        <v>1075.3</v>
      </c>
      <c r="E17" s="309">
        <v>4549.3999999999996</v>
      </c>
      <c r="F17" s="309">
        <f t="shared" ref="F17:F20" si="5">C17+D17+E17</f>
        <v>5652.2</v>
      </c>
      <c r="G17" s="309">
        <v>227287.8</v>
      </c>
      <c r="H17" s="309">
        <v>116.9</v>
      </c>
      <c r="I17" s="309">
        <v>1110.0999999999999</v>
      </c>
      <c r="J17" s="309">
        <v>3830.4</v>
      </c>
      <c r="K17" s="309">
        <f t="shared" ref="K17:K20" si="6">H17+I17+J17</f>
        <v>5057.3999999999996</v>
      </c>
      <c r="L17" s="302">
        <f t="shared" si="4"/>
        <v>-21588.599999999977</v>
      </c>
      <c r="M17" s="302">
        <f t="shared" si="4"/>
        <v>-89.4</v>
      </c>
      <c r="N17" s="302">
        <f t="shared" si="4"/>
        <v>-34.799999999999955</v>
      </c>
      <c r="O17" s="302">
        <f t="shared" si="4"/>
        <v>718.99999999999955</v>
      </c>
      <c r="P17" s="302">
        <f t="shared" si="4"/>
        <v>594.80000000000018</v>
      </c>
    </row>
    <row r="18" spans="1:16">
      <c r="A18" s="223">
        <v>2009</v>
      </c>
      <c r="B18" s="309">
        <v>166953.20000000001</v>
      </c>
      <c r="C18" s="309">
        <v>21.6</v>
      </c>
      <c r="D18" s="309">
        <v>731.7</v>
      </c>
      <c r="E18" s="309">
        <v>3241.3</v>
      </c>
      <c r="F18" s="309">
        <f t="shared" si="5"/>
        <v>3994.6000000000004</v>
      </c>
      <c r="G18" s="309">
        <v>192257.7</v>
      </c>
      <c r="H18" s="309">
        <v>44.2</v>
      </c>
      <c r="I18" s="309">
        <v>1058.8</v>
      </c>
      <c r="J18" s="309">
        <v>2974.9</v>
      </c>
      <c r="K18" s="309">
        <f t="shared" si="6"/>
        <v>4077.9</v>
      </c>
      <c r="L18" s="302">
        <f t="shared" si="4"/>
        <v>-25304.5</v>
      </c>
      <c r="M18" s="302">
        <f t="shared" si="4"/>
        <v>-22.6</v>
      </c>
      <c r="N18" s="302">
        <f t="shared" si="4"/>
        <v>-327.09999999999991</v>
      </c>
      <c r="O18" s="302">
        <f t="shared" si="4"/>
        <v>266.40000000000009</v>
      </c>
      <c r="P18" s="302">
        <f t="shared" si="4"/>
        <v>-83.299999999999727</v>
      </c>
    </row>
    <row r="19" spans="1:16">
      <c r="A19" s="223">
        <v>2010</v>
      </c>
      <c r="B19" s="309">
        <v>186974.8</v>
      </c>
      <c r="C19" s="309">
        <v>41.5</v>
      </c>
      <c r="D19" s="309">
        <v>734.7</v>
      </c>
      <c r="E19" s="309">
        <v>3126.9</v>
      </c>
      <c r="F19" s="309">
        <f t="shared" si="5"/>
        <v>3903.1000000000004</v>
      </c>
      <c r="G19" s="309">
        <v>214390.3</v>
      </c>
      <c r="H19" s="309">
        <v>33.200000000000003</v>
      </c>
      <c r="I19" s="309">
        <v>1229.3</v>
      </c>
      <c r="J19" s="309">
        <v>2835.4</v>
      </c>
      <c r="K19" s="309">
        <f t="shared" si="6"/>
        <v>4097.8999999999996</v>
      </c>
      <c r="L19" s="302">
        <f t="shared" si="4"/>
        <v>-27415.5</v>
      </c>
      <c r="M19" s="302">
        <f t="shared" si="4"/>
        <v>8.2999999999999972</v>
      </c>
      <c r="N19" s="302">
        <f t="shared" si="4"/>
        <v>-494.59999999999991</v>
      </c>
      <c r="O19" s="302">
        <f t="shared" si="4"/>
        <v>291.5</v>
      </c>
      <c r="P19" s="302">
        <f t="shared" si="4"/>
        <v>-194.79999999999927</v>
      </c>
    </row>
    <row r="20" spans="1:16">
      <c r="A20" s="223">
        <v>2011</v>
      </c>
      <c r="B20" s="309">
        <v>202448.1</v>
      </c>
      <c r="C20" s="309">
        <v>44.6</v>
      </c>
      <c r="D20" s="309">
        <v>649.20000000000005</v>
      </c>
      <c r="E20" s="309">
        <v>3209.1</v>
      </c>
      <c r="F20" s="309">
        <f t="shared" si="5"/>
        <v>3902.9</v>
      </c>
      <c r="G20" s="309">
        <v>233719.4</v>
      </c>
      <c r="H20" s="309">
        <v>29.9</v>
      </c>
      <c r="I20" s="309">
        <v>1269</v>
      </c>
      <c r="J20" s="309">
        <v>2807.9</v>
      </c>
      <c r="K20" s="309">
        <f t="shared" si="6"/>
        <v>4106.8</v>
      </c>
      <c r="L20" s="302">
        <f t="shared" si="4"/>
        <v>-31271.299999999988</v>
      </c>
      <c r="M20" s="302">
        <f t="shared" si="4"/>
        <v>14.700000000000003</v>
      </c>
      <c r="N20" s="302">
        <f t="shared" si="4"/>
        <v>-619.79999999999995</v>
      </c>
      <c r="O20" s="302">
        <f t="shared" si="4"/>
        <v>401.19999999999982</v>
      </c>
      <c r="P20" s="302">
        <f t="shared" si="4"/>
        <v>-203.90000000000009</v>
      </c>
    </row>
    <row r="21" spans="1:16">
      <c r="A21" s="223"/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2"/>
      <c r="M21" s="302"/>
      <c r="N21" s="302"/>
      <c r="O21" s="302"/>
      <c r="P21" s="302"/>
    </row>
    <row r="22" spans="1:16">
      <c r="A22" s="223" t="s">
        <v>32</v>
      </c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2"/>
      <c r="M22" s="302"/>
      <c r="N22" s="302"/>
      <c r="O22" s="302"/>
      <c r="P22" s="302"/>
    </row>
    <row r="23" spans="1:16">
      <c r="A23" s="310" t="s">
        <v>482</v>
      </c>
      <c r="B23" s="311">
        <f t="shared" ref="B23:P23" si="7">IFERROR(((B20/B16)^(1/4)-1)*100,"..")</f>
        <v>-1.6790491376154515</v>
      </c>
      <c r="C23" s="311">
        <f t="shared" si="7"/>
        <v>6.2470067212340386</v>
      </c>
      <c r="D23" s="311">
        <f t="shared" si="7"/>
        <v>-19.845805761434665</v>
      </c>
      <c r="E23" s="311">
        <f t="shared" si="7"/>
        <v>-8.0864420521860385</v>
      </c>
      <c r="F23" s="311">
        <f t="shared" si="7"/>
        <v>-10.578970134155464</v>
      </c>
      <c r="G23" s="311">
        <f t="shared" si="7"/>
        <v>1.7154519411931135</v>
      </c>
      <c r="H23" s="311">
        <f t="shared" si="7"/>
        <v>-14.054595987192487</v>
      </c>
      <c r="I23" s="311">
        <f t="shared" si="7"/>
        <v>2.901802710557333</v>
      </c>
      <c r="J23" s="311">
        <f t="shared" si="7"/>
        <v>-7.4726326869493542</v>
      </c>
      <c r="K23" s="311">
        <f t="shared" si="7"/>
        <v>-4.8838981951011773</v>
      </c>
      <c r="L23" s="311">
        <f t="shared" si="7"/>
        <v>106.74844800323382</v>
      </c>
      <c r="M23" s="311" t="str">
        <f t="shared" si="7"/>
        <v>..</v>
      </c>
      <c r="N23" s="311" t="str">
        <f t="shared" si="7"/>
        <v>..</v>
      </c>
      <c r="O23" s="311">
        <f t="shared" si="7"/>
        <v>-11.884316133754957</v>
      </c>
      <c r="P23" s="311" t="str">
        <f t="shared" si="7"/>
        <v>..</v>
      </c>
    </row>
    <row r="25" spans="1:16">
      <c r="A25" s="297" t="s">
        <v>483</v>
      </c>
    </row>
  </sheetData>
  <mergeCells count="7">
    <mergeCell ref="A1:P1"/>
    <mergeCell ref="B3:F3"/>
    <mergeCell ref="G3:K3"/>
    <mergeCell ref="B14:F14"/>
    <mergeCell ref="G14:K14"/>
    <mergeCell ref="L3:P3"/>
    <mergeCell ref="L14:P14"/>
  </mergeCells>
  <printOptions gridLines="1"/>
  <pageMargins left="0.70866141732283472" right="0.70866141732283472" top="0.74803149606299213" bottom="0.74803149606299213" header="0.31496062992125984" footer="0.31496062992125984"/>
  <pageSetup scale="70" fitToWidth="2" orientation="landscape" horizontalDpi="0" verticalDpi="0" r:id="rId1"/>
  <colBreaks count="1" manualBreakCount="1">
    <brk id="16" max="32" man="1"/>
  </colBreaks>
</worksheet>
</file>

<file path=xl/worksheets/sheet132.xml><?xml version="1.0" encoding="utf-8"?>
<worksheet xmlns="http://schemas.openxmlformats.org/spreadsheetml/2006/main" xmlns:r="http://schemas.openxmlformats.org/officeDocument/2006/relationships">
  <dimension ref="A1:E29"/>
  <sheetViews>
    <sheetView view="pageBreakPreview" zoomScaleNormal="100" zoomScaleSheetLayoutView="100" workbookViewId="0">
      <selection activeCell="N31" sqref="N31"/>
    </sheetView>
  </sheetViews>
  <sheetFormatPr defaultRowHeight="15"/>
  <cols>
    <col min="1" max="1" width="16.140625" style="259" customWidth="1"/>
    <col min="2" max="2" width="15.42578125" style="262" customWidth="1"/>
    <col min="3" max="16384" width="9.140625" style="259"/>
  </cols>
  <sheetData>
    <row r="1" spans="1:5">
      <c r="A1" s="475" t="s">
        <v>511</v>
      </c>
      <c r="B1" s="475"/>
      <c r="C1" s="475"/>
      <c r="D1" s="475"/>
      <c r="E1" s="305"/>
    </row>
    <row r="2" spans="1:5" ht="11.25" customHeight="1">
      <c r="A2" s="297"/>
      <c r="B2" s="303"/>
      <c r="C2" s="297"/>
      <c r="D2" s="297"/>
      <c r="E2" s="293"/>
    </row>
    <row r="3" spans="1:5">
      <c r="A3" s="3"/>
      <c r="B3" s="261" t="s">
        <v>458</v>
      </c>
      <c r="C3" s="297"/>
      <c r="D3" s="3"/>
    </row>
    <row r="4" spans="1:5">
      <c r="A4" s="223">
        <v>1997</v>
      </c>
      <c r="B4" s="299">
        <v>1.3845980674</v>
      </c>
      <c r="C4" s="297"/>
      <c r="D4" s="3"/>
    </row>
    <row r="5" spans="1:5">
      <c r="A5" s="223">
        <v>1998</v>
      </c>
      <c r="B5" s="299">
        <v>1.4835052218000002</v>
      </c>
      <c r="C5" s="297"/>
      <c r="D5" s="3"/>
    </row>
    <row r="6" spans="1:5">
      <c r="A6" s="223">
        <v>1999</v>
      </c>
      <c r="B6" s="299">
        <v>1.4857048990000001</v>
      </c>
      <c r="C6" s="297"/>
      <c r="D6" s="3"/>
    </row>
    <row r="7" spans="1:5">
      <c r="A7" s="223">
        <v>2000</v>
      </c>
      <c r="B7" s="299">
        <v>1.4853941705</v>
      </c>
      <c r="C7" s="297"/>
      <c r="D7" s="3"/>
    </row>
    <row r="8" spans="1:5">
      <c r="A8" s="223">
        <v>2001</v>
      </c>
      <c r="B8" s="299">
        <v>1.5488398781000001</v>
      </c>
      <c r="C8" s="297"/>
      <c r="D8" s="3"/>
    </row>
    <row r="9" spans="1:5">
      <c r="A9" s="223">
        <v>2002</v>
      </c>
      <c r="B9" s="299">
        <v>1.5703427579</v>
      </c>
      <c r="C9" s="297"/>
      <c r="D9" s="3"/>
    </row>
    <row r="10" spans="1:5">
      <c r="A10" s="223">
        <v>2003</v>
      </c>
      <c r="B10" s="299">
        <v>1.4010145876000002</v>
      </c>
      <c r="C10" s="297"/>
      <c r="D10" s="3"/>
    </row>
    <row r="11" spans="1:5">
      <c r="A11" s="223">
        <v>2004</v>
      </c>
      <c r="B11" s="299">
        <v>1.301281559</v>
      </c>
      <c r="C11" s="297"/>
      <c r="D11" s="3"/>
    </row>
    <row r="12" spans="1:5">
      <c r="A12" s="223">
        <v>2005</v>
      </c>
      <c r="B12" s="299">
        <v>1.2114051335</v>
      </c>
      <c r="C12" s="297"/>
      <c r="D12" s="3"/>
    </row>
    <row r="13" spans="1:5">
      <c r="A13" s="223">
        <v>2006</v>
      </c>
      <c r="B13" s="299">
        <v>1.1343447260000001</v>
      </c>
      <c r="C13" s="297"/>
      <c r="D13" s="3"/>
    </row>
    <row r="14" spans="1:5">
      <c r="A14" s="223">
        <v>2007</v>
      </c>
      <c r="B14" s="299">
        <v>1.0740456205</v>
      </c>
      <c r="C14" s="297"/>
      <c r="D14" s="3"/>
    </row>
    <row r="15" spans="1:5">
      <c r="A15" s="223">
        <v>2008</v>
      </c>
      <c r="B15" s="299">
        <v>1.0670869195999999</v>
      </c>
      <c r="C15" s="297"/>
      <c r="D15" s="3"/>
    </row>
    <row r="16" spans="1:5">
      <c r="A16" s="223">
        <v>2009</v>
      </c>
      <c r="B16" s="299">
        <v>1.1415354058</v>
      </c>
      <c r="C16" s="297"/>
      <c r="D16" s="3"/>
    </row>
    <row r="17" spans="1:5">
      <c r="A17" s="223">
        <v>2010</v>
      </c>
      <c r="B17" s="299">
        <v>1.0301127361</v>
      </c>
      <c r="C17" s="297"/>
      <c r="D17" s="3"/>
    </row>
    <row r="18" spans="1:5">
      <c r="A18" s="223">
        <v>2011</v>
      </c>
      <c r="B18" s="299">
        <v>0.98925815880000001</v>
      </c>
      <c r="C18" s="297"/>
      <c r="D18" s="3"/>
    </row>
    <row r="19" spans="1:5">
      <c r="A19" s="223">
        <v>2012</v>
      </c>
      <c r="B19" s="299">
        <v>0.99936474369999995</v>
      </c>
      <c r="C19" s="297"/>
      <c r="D19" s="3"/>
    </row>
    <row r="20" spans="1:5">
      <c r="A20" s="223">
        <v>2013</v>
      </c>
      <c r="B20" s="299">
        <v>1.0301373637</v>
      </c>
      <c r="C20" s="297"/>
      <c r="D20" s="3"/>
    </row>
    <row r="21" spans="1:5" ht="16.5" customHeight="1">
      <c r="A21" s="223"/>
      <c r="B21" s="299"/>
      <c r="C21" s="297"/>
      <c r="D21" s="3"/>
    </row>
    <row r="22" spans="1:5" ht="16.5" customHeight="1">
      <c r="A22" s="223" t="s">
        <v>32</v>
      </c>
      <c r="B22" s="299"/>
      <c r="C22" s="297"/>
      <c r="D22" s="3"/>
    </row>
    <row r="23" spans="1:5">
      <c r="A23" s="295" t="s">
        <v>445</v>
      </c>
      <c r="B23" s="296">
        <f t="shared" ref="B23" si="0">IFERROR(((B19/B6)^(1/13)-1)*100,"..")</f>
        <v>-3.0041418112049856</v>
      </c>
      <c r="C23" s="297"/>
      <c r="D23" s="3"/>
    </row>
    <row r="24" spans="1:5">
      <c r="A24" s="295" t="s">
        <v>446</v>
      </c>
      <c r="B24" s="296">
        <f t="shared" ref="B24" si="1">IFERROR(((B13/B6)^(1/7)-1)*100,"..")</f>
        <v>-3.7814232314877794</v>
      </c>
      <c r="C24" s="297"/>
      <c r="D24" s="3"/>
    </row>
    <row r="25" spans="1:5">
      <c r="A25" s="300" t="s">
        <v>447</v>
      </c>
      <c r="B25" s="296">
        <f t="shared" ref="B25" si="2">IFERROR(((B19/B13)^(1/6)-1)*100,"..")</f>
        <v>-2.0893738426500441</v>
      </c>
      <c r="C25" s="297"/>
      <c r="D25" s="3"/>
    </row>
    <row r="26" spans="1:5" ht="8.25" customHeight="1">
      <c r="A26" s="297"/>
      <c r="B26" s="303"/>
      <c r="C26" s="297"/>
      <c r="D26" s="3"/>
    </row>
    <row r="27" spans="1:5">
      <c r="A27" s="297" t="s">
        <v>470</v>
      </c>
      <c r="B27" s="303"/>
      <c r="C27" s="297"/>
      <c r="D27" s="297"/>
      <c r="E27" s="293"/>
    </row>
    <row r="28" spans="1:5">
      <c r="A28" s="3"/>
      <c r="B28" s="298"/>
      <c r="C28" s="3"/>
      <c r="D28" s="3"/>
    </row>
    <row r="29" spans="1:5">
      <c r="A29" s="3"/>
      <c r="B29" s="298"/>
      <c r="C29" s="3"/>
      <c r="D29" s="3"/>
    </row>
  </sheetData>
  <mergeCells count="1">
    <mergeCell ref="A1:D1"/>
  </mergeCells>
  <printOptions gridLines="1"/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2"/>
  <sheetViews>
    <sheetView view="pageBreakPreview" zoomScaleNormal="100" zoomScaleSheetLayoutView="100" workbookViewId="0">
      <selection activeCell="K13" sqref="K13"/>
    </sheetView>
  </sheetViews>
  <sheetFormatPr defaultRowHeight="15"/>
  <cols>
    <col min="1" max="16384" width="9.140625" style="259"/>
  </cols>
  <sheetData>
    <row r="1" spans="1:20" s="447" customFormat="1">
      <c r="A1" s="461" t="s">
        <v>532</v>
      </c>
      <c r="B1" s="461"/>
      <c r="C1" s="461"/>
      <c r="D1" s="461"/>
      <c r="E1" s="461"/>
      <c r="F1" s="461"/>
      <c r="G1" s="452"/>
      <c r="H1" s="461" t="s">
        <v>533</v>
      </c>
      <c r="I1" s="461"/>
      <c r="J1" s="461"/>
      <c r="K1" s="461"/>
      <c r="L1" s="461"/>
      <c r="M1" s="461"/>
      <c r="N1" s="449"/>
      <c r="O1" s="461" t="s">
        <v>188</v>
      </c>
      <c r="P1" s="461"/>
      <c r="Q1" s="461"/>
      <c r="R1" s="461"/>
      <c r="S1" s="461"/>
      <c r="T1" s="461"/>
    </row>
    <row r="2" spans="1:20" s="447" customFormat="1" ht="75">
      <c r="A2" s="449"/>
      <c r="B2" s="450" t="s">
        <v>2</v>
      </c>
      <c r="C2" s="450" t="s">
        <v>223</v>
      </c>
      <c r="D2" s="450" t="s">
        <v>20</v>
      </c>
      <c r="E2" s="450" t="s">
        <v>4</v>
      </c>
      <c r="F2" s="450" t="s">
        <v>17</v>
      </c>
      <c r="G2" s="449"/>
      <c r="H2" s="449"/>
      <c r="I2" s="450" t="s">
        <v>2</v>
      </c>
      <c r="J2" s="450" t="s">
        <v>223</v>
      </c>
      <c r="K2" s="450" t="s">
        <v>20</v>
      </c>
      <c r="L2" s="450" t="s">
        <v>4</v>
      </c>
      <c r="M2" s="450" t="s">
        <v>17</v>
      </c>
      <c r="N2" s="449"/>
      <c r="O2" s="449"/>
      <c r="P2" s="450" t="s">
        <v>2</v>
      </c>
      <c r="Q2" s="450" t="s">
        <v>8</v>
      </c>
      <c r="R2" s="450" t="s">
        <v>20</v>
      </c>
      <c r="S2" s="450" t="s">
        <v>4</v>
      </c>
      <c r="T2" s="450" t="s">
        <v>5</v>
      </c>
    </row>
    <row r="3" spans="1:20" s="447" customFormat="1"/>
    <row r="4" spans="1:20" s="447" customFormat="1">
      <c r="A4" s="449" t="s">
        <v>68</v>
      </c>
      <c r="B4" s="451">
        <v>0.67008097461890559</v>
      </c>
      <c r="C4" s="451">
        <v>3.60814453009711</v>
      </c>
      <c r="D4" s="451">
        <v>3.6715614080088024</v>
      </c>
      <c r="E4" s="451">
        <v>4.5328396834092395</v>
      </c>
      <c r="F4" s="451">
        <v>2.1516428032030248</v>
      </c>
      <c r="G4" s="449"/>
      <c r="H4" s="449" t="s">
        <v>68</v>
      </c>
      <c r="I4" s="451">
        <v>0.25179938307003663</v>
      </c>
      <c r="J4" s="451">
        <v>9.6612290848932317E-2</v>
      </c>
      <c r="K4" s="451">
        <v>0.29076056406035816</v>
      </c>
      <c r="L4" s="451">
        <v>1.7536820074146702</v>
      </c>
      <c r="M4" s="451">
        <v>-0.99654715656268866</v>
      </c>
      <c r="N4" s="449"/>
      <c r="O4" s="449" t="s">
        <v>68</v>
      </c>
      <c r="P4" s="451">
        <v>0.92188035768894228</v>
      </c>
      <c r="Q4" s="451">
        <v>3.7047568209460424</v>
      </c>
      <c r="R4" s="451">
        <v>3.9623219720691605</v>
      </c>
      <c r="S4" s="451">
        <v>6.2865216908239097</v>
      </c>
      <c r="T4" s="451">
        <v>1.1550956466403361</v>
      </c>
    </row>
    <row r="5" spans="1:20" s="447" customFormat="1">
      <c r="A5" s="449" t="s">
        <v>69</v>
      </c>
      <c r="B5" s="451">
        <v>2.5804854486655593E-2</v>
      </c>
      <c r="C5" s="451">
        <v>3.6868679799996475</v>
      </c>
      <c r="D5" s="451">
        <v>9.2045164695374435</v>
      </c>
      <c r="E5" s="451">
        <v>2.944485090964013</v>
      </c>
      <c r="F5" s="451">
        <v>2.5670691721962098</v>
      </c>
      <c r="G5" s="449"/>
      <c r="H5" s="449" t="s">
        <v>69</v>
      </c>
      <c r="I5" s="451">
        <v>0.55104845899550625</v>
      </c>
      <c r="J5" s="451">
        <v>6.2699659099901411E-2</v>
      </c>
      <c r="K5" s="451">
        <v>0.78882914539756954</v>
      </c>
      <c r="L5" s="451">
        <v>6.9496044243353428E-2</v>
      </c>
      <c r="M5" s="451">
        <v>4.2075931791943293E-2</v>
      </c>
      <c r="N5" s="449"/>
      <c r="O5" s="449" t="s">
        <v>69</v>
      </c>
      <c r="P5" s="451">
        <v>0.57685331348216184</v>
      </c>
      <c r="Q5" s="451">
        <v>3.7495676390995492</v>
      </c>
      <c r="R5" s="451">
        <v>9.9933456149350128</v>
      </c>
      <c r="S5" s="451">
        <v>3.0139811352073664</v>
      </c>
      <c r="T5" s="451">
        <v>2.609145103988153</v>
      </c>
    </row>
    <row r="6" spans="1:20" s="447" customFormat="1">
      <c r="A6" s="449" t="s">
        <v>15</v>
      </c>
      <c r="B6" s="451">
        <v>0.37732725057856609</v>
      </c>
      <c r="C6" s="451">
        <v>3.6403466319604947</v>
      </c>
      <c r="D6" s="451">
        <v>5.9525120074960878</v>
      </c>
      <c r="E6" s="451">
        <v>3.9079639856362238</v>
      </c>
      <c r="F6" s="451">
        <v>2.2885353463210731</v>
      </c>
      <c r="G6" s="449"/>
      <c r="H6" s="449" t="s">
        <v>15</v>
      </c>
      <c r="I6" s="451">
        <v>0.38516302555680859</v>
      </c>
      <c r="J6" s="451">
        <v>8.5089699567037255E-2</v>
      </c>
      <c r="K6" s="451">
        <v>0.7511320460353893</v>
      </c>
      <c r="L6" s="451">
        <v>0.85543214662373201</v>
      </c>
      <c r="M6" s="451">
        <v>-0.46491816459472834</v>
      </c>
      <c r="N6" s="449"/>
      <c r="O6" s="449" t="s">
        <v>15</v>
      </c>
      <c r="P6" s="451">
        <v>0.76249027613537468</v>
      </c>
      <c r="Q6" s="451">
        <v>3.7254363315275318</v>
      </c>
      <c r="R6" s="451">
        <v>6.7036440535314767</v>
      </c>
      <c r="S6" s="451">
        <v>4.7633961322599561</v>
      </c>
      <c r="T6" s="451">
        <v>1.8236171817263447</v>
      </c>
    </row>
    <row r="7" spans="1:20" s="447" customFormat="1"/>
    <row r="8" spans="1:20" s="447" customFormat="1">
      <c r="A8" s="447" t="s">
        <v>534</v>
      </c>
    </row>
    <row r="9" spans="1:20" s="447" customFormat="1">
      <c r="A9" s="447" t="s">
        <v>535</v>
      </c>
    </row>
    <row r="10" spans="1:20" s="447" customFormat="1">
      <c r="A10" s="447" t="s">
        <v>536</v>
      </c>
    </row>
    <row r="11" spans="1:20" s="447" customFormat="1">
      <c r="A11" s="447" t="s">
        <v>537</v>
      </c>
    </row>
    <row r="12" spans="1:20" s="447" customFormat="1">
      <c r="A12" s="447" t="s">
        <v>538</v>
      </c>
    </row>
  </sheetData>
  <mergeCells count="3">
    <mergeCell ref="A1:F1"/>
    <mergeCell ref="H1:M1"/>
    <mergeCell ref="O1:T1"/>
  </mergeCells>
  <printOptions gridLines="1"/>
  <pageMargins left="0.7" right="0.7" top="0.75" bottom="0.75" header="0.3" footer="0.3"/>
  <pageSetup scale="49" fitToHeight="0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T30"/>
  <sheetViews>
    <sheetView view="pageBreakPreview" zoomScaleNormal="100" zoomScaleSheetLayoutView="100" workbookViewId="0">
      <selection activeCell="I20" sqref="I20"/>
    </sheetView>
  </sheetViews>
  <sheetFormatPr defaultRowHeight="15"/>
  <sheetData>
    <row r="1" spans="1:20">
      <c r="A1" s="461" t="s">
        <v>547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</row>
    <row r="2" spans="1:20">
      <c r="A2" s="461" t="s">
        <v>532</v>
      </c>
      <c r="B2" s="461"/>
      <c r="C2" s="461"/>
      <c r="D2" s="461"/>
      <c r="E2" s="461"/>
      <c r="F2" s="461"/>
      <c r="G2" s="430"/>
      <c r="H2" s="461" t="s">
        <v>533</v>
      </c>
      <c r="I2" s="461"/>
      <c r="J2" s="461"/>
      <c r="K2" s="461"/>
      <c r="L2" s="461"/>
      <c r="M2" s="461"/>
      <c r="N2" s="430"/>
      <c r="O2" s="461" t="s">
        <v>548</v>
      </c>
      <c r="P2" s="461"/>
      <c r="Q2" s="461"/>
      <c r="R2" s="461"/>
      <c r="S2" s="461"/>
      <c r="T2" s="461"/>
    </row>
    <row r="3" spans="1:20" ht="75">
      <c r="A3" s="429"/>
      <c r="B3" s="431" t="s">
        <v>2</v>
      </c>
      <c r="C3" s="431" t="s">
        <v>8</v>
      </c>
      <c r="D3" s="431" t="s">
        <v>20</v>
      </c>
      <c r="E3" s="431" t="s">
        <v>4</v>
      </c>
      <c r="F3" s="431" t="s">
        <v>5</v>
      </c>
      <c r="G3" s="429"/>
      <c r="H3" s="429"/>
      <c r="I3" s="431" t="s">
        <v>2</v>
      </c>
      <c r="J3" s="431" t="s">
        <v>8</v>
      </c>
      <c r="K3" s="431" t="s">
        <v>20</v>
      </c>
      <c r="L3" s="431" t="s">
        <v>4</v>
      </c>
      <c r="M3" s="431" t="s">
        <v>5</v>
      </c>
      <c r="N3" s="429"/>
      <c r="O3" s="429"/>
      <c r="P3" s="431" t="s">
        <v>2</v>
      </c>
      <c r="Q3" s="431" t="s">
        <v>8</v>
      </c>
      <c r="R3" s="431" t="s">
        <v>20</v>
      </c>
      <c r="S3" s="431" t="s">
        <v>4</v>
      </c>
      <c r="T3" s="431" t="s">
        <v>5</v>
      </c>
    </row>
    <row r="4" spans="1:20">
      <c r="A4" s="429">
        <v>1998</v>
      </c>
      <c r="B4" s="433">
        <v>1.9322951482876007</v>
      </c>
      <c r="C4" s="433" t="s">
        <v>9</v>
      </c>
      <c r="D4" s="433">
        <v>19.009583810614835</v>
      </c>
      <c r="E4" s="433">
        <v>8.2492004872513593</v>
      </c>
      <c r="F4" s="433" t="s">
        <v>9</v>
      </c>
      <c r="G4" s="429"/>
      <c r="H4" s="429">
        <v>1998</v>
      </c>
      <c r="I4" s="433">
        <v>-0.62488604810201487</v>
      </c>
      <c r="J4" s="433">
        <v>-1.1194105176553359</v>
      </c>
      <c r="K4" s="433">
        <v>-6.3275810550883005</v>
      </c>
      <c r="L4" s="433">
        <v>-3.7233633841099087</v>
      </c>
      <c r="M4" s="433">
        <v>0.87560356323764632</v>
      </c>
      <c r="N4" s="429"/>
      <c r="O4" s="429">
        <v>1998</v>
      </c>
      <c r="P4" s="433">
        <v>1.3074091001855859</v>
      </c>
      <c r="Q4" s="433">
        <v>2.0265553017269289</v>
      </c>
      <c r="R4" s="433">
        <v>12.682002755526533</v>
      </c>
      <c r="S4" s="433">
        <v>4.5258371031414502</v>
      </c>
      <c r="T4" s="434">
        <v>1.9951244336020357</v>
      </c>
    </row>
    <row r="5" spans="1:20">
      <c r="A5" s="429">
        <v>1999</v>
      </c>
      <c r="B5" s="433">
        <v>4.7223100808958272</v>
      </c>
      <c r="C5" s="433">
        <v>2.2137557143677027</v>
      </c>
      <c r="D5" s="433">
        <v>-0.69558556977454078</v>
      </c>
      <c r="E5" s="433">
        <v>-0.56731683223162355</v>
      </c>
      <c r="F5" s="433">
        <v>-1.1265569641524271</v>
      </c>
      <c r="G5" s="429"/>
      <c r="H5" s="429">
        <v>1999</v>
      </c>
      <c r="I5" s="433">
        <v>-0.57373091725902592</v>
      </c>
      <c r="J5" s="433">
        <v>-7.5895345090215658</v>
      </c>
      <c r="K5" s="433">
        <v>4.6712640477690117</v>
      </c>
      <c r="L5" s="433">
        <v>-3.3658941197074133</v>
      </c>
      <c r="M5" s="433">
        <v>-7.3144941512198391</v>
      </c>
      <c r="N5" s="429"/>
      <c r="O5" s="429">
        <v>1999</v>
      </c>
      <c r="P5" s="433">
        <v>4.1485791636368008</v>
      </c>
      <c r="Q5" s="433">
        <v>-5.3757787946538631</v>
      </c>
      <c r="R5" s="433">
        <v>3.9756784779944709</v>
      </c>
      <c r="S5" s="433">
        <v>-3.9332109519390368</v>
      </c>
      <c r="T5" s="434">
        <v>-8.4410511153722663</v>
      </c>
    </row>
    <row r="6" spans="1:20">
      <c r="A6" s="429">
        <v>2000</v>
      </c>
      <c r="B6" s="433">
        <v>3.6067044424279002</v>
      </c>
      <c r="C6" s="433">
        <v>16.583179575809986</v>
      </c>
      <c r="D6" s="433">
        <v>4.0467772826678683</v>
      </c>
      <c r="E6" s="433">
        <v>20.806601103803931</v>
      </c>
      <c r="F6" s="433">
        <v>14.124808740610556</v>
      </c>
      <c r="G6" s="429"/>
      <c r="H6" s="429">
        <v>2000</v>
      </c>
      <c r="I6" s="433">
        <v>-0.54494878312028128</v>
      </c>
      <c r="J6" s="433">
        <v>0.86057817459724417</v>
      </c>
      <c r="K6" s="433">
        <v>7.3113957942552155</v>
      </c>
      <c r="L6" s="433">
        <v>2.9607845815718434</v>
      </c>
      <c r="M6" s="433">
        <v>1.7427337579549673</v>
      </c>
      <c r="N6" s="429"/>
      <c r="O6" s="429">
        <v>2000</v>
      </c>
      <c r="P6" s="433">
        <v>3.0617556593076189</v>
      </c>
      <c r="Q6" s="433">
        <v>17.443757750407229</v>
      </c>
      <c r="R6" s="433">
        <v>11.358173076923084</v>
      </c>
      <c r="S6" s="433">
        <v>23.767385685375775</v>
      </c>
      <c r="T6" s="434">
        <v>15.867542498565523</v>
      </c>
    </row>
    <row r="7" spans="1:20">
      <c r="A7" s="429">
        <v>2001</v>
      </c>
      <c r="B7" s="433">
        <v>0.12007262276937193</v>
      </c>
      <c r="C7" s="433">
        <v>1.6894144466755812</v>
      </c>
      <c r="D7" s="433">
        <v>16.697134494239851</v>
      </c>
      <c r="E7" s="433">
        <v>4.1036486785949728</v>
      </c>
      <c r="F7" s="433">
        <v>0.59270419746240588</v>
      </c>
      <c r="G7" s="429"/>
      <c r="H7" s="429">
        <v>2001</v>
      </c>
      <c r="I7" s="433">
        <v>-0.11867629180875951</v>
      </c>
      <c r="J7" s="433">
        <v>-3.3296935475092226</v>
      </c>
      <c r="K7" s="433">
        <v>-10.117670058153838</v>
      </c>
      <c r="L7" s="433">
        <v>-5.0129708694517712</v>
      </c>
      <c r="M7" s="433">
        <v>-4.7602352717372387</v>
      </c>
      <c r="N7" s="429"/>
      <c r="O7" s="429">
        <v>2001</v>
      </c>
      <c r="P7" s="433">
        <v>1.3963309606124241E-3</v>
      </c>
      <c r="Q7" s="433">
        <v>-1.6402791008336415</v>
      </c>
      <c r="R7" s="433">
        <v>6.5794644360860133</v>
      </c>
      <c r="S7" s="433">
        <v>-0.90932219085679833</v>
      </c>
      <c r="T7" s="434">
        <v>-4.1675310742748328</v>
      </c>
    </row>
    <row r="8" spans="1:20">
      <c r="A8" s="429">
        <v>2002</v>
      </c>
      <c r="B8" s="433">
        <v>1.7139223199364095</v>
      </c>
      <c r="C8" s="433">
        <v>9.8698357802811039</v>
      </c>
      <c r="D8" s="433">
        <v>8.2785425736782425</v>
      </c>
      <c r="E8" s="433">
        <v>12.516501485581482</v>
      </c>
      <c r="F8" s="433">
        <v>7.793366319702967</v>
      </c>
      <c r="G8" s="429"/>
      <c r="H8" s="429">
        <v>2002</v>
      </c>
      <c r="I8" s="433">
        <v>-1.6453376962675022E-2</v>
      </c>
      <c r="J8" s="433">
        <v>-5.3166951071610322</v>
      </c>
      <c r="K8" s="433">
        <v>-2.6223634978491499</v>
      </c>
      <c r="L8" s="433">
        <v>-3.6409606954732667</v>
      </c>
      <c r="M8" s="433">
        <v>-5.5131578564115449</v>
      </c>
      <c r="N8" s="429"/>
      <c r="O8" s="429">
        <v>2002</v>
      </c>
      <c r="P8" s="433">
        <v>1.6974689429737344</v>
      </c>
      <c r="Q8" s="433">
        <v>4.5531406731200708</v>
      </c>
      <c r="R8" s="433">
        <v>5.6561790758290931</v>
      </c>
      <c r="S8" s="433">
        <v>8.8755407901082162</v>
      </c>
      <c r="T8" s="434">
        <v>2.2802084632914221</v>
      </c>
    </row>
    <row r="9" spans="1:20">
      <c r="A9" s="429">
        <v>2003</v>
      </c>
      <c r="B9" s="433">
        <v>0.33857837925604378</v>
      </c>
      <c r="C9" s="433">
        <v>5.3569009290537384</v>
      </c>
      <c r="D9" s="433">
        <v>-7.107988079850311</v>
      </c>
      <c r="E9" s="433">
        <v>7.1635078208204508</v>
      </c>
      <c r="F9" s="433">
        <v>6.4428551146905679</v>
      </c>
      <c r="G9" s="429"/>
      <c r="H9" s="429">
        <v>2003</v>
      </c>
      <c r="I9" s="433">
        <v>2.7154506402177172E-2</v>
      </c>
      <c r="J9" s="433">
        <v>-0.69914681372111476</v>
      </c>
      <c r="K9" s="433">
        <v>0.89789593863974493</v>
      </c>
      <c r="L9" s="433">
        <v>-1.132660477557782</v>
      </c>
      <c r="M9" s="433">
        <v>-0.40030080254410333</v>
      </c>
      <c r="N9" s="429"/>
      <c r="O9" s="429">
        <v>2003</v>
      </c>
      <c r="P9" s="433">
        <v>0.36573288565822093</v>
      </c>
      <c r="Q9" s="433">
        <v>4.6577541153326241</v>
      </c>
      <c r="R9" s="433">
        <v>-6.2100921412105663</v>
      </c>
      <c r="S9" s="433">
        <v>6.0308473432626686</v>
      </c>
      <c r="T9" s="434">
        <v>6.0425543121464642</v>
      </c>
    </row>
    <row r="10" spans="1:20">
      <c r="A10" s="429">
        <v>2004</v>
      </c>
      <c r="B10" s="433">
        <v>-3.1651483290890181E-2</v>
      </c>
      <c r="C10" s="433">
        <v>1.931241462059833</v>
      </c>
      <c r="D10" s="433">
        <v>1.4434440550425576</v>
      </c>
      <c r="E10" s="433">
        <v>-1.6508802333643509</v>
      </c>
      <c r="F10" s="433">
        <v>2.4581551838470022</v>
      </c>
      <c r="G10" s="429"/>
      <c r="H10" s="429">
        <v>2004</v>
      </c>
      <c r="I10" s="433">
        <v>-0.50101104022987586</v>
      </c>
      <c r="J10" s="433">
        <v>-2.9470287670720499</v>
      </c>
      <c r="K10" s="433">
        <v>-1.5954934765606099</v>
      </c>
      <c r="L10" s="433">
        <v>0.83717821982527607</v>
      </c>
      <c r="M10" s="433">
        <v>-3.9178004769807178</v>
      </c>
      <c r="N10" s="429"/>
      <c r="O10" s="429">
        <v>2004</v>
      </c>
      <c r="P10" s="433">
        <v>-0.53266252352076604</v>
      </c>
      <c r="Q10" s="433">
        <v>-1.0157873050122168</v>
      </c>
      <c r="R10" s="433">
        <v>-0.15204942151805234</v>
      </c>
      <c r="S10" s="433">
        <v>-0.8137020135390749</v>
      </c>
      <c r="T10" s="434">
        <v>-1.4596452931337156</v>
      </c>
    </row>
    <row r="11" spans="1:20">
      <c r="A11" s="429">
        <v>2005</v>
      </c>
      <c r="B11" s="433">
        <v>1.7283063942537966</v>
      </c>
      <c r="C11" s="433"/>
      <c r="D11" s="433">
        <v>7.0863743386730507</v>
      </c>
      <c r="E11" s="433">
        <v>-0.20251061631938505</v>
      </c>
      <c r="F11" s="433"/>
      <c r="G11" s="429"/>
      <c r="H11" s="429">
        <v>2005</v>
      </c>
      <c r="I11" s="433">
        <v>0.82798321092961835</v>
      </c>
      <c r="J11" s="433"/>
      <c r="K11" s="433">
        <v>0.27218424550588033</v>
      </c>
      <c r="L11" s="433">
        <v>8.2644782398762491</v>
      </c>
      <c r="M11" s="433"/>
      <c r="N11" s="429"/>
      <c r="O11" s="429">
        <v>2005</v>
      </c>
      <c r="P11" s="433">
        <v>2.556289605183415</v>
      </c>
      <c r="Q11" s="433">
        <v>4.0238112381473234</v>
      </c>
      <c r="R11" s="433">
        <v>7.3585585841789314</v>
      </c>
      <c r="S11" s="433">
        <v>8.061967623556864</v>
      </c>
      <c r="T11" s="434">
        <v>2.0066858489252493</v>
      </c>
    </row>
    <row r="12" spans="1:20">
      <c r="A12" s="429">
        <v>2006</v>
      </c>
      <c r="B12" s="433">
        <v>0.57043862889017727</v>
      </c>
      <c r="C12" s="433"/>
      <c r="D12" s="433">
        <v>-9.9369994115234679</v>
      </c>
      <c r="E12" s="433">
        <v>8.3948502746167275E-2</v>
      </c>
      <c r="F12" s="433"/>
      <c r="G12" s="429"/>
      <c r="H12" s="429">
        <v>2006</v>
      </c>
      <c r="I12" s="433">
        <v>0.692029409581987</v>
      </c>
      <c r="J12" s="433"/>
      <c r="K12" s="433">
        <v>-1.2493664076831543</v>
      </c>
      <c r="L12" s="433">
        <v>3.0954441292190604</v>
      </c>
      <c r="M12" s="433"/>
      <c r="N12" s="429"/>
      <c r="O12" s="429">
        <v>2006</v>
      </c>
      <c r="P12" s="433">
        <v>1.2624680384721643</v>
      </c>
      <c r="Q12" s="433">
        <v>-6.1701564582064989</v>
      </c>
      <c r="R12" s="433">
        <v>-11.186365819206623</v>
      </c>
      <c r="S12" s="433">
        <v>3.1793926319652277</v>
      </c>
      <c r="T12" s="434">
        <v>-9.0044135556698546</v>
      </c>
    </row>
    <row r="13" spans="1:20">
      <c r="A13" s="429">
        <v>2007</v>
      </c>
      <c r="B13" s="433">
        <v>-0.13919979687092143</v>
      </c>
      <c r="C13" s="433">
        <v>-3.0720672233826205</v>
      </c>
      <c r="D13" s="433">
        <v>22.479586918043438</v>
      </c>
      <c r="E13" s="433">
        <v>-7.4529618490247342</v>
      </c>
      <c r="F13" s="433">
        <v>1.1628579462906066</v>
      </c>
      <c r="G13" s="429"/>
      <c r="H13" s="429">
        <v>2007</v>
      </c>
      <c r="I13" s="433">
        <v>0.2643125607065212</v>
      </c>
      <c r="J13" s="433">
        <v>7.3430391101369805</v>
      </c>
      <c r="K13" s="433">
        <v>-19.120925933818757</v>
      </c>
      <c r="L13" s="433">
        <v>10.119992918676871</v>
      </c>
      <c r="M13" s="433">
        <v>3.1246234176937069</v>
      </c>
      <c r="N13" s="429"/>
      <c r="O13" s="429">
        <v>2007</v>
      </c>
      <c r="P13" s="433">
        <v>0.12511276383559977</v>
      </c>
      <c r="Q13" s="433">
        <v>4.27097188675436</v>
      </c>
      <c r="R13" s="433">
        <v>3.3586609842246817</v>
      </c>
      <c r="S13" s="433">
        <v>2.6670310696521371</v>
      </c>
      <c r="T13" s="434">
        <v>4.2874813639843135</v>
      </c>
    </row>
    <row r="14" spans="1:20">
      <c r="A14" s="429">
        <v>2008</v>
      </c>
      <c r="B14" s="433">
        <v>-1.1654956175093323</v>
      </c>
      <c r="C14" s="433">
        <v>-3.3632443572826403</v>
      </c>
      <c r="D14" s="433">
        <v>5.72119903952672</v>
      </c>
      <c r="E14" s="433">
        <v>-8.2522788316462616</v>
      </c>
      <c r="F14" s="433">
        <v>-0.97651451329863359</v>
      </c>
      <c r="G14" s="429"/>
      <c r="H14" s="429">
        <v>2008</v>
      </c>
      <c r="I14" s="433">
        <v>0.47685815683528582</v>
      </c>
      <c r="J14" s="433">
        <v>3.8117371255138415</v>
      </c>
      <c r="K14" s="433">
        <v>-4.0699128927453145</v>
      </c>
      <c r="L14" s="433">
        <v>7.5573977070951228</v>
      </c>
      <c r="M14" s="433">
        <v>0.77118176481399014</v>
      </c>
      <c r="N14" s="429"/>
      <c r="O14" s="429">
        <v>2008</v>
      </c>
      <c r="P14" s="433">
        <v>-0.68863746067404641</v>
      </c>
      <c r="Q14" s="433">
        <v>0.44849276823120121</v>
      </c>
      <c r="R14" s="433">
        <v>1.6512861467814055</v>
      </c>
      <c r="S14" s="433">
        <v>-0.69488112455113882</v>
      </c>
      <c r="T14" s="434">
        <v>-0.20533274848464345</v>
      </c>
    </row>
    <row r="15" spans="1:20">
      <c r="A15" s="429">
        <v>2009</v>
      </c>
      <c r="B15" s="433">
        <v>-0.75939198432937705</v>
      </c>
      <c r="C15" s="433">
        <v>-16.303239532040216</v>
      </c>
      <c r="D15" s="433">
        <v>39.838347988855531</v>
      </c>
      <c r="E15" s="433">
        <v>-20.886222969788388</v>
      </c>
      <c r="F15" s="433">
        <v>-11.937778563976742</v>
      </c>
      <c r="G15" s="429"/>
      <c r="H15" s="429">
        <v>2009</v>
      </c>
      <c r="I15" s="433">
        <v>1.7688179403359703</v>
      </c>
      <c r="J15" s="433">
        <v>10.766340584617252</v>
      </c>
      <c r="K15" s="433">
        <v>-34.797344927685366</v>
      </c>
      <c r="L15" s="433">
        <v>14.529434871602593</v>
      </c>
      <c r="M15" s="433">
        <v>2.7601045083470623</v>
      </c>
      <c r="N15" s="429"/>
      <c r="O15" s="429">
        <v>2009</v>
      </c>
      <c r="P15" s="433">
        <v>1.0094259560065932</v>
      </c>
      <c r="Q15" s="433">
        <v>-5.536898947422964</v>
      </c>
      <c r="R15" s="433">
        <v>5.0410030611701684</v>
      </c>
      <c r="S15" s="433">
        <v>-6.3567880981857954</v>
      </c>
      <c r="T15" s="434">
        <v>-9.1776740556296801</v>
      </c>
    </row>
    <row r="16" spans="1:20">
      <c r="A16" s="429">
        <v>2010</v>
      </c>
      <c r="B16" s="433">
        <v>1.3258591668949768</v>
      </c>
      <c r="C16" s="433">
        <v>13.013871388003736</v>
      </c>
      <c r="D16" s="433">
        <v>-6.7864636195690133</v>
      </c>
      <c r="E16" s="433">
        <v>7.1601652857142675</v>
      </c>
      <c r="F16" s="433">
        <v>15.621246262179096</v>
      </c>
      <c r="G16" s="429"/>
      <c r="H16" s="429">
        <v>2010</v>
      </c>
      <c r="I16" s="433">
        <v>-0.11135537160335519</v>
      </c>
      <c r="J16" s="433">
        <v>-5.7199297859736831</v>
      </c>
      <c r="K16" s="433">
        <v>10.98653947231519</v>
      </c>
      <c r="L16" s="433">
        <v>-8.0864568332698141</v>
      </c>
      <c r="M16" s="433">
        <v>-1.180476323126683</v>
      </c>
      <c r="N16" s="429"/>
      <c r="O16" s="429">
        <v>2010</v>
      </c>
      <c r="P16" s="433">
        <v>1.2145037952916216</v>
      </c>
      <c r="Q16" s="433">
        <v>7.2939416020300518</v>
      </c>
      <c r="R16" s="433">
        <v>4.2000758527461768</v>
      </c>
      <c r="S16" s="433">
        <v>-0.92629154755554666</v>
      </c>
      <c r="T16" s="434">
        <v>14.440769939052412</v>
      </c>
    </row>
    <row r="17" spans="1:20">
      <c r="A17" s="429">
        <v>2011</v>
      </c>
      <c r="B17" s="433">
        <v>0.65720002707869651</v>
      </c>
      <c r="C17" s="433">
        <v>2.037009230887203</v>
      </c>
      <c r="D17" s="433">
        <v>-34.686143750583568</v>
      </c>
      <c r="E17" s="433">
        <v>-1.0934708958961517</v>
      </c>
      <c r="F17" s="433">
        <v>1.9683726287338326</v>
      </c>
      <c r="G17" s="429"/>
      <c r="H17" s="429">
        <v>2011</v>
      </c>
      <c r="I17" s="433">
        <v>7.8734397978680749E-3</v>
      </c>
      <c r="J17" s="433">
        <v>-6.3165804990404064</v>
      </c>
      <c r="K17" s="433">
        <v>19.877696733393826</v>
      </c>
      <c r="L17" s="433">
        <v>0.15668041691534262</v>
      </c>
      <c r="M17" s="433">
        <v>-7.120458101069798</v>
      </c>
      <c r="N17" s="429"/>
      <c r="O17" s="429">
        <v>2011</v>
      </c>
      <c r="P17" s="433">
        <v>0.66507346687656455</v>
      </c>
      <c r="Q17" s="433">
        <v>-4.2795712681532034</v>
      </c>
      <c r="R17" s="433">
        <v>-14.80844701718974</v>
      </c>
      <c r="S17" s="433">
        <v>-0.93679047898080903</v>
      </c>
      <c r="T17" s="434">
        <v>-5.1520854723359655</v>
      </c>
    </row>
    <row r="18" spans="1:20">
      <c r="A18" s="428"/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</row>
    <row r="19" spans="1:20">
      <c r="A19" s="461" t="s">
        <v>532</v>
      </c>
      <c r="B19" s="461"/>
      <c r="C19" s="461"/>
      <c r="D19" s="461"/>
      <c r="E19" s="461"/>
      <c r="F19" s="461"/>
      <c r="G19" s="430"/>
      <c r="H19" s="461" t="s">
        <v>533</v>
      </c>
      <c r="I19" s="461"/>
      <c r="J19" s="461"/>
      <c r="K19" s="461"/>
      <c r="L19" s="461"/>
      <c r="M19" s="461"/>
      <c r="N19" s="429"/>
      <c r="O19" s="461" t="s">
        <v>188</v>
      </c>
      <c r="P19" s="461"/>
      <c r="Q19" s="461"/>
      <c r="R19" s="461"/>
      <c r="S19" s="461"/>
      <c r="T19" s="461"/>
    </row>
    <row r="20" spans="1:20" ht="75">
      <c r="A20" s="429"/>
      <c r="B20" s="431" t="s">
        <v>2</v>
      </c>
      <c r="C20" s="431" t="s">
        <v>223</v>
      </c>
      <c r="D20" s="431" t="s">
        <v>20</v>
      </c>
      <c r="E20" s="431" t="s">
        <v>4</v>
      </c>
      <c r="F20" s="431" t="s">
        <v>17</v>
      </c>
      <c r="G20" s="429"/>
      <c r="H20" s="429"/>
      <c r="I20" s="431" t="s">
        <v>2</v>
      </c>
      <c r="J20" s="431" t="s">
        <v>223</v>
      </c>
      <c r="K20" s="431" t="s">
        <v>20</v>
      </c>
      <c r="L20" s="431" t="s">
        <v>4</v>
      </c>
      <c r="M20" s="431" t="s">
        <v>17</v>
      </c>
      <c r="N20" s="429"/>
      <c r="O20" s="429"/>
      <c r="P20" s="431" t="s">
        <v>2</v>
      </c>
      <c r="Q20" s="431" t="s">
        <v>8</v>
      </c>
      <c r="R20" s="431" t="s">
        <v>20</v>
      </c>
      <c r="S20" s="431" t="s">
        <v>4</v>
      </c>
      <c r="T20" s="431" t="s">
        <v>5</v>
      </c>
    </row>
    <row r="21" spans="1:20">
      <c r="A21" s="428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8"/>
    </row>
    <row r="22" spans="1:20">
      <c r="A22" s="429" t="s">
        <v>68</v>
      </c>
      <c r="B22" s="432">
        <v>0.61184637010503662</v>
      </c>
      <c r="C22" s="432">
        <v>1.6394622213581624</v>
      </c>
      <c r="D22" s="432">
        <v>4.2378483400753773</v>
      </c>
      <c r="E22" s="432">
        <v>2.1774953440336997</v>
      </c>
      <c r="F22" s="432">
        <v>1.5031158157201432</v>
      </c>
      <c r="G22" s="429"/>
      <c r="H22" s="429" t="s">
        <v>68</v>
      </c>
      <c r="I22" s="432">
        <v>0.16535276723967185</v>
      </c>
      <c r="J22" s="432">
        <v>-0.47722789489766393</v>
      </c>
      <c r="K22" s="432">
        <v>-3.6861164490282863</v>
      </c>
      <c r="L22" s="432">
        <v>1.6280499397479753</v>
      </c>
      <c r="M22" s="432">
        <v>-1.6254158641623797</v>
      </c>
      <c r="N22" s="429"/>
      <c r="O22" s="429" t="s">
        <v>68</v>
      </c>
      <c r="P22" s="432">
        <v>0.77719913734470847</v>
      </c>
      <c r="Q22" s="432">
        <v>1.1622343264604984</v>
      </c>
      <c r="R22" s="432">
        <v>0.55173189104709142</v>
      </c>
      <c r="S22" s="432">
        <v>3.805545283781675</v>
      </c>
      <c r="T22" s="432">
        <v>-0.12230004844223652</v>
      </c>
    </row>
    <row r="23" spans="1:20">
      <c r="A23" s="429" t="s">
        <v>28</v>
      </c>
      <c r="B23" s="432">
        <v>7.1213789943178618E-3</v>
      </c>
      <c r="C23" s="432">
        <v>-1.0249610258664168</v>
      </c>
      <c r="D23" s="432">
        <v>0.12116465730459414</v>
      </c>
      <c r="E23" s="432">
        <v>-5.3149197650914459</v>
      </c>
      <c r="F23" s="432">
        <v>0.83932677131016198</v>
      </c>
      <c r="G23" s="429"/>
      <c r="H23" s="429" t="s">
        <v>28</v>
      </c>
      <c r="I23" s="432">
        <v>0.54022241681235839</v>
      </c>
      <c r="J23" s="432">
        <v>0.38147937993905939</v>
      </c>
      <c r="K23" s="432">
        <v>-1.451403455945631</v>
      </c>
      <c r="L23" s="432">
        <v>3.0565746115770942</v>
      </c>
      <c r="M23" s="432">
        <v>-1.2467135771876474</v>
      </c>
      <c r="N23" s="429"/>
      <c r="O23" s="429" t="s">
        <v>28</v>
      </c>
      <c r="P23" s="432">
        <v>0.54734379580667625</v>
      </c>
      <c r="Q23" s="432">
        <v>-0.64348164592735735</v>
      </c>
      <c r="R23" s="432">
        <v>-1.3302387986410369</v>
      </c>
      <c r="S23" s="432">
        <v>-2.2583451535143517</v>
      </c>
      <c r="T23" s="432">
        <v>-0.40738680587748544</v>
      </c>
    </row>
    <row r="24" spans="1:20">
      <c r="A24" s="429" t="s">
        <v>364</v>
      </c>
      <c r="B24" s="432">
        <v>0.39431359573325625</v>
      </c>
      <c r="C24" s="432">
        <v>0.66609633624474318</v>
      </c>
      <c r="D24" s="432">
        <v>2.9603813547874838</v>
      </c>
      <c r="E24" s="432">
        <v>-0.58834245230353677</v>
      </c>
      <c r="F24" s="432">
        <v>1.2644824950643954</v>
      </c>
      <c r="G24" s="429"/>
      <c r="H24" s="429" t="s">
        <v>364</v>
      </c>
      <c r="I24" s="432">
        <v>0.29924104726550532</v>
      </c>
      <c r="J24" s="432">
        <v>-0.16425200541904728</v>
      </c>
      <c r="K24" s="432">
        <v>-3.0971200491124287</v>
      </c>
      <c r="L24" s="432">
        <v>2.1464932514207895</v>
      </c>
      <c r="M24" s="432">
        <v>-1.4905447538765828</v>
      </c>
      <c r="N24" s="429"/>
      <c r="O24" s="429" t="s">
        <v>364</v>
      </c>
      <c r="P24" s="432">
        <v>0.69355464299876157</v>
      </c>
      <c r="Q24" s="432">
        <v>0.50184433082569591</v>
      </c>
      <c r="R24" s="432">
        <v>-0.1367386943249449</v>
      </c>
      <c r="S24" s="432">
        <v>1.5581507991172527</v>
      </c>
      <c r="T24" s="432">
        <v>-0.22606225881218744</v>
      </c>
    </row>
    <row r="25" spans="1:20">
      <c r="A25" s="428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8"/>
      <c r="S25" s="428"/>
      <c r="T25" s="428"/>
    </row>
    <row r="26" spans="1:20">
      <c r="A26" s="429" t="s">
        <v>534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</row>
    <row r="27" spans="1:20">
      <c r="A27" s="429" t="s">
        <v>535</v>
      </c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</row>
    <row r="28" spans="1:20">
      <c r="A28" s="429" t="s">
        <v>536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</row>
    <row r="29" spans="1:20">
      <c r="A29" s="429" t="s">
        <v>537</v>
      </c>
      <c r="B29" s="429"/>
      <c r="C29" s="429"/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</row>
    <row r="30" spans="1:20">
      <c r="A30" s="429" t="s">
        <v>538</v>
      </c>
      <c r="B30" s="429"/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</row>
  </sheetData>
  <mergeCells count="7">
    <mergeCell ref="A1:T1"/>
    <mergeCell ref="A2:F2"/>
    <mergeCell ref="H2:M2"/>
    <mergeCell ref="O2:T2"/>
    <mergeCell ref="A19:F19"/>
    <mergeCell ref="H19:M19"/>
    <mergeCell ref="O19:T19"/>
  </mergeCell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AU58"/>
  <sheetViews>
    <sheetView view="pageBreakPreview" topLeftCell="A10" zoomScale="75" zoomScaleNormal="85" zoomScaleSheetLayoutView="75" workbookViewId="0">
      <selection activeCell="S36" sqref="S36"/>
    </sheetView>
  </sheetViews>
  <sheetFormatPr defaultRowHeight="15"/>
  <cols>
    <col min="1" max="1" width="9.140625" style="259"/>
    <col min="2" max="2" width="4.85546875" style="259" bestFit="1" customWidth="1"/>
    <col min="3" max="3" width="9.140625" style="344"/>
    <col min="4" max="12" width="9.140625" style="347"/>
    <col min="13" max="13" width="9.140625" style="315"/>
    <col min="14" max="14" width="4.85546875" style="315" bestFit="1" customWidth="1"/>
    <col min="15" max="25" width="9.140625" style="315"/>
    <col min="26" max="26" width="4.85546875" style="315" bestFit="1" customWidth="1"/>
    <col min="27" max="27" width="9.140625" style="315"/>
    <col min="28" max="28" width="9.28515625" style="315" customWidth="1"/>
    <col min="29" max="32" width="9.140625" style="315"/>
    <col min="33" max="37" width="9.140625" style="259"/>
    <col min="38" max="38" width="4.85546875" style="259" bestFit="1" customWidth="1"/>
    <col min="39" max="16384" width="9.140625" style="259"/>
  </cols>
  <sheetData>
    <row r="1" spans="1:47">
      <c r="A1" s="461" t="s">
        <v>604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</row>
    <row r="2" spans="1:47" ht="135">
      <c r="A2" s="223"/>
      <c r="C2" s="343" t="s">
        <v>2</v>
      </c>
      <c r="D2" s="343" t="s">
        <v>223</v>
      </c>
      <c r="E2" s="343" t="s">
        <v>3</v>
      </c>
      <c r="F2" s="343" t="s">
        <v>4</v>
      </c>
      <c r="G2" s="343" t="s">
        <v>36</v>
      </c>
      <c r="H2" s="343" t="s">
        <v>37</v>
      </c>
      <c r="I2" s="343" t="s">
        <v>38</v>
      </c>
      <c r="J2" s="343" t="s">
        <v>5</v>
      </c>
      <c r="K2" s="343" t="s">
        <v>6</v>
      </c>
      <c r="L2" s="343" t="s">
        <v>7</v>
      </c>
      <c r="M2" s="317"/>
      <c r="N2" s="215"/>
      <c r="O2" s="321" t="s">
        <v>2</v>
      </c>
      <c r="P2" s="321" t="s">
        <v>223</v>
      </c>
      <c r="Q2" s="321" t="s">
        <v>20</v>
      </c>
      <c r="R2" s="321" t="s">
        <v>4</v>
      </c>
      <c r="S2" s="321" t="s">
        <v>36</v>
      </c>
      <c r="T2" s="321" t="s">
        <v>37</v>
      </c>
      <c r="U2" s="321" t="s">
        <v>38</v>
      </c>
      <c r="V2" s="321" t="s">
        <v>5</v>
      </c>
      <c r="W2" s="321" t="s">
        <v>6</v>
      </c>
      <c r="X2" s="321" t="s">
        <v>7</v>
      </c>
      <c r="Y2" s="317"/>
      <c r="Z2" s="211"/>
      <c r="AA2" s="321" t="s">
        <v>2</v>
      </c>
      <c r="AB2" s="321" t="s">
        <v>223</v>
      </c>
      <c r="AC2" s="321" t="s">
        <v>20</v>
      </c>
      <c r="AD2" s="321" t="s">
        <v>4</v>
      </c>
      <c r="AE2" s="321" t="s">
        <v>36</v>
      </c>
      <c r="AF2" s="321" t="s">
        <v>37</v>
      </c>
      <c r="AG2" s="94" t="s">
        <v>38</v>
      </c>
      <c r="AH2" s="321" t="s">
        <v>5</v>
      </c>
      <c r="AI2" s="321" t="s">
        <v>6</v>
      </c>
      <c r="AJ2" s="321" t="s">
        <v>7</v>
      </c>
      <c r="AM2" s="323" t="s">
        <v>2</v>
      </c>
      <c r="AN2" s="323" t="s">
        <v>20</v>
      </c>
      <c r="AO2" s="323" t="s">
        <v>4</v>
      </c>
      <c r="AP2" s="323" t="s">
        <v>17</v>
      </c>
      <c r="AQ2" s="323" t="s">
        <v>2</v>
      </c>
      <c r="AR2" s="323" t="s">
        <v>20</v>
      </c>
      <c r="AS2" s="323" t="s">
        <v>4</v>
      </c>
      <c r="AT2" s="323" t="s">
        <v>17</v>
      </c>
      <c r="AU2" s="139"/>
    </row>
    <row r="3" spans="1:47">
      <c r="A3" s="461" t="s">
        <v>161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84"/>
      <c r="M3" s="473" t="s">
        <v>187</v>
      </c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85"/>
      <c r="Y3" s="486" t="s">
        <v>188</v>
      </c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L3" s="279"/>
      <c r="AM3" s="487" t="s">
        <v>189</v>
      </c>
      <c r="AN3" s="487"/>
      <c r="AO3" s="487"/>
      <c r="AP3" s="487"/>
      <c r="AQ3" s="487" t="s">
        <v>382</v>
      </c>
      <c r="AR3" s="487"/>
      <c r="AS3" s="487"/>
      <c r="AT3" s="487"/>
      <c r="AU3" s="139"/>
    </row>
    <row r="4" spans="1:47">
      <c r="A4" s="488" t="s">
        <v>68</v>
      </c>
      <c r="B4" s="347" t="s">
        <v>383</v>
      </c>
      <c r="C4" s="304">
        <f>'18A'!L21</f>
        <v>2.4650881265007474</v>
      </c>
      <c r="D4" s="304">
        <f>'18A'!M21</f>
        <v>-6.7822233605374649E-2</v>
      </c>
      <c r="E4" s="304">
        <f>'18A'!N21</f>
        <v>-0.65485292811244822</v>
      </c>
      <c r="F4" s="304">
        <f>'18A'!O21</f>
        <v>1.4801018198947524</v>
      </c>
      <c r="G4" s="304">
        <f>'18A'!P21</f>
        <v>-0.20628123318964242</v>
      </c>
      <c r="H4" s="304">
        <f>'18A'!Q21</f>
        <v>3.7905889071234267</v>
      </c>
      <c r="I4" s="304">
        <f>'18A'!R21</f>
        <v>2.3356507651097091</v>
      </c>
      <c r="J4" s="304">
        <f>'18A'!S21</f>
        <v>-1.2493938354723233</v>
      </c>
      <c r="K4" s="304">
        <f>'18A'!T21</f>
        <v>-1.3040359401811918</v>
      </c>
      <c r="L4" s="304">
        <f>'18A'!U21</f>
        <v>-0.19702313360658863</v>
      </c>
      <c r="M4" s="488" t="s">
        <v>68</v>
      </c>
      <c r="N4" s="354" t="s">
        <v>383</v>
      </c>
      <c r="O4" s="282">
        <f>'19A'!B32</f>
        <v>1.4967055302166798</v>
      </c>
      <c r="P4" s="282">
        <f>'19A'!C32</f>
        <v>-3.1837312242601556</v>
      </c>
      <c r="Q4" s="282">
        <f>'19A'!D32</f>
        <v>-3.9070803805854148</v>
      </c>
      <c r="R4" s="282">
        <f>'19A'!E32</f>
        <v>-3.4445637190670508</v>
      </c>
      <c r="S4" s="282">
        <f>'19A'!F32</f>
        <v>-5.9665744076800031</v>
      </c>
      <c r="T4" s="282">
        <f>'19A'!G32</f>
        <v>-4.6840060023489283</v>
      </c>
      <c r="U4" s="282">
        <f>'19A'!H32</f>
        <v>0.36003613181843086</v>
      </c>
      <c r="V4" s="282">
        <f>'19A'!I32</f>
        <v>-2.33017532769485</v>
      </c>
      <c r="W4" s="282">
        <f>'19A'!J32</f>
        <v>-3.492201020031882</v>
      </c>
      <c r="X4" s="282">
        <f>'19A'!K32</f>
        <v>-0.54698065195176726</v>
      </c>
      <c r="Y4" s="488" t="s">
        <v>68</v>
      </c>
      <c r="Z4" s="354" t="s">
        <v>383</v>
      </c>
      <c r="AA4" s="357">
        <f>'20A'!B20</f>
        <v>0.95410249152940718</v>
      </c>
      <c r="AB4" s="357">
        <f>'20A'!C20</f>
        <v>3.2183733478433396</v>
      </c>
      <c r="AC4" s="357">
        <f>'20A'!D20</f>
        <v>3.3844610668025688</v>
      </c>
      <c r="AD4" s="357">
        <f>'20A'!E20</f>
        <v>5.100350356900929</v>
      </c>
      <c r="AE4" s="357">
        <f>'20A'!F20</f>
        <v>6.1257931828028855</v>
      </c>
      <c r="AF4" s="357">
        <f>'20A'!G20</f>
        <v>8.8910523344919454</v>
      </c>
      <c r="AG4" s="357">
        <f>'20A'!H20</f>
        <v>1.9685272240201224</v>
      </c>
      <c r="AH4" s="357">
        <f>'20A'!I20</f>
        <v>1.1065664301627365</v>
      </c>
      <c r="AI4" s="357">
        <f>'20A'!J20</f>
        <v>2.2673453368311502</v>
      </c>
      <c r="AJ4" s="357">
        <f>'20A'!K20</f>
        <v>0.35188224614925989</v>
      </c>
      <c r="AK4" s="488" t="s">
        <v>68</v>
      </c>
      <c r="AL4" s="354" t="s">
        <v>383</v>
      </c>
      <c r="AM4" s="357">
        <f>'21A'!B21</f>
        <v>2.4664546230706907</v>
      </c>
      <c r="AN4" s="357">
        <f>'21A'!C21</f>
        <v>-2.4540757629317511</v>
      </c>
      <c r="AO4" s="357">
        <f>'21A'!D21</f>
        <v>-0.99985431919523693</v>
      </c>
      <c r="AP4" s="357">
        <f>'21A'!E21</f>
        <v>-4.94982271564065</v>
      </c>
      <c r="AQ4" s="357">
        <f>'21A'!F21</f>
        <v>-1.333603836473074E-3</v>
      </c>
      <c r="AR4" s="357">
        <f>'21A'!G21</f>
        <v>2.446287272369263</v>
      </c>
      <c r="AS4" s="357">
        <f>'21A'!H21</f>
        <v>0.34848574081409733</v>
      </c>
      <c r="AT4" s="357">
        <f>'21A'!I21</f>
        <v>6.764768587752501</v>
      </c>
      <c r="AU4" s="139"/>
    </row>
    <row r="5" spans="1:47">
      <c r="A5" s="488"/>
      <c r="B5" s="334" t="s">
        <v>384</v>
      </c>
      <c r="C5" s="214">
        <f>'18B'!L$21</f>
        <v>5.0517486513284693</v>
      </c>
      <c r="D5" s="214" t="str">
        <f>'18B'!M$21</f>
        <v>..</v>
      </c>
      <c r="E5" s="214">
        <f>'18B'!N$21</f>
        <v>-3.0224762555718043</v>
      </c>
      <c r="F5" s="214">
        <f>'18B'!O$21</f>
        <v>-3.6444976143520824</v>
      </c>
      <c r="G5" s="214" t="str">
        <f>'18B'!P$21</f>
        <v>..</v>
      </c>
      <c r="H5" s="214" t="str">
        <f>'18B'!Q$21</f>
        <v>..</v>
      </c>
      <c r="I5" s="214" t="str">
        <f>'18B'!R$21</f>
        <v>..</v>
      </c>
      <c r="J5" s="214" t="str">
        <f>'18B'!S$21</f>
        <v>..</v>
      </c>
      <c r="K5" s="214" t="str">
        <f>'18B'!T$21</f>
        <v>..</v>
      </c>
      <c r="L5" s="214" t="str">
        <f>'18B'!U$21</f>
        <v>..</v>
      </c>
      <c r="M5" s="488"/>
      <c r="N5" s="349" t="s">
        <v>384</v>
      </c>
      <c r="O5" s="282">
        <f>'19B'!B$32</f>
        <v>1.0425805394854049</v>
      </c>
      <c r="P5" s="282" t="str">
        <f>'19B'!C32</f>
        <v>..</v>
      </c>
      <c r="Q5" s="282">
        <f>'19B'!D32</f>
        <v>-6.8625283379918471</v>
      </c>
      <c r="R5" s="282">
        <f>'19B'!E32</f>
        <v>-9.7613028012090926</v>
      </c>
      <c r="S5" s="282" t="str">
        <f>'19B'!F32</f>
        <v>..</v>
      </c>
      <c r="T5" s="282" t="str">
        <f>'19B'!G32</f>
        <v>..</v>
      </c>
      <c r="U5" s="282" t="str">
        <f>'19B'!H32</f>
        <v>..</v>
      </c>
      <c r="V5" s="282" t="str">
        <f>'19B'!I32</f>
        <v>..</v>
      </c>
      <c r="W5" s="282" t="str">
        <f>'19B'!J32</f>
        <v>..</v>
      </c>
      <c r="X5" s="282" t="str">
        <f>'19B'!K32</f>
        <v>..</v>
      </c>
      <c r="Y5" s="488"/>
      <c r="Z5" s="349" t="s">
        <v>384</v>
      </c>
      <c r="AA5" s="357">
        <f>'20B'!B$20</f>
        <v>3.967800594994042</v>
      </c>
      <c r="AB5" s="357" t="str">
        <f>'20B'!C$20</f>
        <v>..</v>
      </c>
      <c r="AC5" s="357">
        <f>'20B'!D$20</f>
        <v>4.1229936929739974</v>
      </c>
      <c r="AD5" s="357">
        <f>'20B'!E$20</f>
        <v>6.7784724034546162</v>
      </c>
      <c r="AE5" s="357" t="str">
        <f>'20B'!F$20</f>
        <v>..</v>
      </c>
      <c r="AF5" s="357" t="str">
        <f>'20B'!G$20</f>
        <v>..</v>
      </c>
      <c r="AG5" s="357" t="str">
        <f>'20B'!H$20</f>
        <v>..</v>
      </c>
      <c r="AH5" s="357" t="str">
        <f>'20B'!I$20</f>
        <v>..</v>
      </c>
      <c r="AI5" s="357" t="str">
        <f>'20B'!J$20</f>
        <v>..</v>
      </c>
      <c r="AJ5" s="357" t="str">
        <f>'20B'!K$20</f>
        <v>..</v>
      </c>
      <c r="AK5" s="488"/>
      <c r="AL5" s="349" t="s">
        <v>384</v>
      </c>
      <c r="AM5" s="357">
        <f>'21B'!B$21</f>
        <v>0.57333954141540744</v>
      </c>
      <c r="AN5" s="357" t="str">
        <f>'21B'!C$21</f>
        <v>x</v>
      </c>
      <c r="AO5" s="357" t="str">
        <f>'21B'!D$21</f>
        <v>x</v>
      </c>
      <c r="AP5" s="357" t="str">
        <f>'21B'!E$21</f>
        <v>x</v>
      </c>
      <c r="AQ5" s="357">
        <f>'21B'!F$21</f>
        <v>4.4528789939095814</v>
      </c>
      <c r="AR5" s="357" t="str">
        <f>'21B'!G$21</f>
        <v>x</v>
      </c>
      <c r="AS5" s="357" t="str">
        <f>'21B'!H$21</f>
        <v>x</v>
      </c>
      <c r="AT5" s="357" t="str">
        <f>'21B'!I$21</f>
        <v>x</v>
      </c>
      <c r="AU5" s="139"/>
    </row>
    <row r="6" spans="1:47">
      <c r="A6" s="488"/>
      <c r="B6" s="334" t="s">
        <v>385</v>
      </c>
      <c r="C6" s="214">
        <f>'18C'!L$21</f>
        <v>2.3533279098396642</v>
      </c>
      <c r="D6" s="214" t="str">
        <f>'18C'!M$21</f>
        <v>..</v>
      </c>
      <c r="E6" s="214">
        <f>'18C'!N$21</f>
        <v>-1.8587369970430423</v>
      </c>
      <c r="F6" s="214" t="str">
        <f>'18C'!O$21</f>
        <v>..</v>
      </c>
      <c r="G6" s="214" t="str">
        <f>'18C'!P$21</f>
        <v>..</v>
      </c>
      <c r="H6" s="214" t="str">
        <f>'18C'!Q$21</f>
        <v>..</v>
      </c>
      <c r="I6" s="214" t="str">
        <f>'18C'!R$21</f>
        <v>..</v>
      </c>
      <c r="J6" s="214" t="str">
        <f>'18C'!S$21</f>
        <v>..</v>
      </c>
      <c r="K6" s="214" t="str">
        <f>'18C'!T$21</f>
        <v>..</v>
      </c>
      <c r="L6" s="214" t="str">
        <f>'18C'!U$21</f>
        <v>..</v>
      </c>
      <c r="M6" s="488"/>
      <c r="N6" s="349" t="s">
        <v>385</v>
      </c>
      <c r="O6" s="282">
        <f>'19C'!B$32</f>
        <v>0.64830650448899352</v>
      </c>
      <c r="P6" s="282" t="str">
        <f>'19C'!C$32</f>
        <v>..</v>
      </c>
      <c r="Q6" s="282">
        <f>'19C'!D$32</f>
        <v>-16.546331673345271</v>
      </c>
      <c r="R6" s="282" t="str">
        <f>'19C'!E$32</f>
        <v>..</v>
      </c>
      <c r="S6" s="282" t="str">
        <f>'19C'!F$32</f>
        <v>..</v>
      </c>
      <c r="T6" s="282" t="str">
        <f>'19C'!G$32</f>
        <v>..</v>
      </c>
      <c r="U6" s="282" t="str">
        <f>'19C'!H$32</f>
        <v>..</v>
      </c>
      <c r="V6" s="282" t="str">
        <f>'19C'!I$32</f>
        <v>..</v>
      </c>
      <c r="W6" s="282" t="str">
        <f>'19C'!J$32</f>
        <v>..</v>
      </c>
      <c r="X6" s="282" t="str">
        <f>'19C'!K$32</f>
        <v>..</v>
      </c>
      <c r="Y6" s="488"/>
      <c r="Z6" s="349" t="s">
        <v>385</v>
      </c>
      <c r="AA6" s="357">
        <f>'20C'!B$20</f>
        <v>1.6940388413535956</v>
      </c>
      <c r="AB6" s="357" t="str">
        <f>'20C'!C$20</f>
        <v>..</v>
      </c>
      <c r="AC6" s="357">
        <f>'20C'!D$20</f>
        <v>17.599699295196913</v>
      </c>
      <c r="AD6" s="357" t="str">
        <f>'20C'!E$20</f>
        <v>..</v>
      </c>
      <c r="AE6" s="357" t="str">
        <f>'20C'!F$20</f>
        <v>..</v>
      </c>
      <c r="AF6" s="357" t="str">
        <f>'20C'!G$20</f>
        <v>..</v>
      </c>
      <c r="AG6" s="357" t="str">
        <f>'20C'!H$20</f>
        <v>..</v>
      </c>
      <c r="AH6" s="357" t="str">
        <f>'20C'!I$20</f>
        <v>..</v>
      </c>
      <c r="AI6" s="357" t="str">
        <f>'20C'!J$20</f>
        <v>..</v>
      </c>
      <c r="AJ6" s="357" t="str">
        <f>'20C'!K$20</f>
        <v>..</v>
      </c>
      <c r="AK6" s="488"/>
      <c r="AL6" s="349" t="s">
        <v>385</v>
      </c>
      <c r="AM6" s="357">
        <f>'21C'!B$21</f>
        <v>2.2122756412218836</v>
      </c>
      <c r="AN6" s="357" t="str">
        <f>'21C'!C$21</f>
        <v>x</v>
      </c>
      <c r="AO6" s="357" t="str">
        <f>'21C'!D$21</f>
        <v>x</v>
      </c>
      <c r="AP6" s="357" t="str">
        <f>'21C'!E$21</f>
        <v>x</v>
      </c>
      <c r="AQ6" s="357">
        <f>'21C'!F$21</f>
        <v>0.13799934277256565</v>
      </c>
      <c r="AR6" s="357" t="str">
        <f>'21C'!G$21</f>
        <v>x</v>
      </c>
      <c r="AS6" s="357" t="str">
        <f>'21C'!H$21</f>
        <v>x</v>
      </c>
      <c r="AT6" s="357" t="str">
        <f>'21C'!I$21</f>
        <v>x</v>
      </c>
      <c r="AU6" s="139"/>
    </row>
    <row r="7" spans="1:47">
      <c r="A7" s="488"/>
      <c r="B7" s="334" t="s">
        <v>386</v>
      </c>
      <c r="C7" s="214">
        <f>'18D'!L$21</f>
        <v>1.990084126662417</v>
      </c>
      <c r="D7" s="214" t="str">
        <f>'18D'!M$21</f>
        <v>..</v>
      </c>
      <c r="E7" s="214">
        <f>'18D'!N$21</f>
        <v>-2.1060588401010549</v>
      </c>
      <c r="F7" s="214">
        <f>'18D'!O$21</f>
        <v>2.5695561375751019</v>
      </c>
      <c r="G7" s="214">
        <f>'18D'!P$21</f>
        <v>-2.703836451410413</v>
      </c>
      <c r="H7" s="214" t="str">
        <f>'18D'!Q$21</f>
        <v>..</v>
      </c>
      <c r="I7" s="214" t="str">
        <f>'18D'!R$21</f>
        <v>..</v>
      </c>
      <c r="J7" s="214" t="str">
        <f>'18D'!S$21</f>
        <v>..</v>
      </c>
      <c r="K7" s="214" t="str">
        <f>'18D'!T$21</f>
        <v>..</v>
      </c>
      <c r="L7" s="214" t="str">
        <f>'18D'!U$21</f>
        <v>..</v>
      </c>
      <c r="M7" s="488"/>
      <c r="N7" s="349" t="s">
        <v>386</v>
      </c>
      <c r="O7" s="282">
        <f>'19D'!B$32</f>
        <v>0.81173177556206344</v>
      </c>
      <c r="P7" s="282" t="str">
        <f>'19D'!C$32</f>
        <v>..</v>
      </c>
      <c r="Q7" s="282">
        <f>'19D'!D$32</f>
        <v>-3.3234381278383074</v>
      </c>
      <c r="R7" s="282">
        <f>'19D'!E$32</f>
        <v>-2.7663095327992382</v>
      </c>
      <c r="S7" s="282">
        <f>'19D'!F$32</f>
        <v>-3.6681167569158513</v>
      </c>
      <c r="T7" s="282" t="str">
        <f>'19D'!G$32</f>
        <v>..</v>
      </c>
      <c r="U7" s="282" t="str">
        <f>'19D'!H$32</f>
        <v>..</v>
      </c>
      <c r="V7" s="282" t="str">
        <f>'19D'!I$32</f>
        <v>..</v>
      </c>
      <c r="W7" s="282" t="str">
        <f>'19D'!J$32</f>
        <v>..</v>
      </c>
      <c r="X7" s="282" t="str">
        <f>'19D'!K$32</f>
        <v>..</v>
      </c>
      <c r="Y7" s="488"/>
      <c r="Z7" s="349" t="s">
        <v>386</v>
      </c>
      <c r="AA7" s="357">
        <f>'20D'!B$20</f>
        <v>1.1688643080983052</v>
      </c>
      <c r="AB7" s="357">
        <f>'20D'!C$20</f>
        <v>0</v>
      </c>
      <c r="AC7" s="357">
        <f>'20D'!D$20</f>
        <v>1.2592289839051363</v>
      </c>
      <c r="AD7" s="357">
        <f>'20D'!E$20</f>
        <v>5.4876716544809634</v>
      </c>
      <c r="AE7" s="357">
        <f>'20D'!F$20</f>
        <v>0</v>
      </c>
      <c r="AF7" s="357">
        <f>'20D'!G$20</f>
        <v>0</v>
      </c>
      <c r="AG7" s="357">
        <f>'20D'!H$20</f>
        <v>0</v>
      </c>
      <c r="AH7" s="357">
        <f>'20D'!I$20</f>
        <v>0</v>
      </c>
      <c r="AI7" s="357">
        <f>'20D'!J$20</f>
        <v>0</v>
      </c>
      <c r="AJ7" s="357">
        <f>'20D'!K$20</f>
        <v>0</v>
      </c>
      <c r="AK7" s="488"/>
      <c r="AL7" s="349" t="s">
        <v>386</v>
      </c>
      <c r="AM7" s="357">
        <f>'21D'!B$21</f>
        <v>0.5936912790180493</v>
      </c>
      <c r="AN7" s="357">
        <f>'21D'!C$21</f>
        <v>0.91599899116117101</v>
      </c>
      <c r="AO7" s="357" t="str">
        <f>'21D'!D$21</f>
        <v>x</v>
      </c>
      <c r="AP7" s="357" t="str">
        <f>'21D'!E$21</f>
        <v>x</v>
      </c>
      <c r="AQ7" s="357">
        <f>'21D'!F$21</f>
        <v>1.3881515131711097</v>
      </c>
      <c r="AR7" s="357">
        <f>'21D'!G$21</f>
        <v>-2.9946270774438011</v>
      </c>
      <c r="AS7" s="357" t="str">
        <f>'21D'!H$21</f>
        <v>x</v>
      </c>
      <c r="AT7" s="357" t="str">
        <f>'21D'!I$21</f>
        <v>x</v>
      </c>
      <c r="AU7" s="139"/>
    </row>
    <row r="8" spans="1:47">
      <c r="A8" s="488"/>
      <c r="B8" s="334" t="s">
        <v>387</v>
      </c>
      <c r="C8" s="214">
        <f>'18E'!L$21</f>
        <v>2.3824776956868021</v>
      </c>
      <c r="D8" s="214" t="str">
        <f>'18E'!M$21</f>
        <v>..</v>
      </c>
      <c r="E8" s="214">
        <f>'18E'!N$21</f>
        <v>1.5507465887909744</v>
      </c>
      <c r="F8" s="214">
        <f>'18E'!O$21</f>
        <v>-3.7303507183462203</v>
      </c>
      <c r="G8" s="214">
        <f>'18E'!P$21</f>
        <v>-3.8525715940265215</v>
      </c>
      <c r="H8" s="214">
        <f>'18E'!Q$21</f>
        <v>-4.1716517453480488</v>
      </c>
      <c r="I8" s="214">
        <f>'18E'!R$21</f>
        <v>-0.87490452826932685</v>
      </c>
      <c r="J8" s="214" t="str">
        <f>'18E'!S$21</f>
        <v>..</v>
      </c>
      <c r="K8" s="214" t="str">
        <f>'18E'!T$21</f>
        <v>..</v>
      </c>
      <c r="L8" s="214" t="str">
        <f>'18E'!U$21</f>
        <v>..</v>
      </c>
      <c r="M8" s="488"/>
      <c r="N8" s="349" t="s">
        <v>387</v>
      </c>
      <c r="O8" s="282">
        <f>'19E'!B$32</f>
        <v>0.60387672670978443</v>
      </c>
      <c r="P8" s="282" t="str">
        <f>'19E'!C$32</f>
        <v>..</v>
      </c>
      <c r="Q8" s="282">
        <f>'19E'!D$32</f>
        <v>-6.6664101774947078</v>
      </c>
      <c r="R8" s="282">
        <f>'19E'!E$32</f>
        <v>-3.0868683663991758</v>
      </c>
      <c r="S8" s="282">
        <f>'19E'!F$32</f>
        <v>-5.6798295696108836</v>
      </c>
      <c r="T8" s="282">
        <f>'19E'!G$32</f>
        <v>-1.6030630688177672</v>
      </c>
      <c r="U8" s="282">
        <f>'19E'!H$32</f>
        <v>2.4064074709032379</v>
      </c>
      <c r="V8" s="282" t="str">
        <f>'19E'!I$32</f>
        <v>..</v>
      </c>
      <c r="W8" s="282" t="str">
        <f>'19E'!J$32</f>
        <v>..</v>
      </c>
      <c r="X8" s="282" t="str">
        <f>'19E'!K$32</f>
        <v>..</v>
      </c>
      <c r="Y8" s="488"/>
      <c r="Z8" s="349" t="s">
        <v>387</v>
      </c>
      <c r="AA8" s="357">
        <f>'20E'!B$20</f>
        <v>1.7679248820684945</v>
      </c>
      <c r="AB8" s="357" t="str">
        <f>'20E'!C$20</f>
        <v>x</v>
      </c>
      <c r="AC8" s="357">
        <f>'20E'!D$20</f>
        <v>8.8040723408500998</v>
      </c>
      <c r="AD8" s="357">
        <f>'20E'!E$20</f>
        <v>-0.66397849403924125</v>
      </c>
      <c r="AE8" s="357" t="str">
        <f>'20E'!F$20</f>
        <v>x</v>
      </c>
      <c r="AF8" s="357" t="str">
        <f>'20E'!G$20</f>
        <v>x</v>
      </c>
      <c r="AG8" s="357" t="str">
        <f>'20E'!H$20</f>
        <v>x</v>
      </c>
      <c r="AH8" s="357" t="str">
        <f>'20E'!I$20</f>
        <v>x</v>
      </c>
      <c r="AI8" s="357" t="str">
        <f>'20E'!J$20</f>
        <v>x</v>
      </c>
      <c r="AJ8" s="357" t="str">
        <f>'20E'!K$20</f>
        <v>x</v>
      </c>
      <c r="AK8" s="488"/>
      <c r="AL8" s="349" t="s">
        <v>387</v>
      </c>
      <c r="AM8" s="357">
        <f>'21E'!B$21</f>
        <v>1.5425629731898427</v>
      </c>
      <c r="AN8" s="357">
        <f>'21E'!C$21</f>
        <v>-1.9192263967218404</v>
      </c>
      <c r="AO8" s="357" t="str">
        <f>'21E'!D$21</f>
        <v>x</v>
      </c>
      <c r="AP8" s="357" t="str">
        <f>'21E'!E$21</f>
        <v>x</v>
      </c>
      <c r="AQ8" s="357">
        <f>'21E'!F$21</f>
        <v>0.82715533063582036</v>
      </c>
      <c r="AR8" s="357">
        <f>'21E'!G$21</f>
        <v>3.5378727736674609</v>
      </c>
      <c r="AS8" s="357" t="str">
        <f>'21E'!H$21</f>
        <v>x</v>
      </c>
      <c r="AT8" s="357" t="str">
        <f>'21E'!I$21</f>
        <v>x</v>
      </c>
      <c r="AU8" s="139"/>
    </row>
    <row r="9" spans="1:47">
      <c r="A9" s="488"/>
      <c r="B9" s="334" t="s">
        <v>256</v>
      </c>
      <c r="C9" s="214">
        <f>'18F'!L$21</f>
        <v>1.8057620553368237</v>
      </c>
      <c r="D9" s="214">
        <f>'18F'!M$21</f>
        <v>-0.2547220932956118</v>
      </c>
      <c r="E9" s="214">
        <f>'18F'!N$21</f>
        <v>6.2517577924459111E-2</v>
      </c>
      <c r="F9" s="214">
        <f>'18F'!O$21</f>
        <v>0.83606702478753459</v>
      </c>
      <c r="G9" s="214">
        <f>'18F'!P$21</f>
        <v>-1.137311526285345</v>
      </c>
      <c r="H9" s="214">
        <f>'18F'!Q$21</f>
        <v>3.9846795624878251</v>
      </c>
      <c r="I9" s="214">
        <f>'18F'!R$21</f>
        <v>0.9832920846704285</v>
      </c>
      <c r="J9" s="214">
        <f>'18F'!S$21</f>
        <v>-1.1667518838158975</v>
      </c>
      <c r="K9" s="214">
        <f>'18F'!T$21</f>
        <v>-1.370128127303949</v>
      </c>
      <c r="L9" s="214">
        <f>'18F'!U$21</f>
        <v>-0.30084760981717862</v>
      </c>
      <c r="M9" s="488"/>
      <c r="N9" s="349" t="s">
        <v>256</v>
      </c>
      <c r="O9" s="282">
        <f>'19F'!B$32</f>
        <v>0.87580779759077743</v>
      </c>
      <c r="P9" s="282">
        <f>'19F'!C$32</f>
        <v>-3.81803018069653</v>
      </c>
      <c r="Q9" s="282">
        <f>'19F'!D$32</f>
        <v>-3.7511709243974289</v>
      </c>
      <c r="R9" s="282">
        <f>'19F'!E$32</f>
        <v>-5.1286692481944174</v>
      </c>
      <c r="S9" s="282">
        <f>'19F'!F$32</f>
        <v>-7.217022791902572</v>
      </c>
      <c r="T9" s="282">
        <f>'19F'!G$32</f>
        <v>-6.6486377202551132</v>
      </c>
      <c r="U9" s="282">
        <f>'19F'!H$32</f>
        <v>-2.0777491260590364</v>
      </c>
      <c r="V9" s="282">
        <f>'19F'!I$32</f>
        <v>-2.2953342247502895</v>
      </c>
      <c r="W9" s="282">
        <f>'19F'!J$32</f>
        <v>-2.7687895156675579</v>
      </c>
      <c r="X9" s="282">
        <f>'19F'!K$32</f>
        <v>-1.471989948523722</v>
      </c>
      <c r="Y9" s="488"/>
      <c r="Z9" s="349" t="s">
        <v>256</v>
      </c>
      <c r="AA9" s="357">
        <f>'20F'!B$20</f>
        <v>0.92188035768894228</v>
      </c>
      <c r="AB9" s="357">
        <f>'20F'!C$20</f>
        <v>3.7047568209460424</v>
      </c>
      <c r="AC9" s="357">
        <f>'20F'!D$20</f>
        <v>3.9623219720691605</v>
      </c>
      <c r="AD9" s="357">
        <f>'20F'!E$20</f>
        <v>6.2871852072850176</v>
      </c>
      <c r="AE9" s="357" t="str">
        <f>'20F'!F$20</f>
        <v>x</v>
      </c>
      <c r="AF9" s="357" t="str">
        <f>'20F'!G$20</f>
        <v>x</v>
      </c>
      <c r="AG9" s="357" t="str">
        <f>'20F'!H$20</f>
        <v>x</v>
      </c>
      <c r="AH9" s="357">
        <f>'20F'!I$20</f>
        <v>1.1550956466403361</v>
      </c>
      <c r="AI9" s="357">
        <f>'20F'!J$20</f>
        <v>1.4384901529010508</v>
      </c>
      <c r="AJ9" s="357">
        <f>'20F'!K$20</f>
        <v>1.188638985091317</v>
      </c>
      <c r="AK9" s="488"/>
      <c r="AL9" s="349" t="s">
        <v>256</v>
      </c>
      <c r="AM9" s="357">
        <f>'21F'!B$21</f>
        <v>1.5500151124254069</v>
      </c>
      <c r="AN9" s="357">
        <f>'21F'!C$21</f>
        <v>-3.279543299089438</v>
      </c>
      <c r="AO9" s="357">
        <f>'21F'!D$21</f>
        <v>-1.5376496133429618</v>
      </c>
      <c r="AP9" s="357">
        <f>'21F'!E$21</f>
        <v>-4.7362407842768022</v>
      </c>
      <c r="AQ9" s="357">
        <f>'21F'!F$21</f>
        <v>0.25184333318739593</v>
      </c>
      <c r="AR9" s="357">
        <f>'21F'!G$21</f>
        <v>3.4553816131664528</v>
      </c>
      <c r="AS9" s="357">
        <f>'21F'!H$21</f>
        <v>2.4107860809832626</v>
      </c>
      <c r="AT9" s="357">
        <f>'21F'!I$21</f>
        <v>3.7469536472708898</v>
      </c>
      <c r="AU9" s="139"/>
    </row>
    <row r="10" spans="1:47">
      <c r="A10" s="488"/>
      <c r="B10" s="334" t="s">
        <v>257</v>
      </c>
      <c r="C10" s="214">
        <f>'18G'!L$21</f>
        <v>2.1070319069240728</v>
      </c>
      <c r="D10" s="214">
        <f>'18G'!M$21</f>
        <v>-2.3026237091520962</v>
      </c>
      <c r="E10" s="214">
        <f>'18G'!N$21</f>
        <v>-6.0733937900415036</v>
      </c>
      <c r="F10" s="214">
        <f>'18G'!O$21</f>
        <v>0.46751287632411653</v>
      </c>
      <c r="G10" s="214">
        <f>'18G'!P$21</f>
        <v>0.80587912637526404</v>
      </c>
      <c r="H10" s="214">
        <f>'18G'!Q$21</f>
        <v>1.9596467383879768</v>
      </c>
      <c r="I10" s="214">
        <f>'18G'!R$21</f>
        <v>-1.8018106142292156</v>
      </c>
      <c r="J10" s="214">
        <f>'18G'!S$21</f>
        <v>-2.8417287837709915</v>
      </c>
      <c r="K10" s="214">
        <f>'18G'!T$21</f>
        <v>-5.4018846951091604</v>
      </c>
      <c r="L10" s="214">
        <f>'18G'!U$21</f>
        <v>0.18743481060519152</v>
      </c>
      <c r="M10" s="488"/>
      <c r="N10" s="349" t="s">
        <v>257</v>
      </c>
      <c r="O10" s="282">
        <f>'19G'!B$32</f>
        <v>1.3195770282988128</v>
      </c>
      <c r="P10" s="282">
        <f>'19G'!C$32</f>
        <v>-3.4250509181431799</v>
      </c>
      <c r="Q10" s="282">
        <f>'19G'!D$32</f>
        <v>-6.5887733174673446</v>
      </c>
      <c r="R10" s="282">
        <f>'19G'!E$32</f>
        <v>-3.2156590462793733</v>
      </c>
      <c r="S10" s="282">
        <f>'19G'!F$32</f>
        <v>-4.1484206838617315</v>
      </c>
      <c r="T10" s="282">
        <f>'19G'!G$32</f>
        <v>-6.3746554152566919</v>
      </c>
      <c r="U10" s="282">
        <f>'19G'!H$32</f>
        <v>-1.5415916232260796</v>
      </c>
      <c r="V10" s="282">
        <f>'19G'!I$32</f>
        <v>-2.7227586705017459</v>
      </c>
      <c r="W10" s="282">
        <f>'19G'!J$32</f>
        <v>-6.9951980712968602</v>
      </c>
      <c r="X10" s="282">
        <f>'19G'!K$32</f>
        <v>-1.6677787045837889E-2</v>
      </c>
      <c r="Y10" s="488"/>
      <c r="Z10" s="349" t="s">
        <v>257</v>
      </c>
      <c r="AA10" s="357">
        <f>'20G'!B$20</f>
        <v>0.77719913734470847</v>
      </c>
      <c r="AB10" s="357">
        <f>'20G'!C$20</f>
        <v>1.1622343264604984</v>
      </c>
      <c r="AC10" s="357">
        <f>'20G'!D$20</f>
        <v>0.55173189104709142</v>
      </c>
      <c r="AD10" s="357">
        <f>'20G'!E$20</f>
        <v>3.805545283781675</v>
      </c>
      <c r="AE10" s="357" t="str">
        <f>'20G'!F$20</f>
        <v>x</v>
      </c>
      <c r="AF10" s="357" t="str">
        <f>'20G'!G$20</f>
        <v>x</v>
      </c>
      <c r="AG10" s="357" t="str">
        <f>'20G'!H$20</f>
        <v>x</v>
      </c>
      <c r="AH10" s="357">
        <f>'20G'!I$20</f>
        <v>-0.12230004844223652</v>
      </c>
      <c r="AI10" s="357">
        <f>'20G'!J$20</f>
        <v>1.7131517331859136</v>
      </c>
      <c r="AJ10" s="357">
        <f>'20G'!K$20</f>
        <v>0.20414664479371236</v>
      </c>
      <c r="AK10" s="488"/>
      <c r="AL10" s="349" t="s">
        <v>257</v>
      </c>
      <c r="AM10" s="357">
        <f>'21G'!B$21</f>
        <v>1.8510382975326367</v>
      </c>
      <c r="AN10" s="357">
        <f>'21G'!C$21</f>
        <v>-2.7977967086075362</v>
      </c>
      <c r="AO10" s="357">
        <f>'21G'!D$21</f>
        <v>-1.262028303185514</v>
      </c>
      <c r="AP10" s="357">
        <f>'21G'!E$21</f>
        <v>-4.9731335197977122</v>
      </c>
      <c r="AQ10" s="357">
        <f>'21G'!F$21</f>
        <v>0.2513411877487437</v>
      </c>
      <c r="AR10" s="357">
        <f>'21G'!G$21</f>
        <v>-3.3698794579937519</v>
      </c>
      <c r="AS10" s="357">
        <f>'21G'!H$21</f>
        <v>1.7516474663064274</v>
      </c>
      <c r="AT10" s="357">
        <f>'21G'!I$21</f>
        <v>2.2429496151709527</v>
      </c>
      <c r="AU10" s="139"/>
    </row>
    <row r="11" spans="1:47">
      <c r="A11" s="488"/>
      <c r="B11" s="335" t="s">
        <v>388</v>
      </c>
      <c r="C11" s="214">
        <f>'18H'!L$21</f>
        <v>2.1737893366901018</v>
      </c>
      <c r="D11" s="214">
        <f>'18H'!M$21</f>
        <v>-0.40745128438937073</v>
      </c>
      <c r="E11" s="214">
        <f>'18H'!N$21</f>
        <v>-5.0911216465773013</v>
      </c>
      <c r="F11" s="214">
        <f>'18H'!O$21</f>
        <v>2.5765102034465359</v>
      </c>
      <c r="G11" s="214">
        <f>'18H'!P$21</f>
        <v>12.4321371648624</v>
      </c>
      <c r="H11" s="214" t="str">
        <f>'18H'!Q$21</f>
        <v>..</v>
      </c>
      <c r="I11" s="214">
        <f>'18H'!R$21</f>
        <v>6.9116515461993266</v>
      </c>
      <c r="J11" s="214">
        <f>'18H'!S$21</f>
        <v>-2.3225195772913709</v>
      </c>
      <c r="K11" s="214" t="str">
        <f>'18H'!T$21</f>
        <v>..</v>
      </c>
      <c r="L11" s="214" t="str">
        <f>'18H'!U$21</f>
        <v>..</v>
      </c>
      <c r="M11" s="488"/>
      <c r="N11" s="354" t="s">
        <v>388</v>
      </c>
      <c r="O11" s="282">
        <f>'19H'!B$32</f>
        <v>0.89643946317217171</v>
      </c>
      <c r="P11" s="282">
        <f>'19H'!C$32</f>
        <v>-2.5467787600343739</v>
      </c>
      <c r="Q11" s="282">
        <f>'19H'!D$32</f>
        <v>-2.5826181125552239</v>
      </c>
      <c r="R11" s="282">
        <f>'19H'!E$32</f>
        <v>-0.59590007100550624</v>
      </c>
      <c r="S11" s="282" t="str">
        <f>'19H'!F$32</f>
        <v>..</v>
      </c>
      <c r="T11" s="282">
        <f>'19H'!G$32</f>
        <v>-6.9543013422518669</v>
      </c>
      <c r="U11" s="282" t="str">
        <f>'19H'!H$32</f>
        <v>..</v>
      </c>
      <c r="V11" s="282">
        <f>'19H'!I$32</f>
        <v>-6.3466047082420429</v>
      </c>
      <c r="W11" s="282" t="str">
        <f>'19H'!J$32</f>
        <v>..</v>
      </c>
      <c r="X11" s="282" t="str">
        <f>'19H'!K$32</f>
        <v>..</v>
      </c>
      <c r="Y11" s="488"/>
      <c r="Z11" s="354" t="s">
        <v>388</v>
      </c>
      <c r="AA11" s="357">
        <f>'20H'!B$20</f>
        <v>1.2660009414744211</v>
      </c>
      <c r="AB11" s="357">
        <f>'20H'!C$20</f>
        <v>2.1952352610050685</v>
      </c>
      <c r="AC11" s="357">
        <f>'20H'!D$20</f>
        <v>-2.5750061081711073</v>
      </c>
      <c r="AD11" s="357" t="str">
        <f>'20H'!E$20</f>
        <v>x</v>
      </c>
      <c r="AE11" s="357" t="str">
        <f>'20H'!F$20</f>
        <v>x</v>
      </c>
      <c r="AF11" s="357" t="str">
        <f>'20H'!G$20</f>
        <v>x</v>
      </c>
      <c r="AG11" s="357" t="str">
        <f>'20H'!H$20</f>
        <v>x</v>
      </c>
      <c r="AH11" s="357" t="str">
        <f>'20H'!I$20</f>
        <v>x</v>
      </c>
      <c r="AI11" s="357" t="str">
        <f>'20H'!J$20</f>
        <v>x</v>
      </c>
      <c r="AJ11" s="357" t="str">
        <f>'20H'!K$20</f>
        <v>x</v>
      </c>
      <c r="AK11" s="488"/>
      <c r="AL11" s="354" t="s">
        <v>388</v>
      </c>
      <c r="AM11" s="357">
        <f>'21H'!B$21</f>
        <v>1.1870951297049182</v>
      </c>
      <c r="AN11" s="357">
        <f>'21H'!C$21</f>
        <v>-5.0680078584611321</v>
      </c>
      <c r="AO11" s="357" t="str">
        <f>'21H'!D$21</f>
        <v>x</v>
      </c>
      <c r="AP11" s="357" t="str">
        <f>'21H'!E$21</f>
        <v>x</v>
      </c>
      <c r="AQ11" s="357">
        <f>'21H'!F$21</f>
        <v>0.97511862132262372</v>
      </c>
      <c r="AR11" s="357">
        <f>'21H'!G$21</f>
        <v>-2.4347733145324568E-2</v>
      </c>
      <c r="AS11" s="357" t="str">
        <f>'21H'!H$21</f>
        <v>x</v>
      </c>
      <c r="AT11" s="357" t="str">
        <f>'21H'!I$21</f>
        <v>x</v>
      </c>
      <c r="AU11" s="139"/>
    </row>
    <row r="12" spans="1:47">
      <c r="A12" s="488"/>
      <c r="B12" s="334" t="s">
        <v>389</v>
      </c>
      <c r="C12" s="214">
        <f>'18I'!L$21</f>
        <v>1.6588224357398484</v>
      </c>
      <c r="D12" s="214">
        <f>'18I'!M$21</f>
        <v>-12.627544072973606</v>
      </c>
      <c r="E12" s="214">
        <f>'18I'!N$21</f>
        <v>-21.570672457282537</v>
      </c>
      <c r="F12" s="214">
        <f>'18I'!O$21</f>
        <v>2.3170452032819089</v>
      </c>
      <c r="G12" s="214" t="str">
        <f>'18I'!P$21</f>
        <v>..</v>
      </c>
      <c r="H12" s="214">
        <f>'18I'!Q$21</f>
        <v>17.398028777313201</v>
      </c>
      <c r="I12" s="214" t="str">
        <f>'18I'!R$21</f>
        <v>..</v>
      </c>
      <c r="J12" s="214">
        <f>'18I'!S$21</f>
        <v>-15.674680156148145</v>
      </c>
      <c r="K12" s="214" t="str">
        <f>'18I'!T$21</f>
        <v>..</v>
      </c>
      <c r="L12" s="214" t="str">
        <f>'18I'!U$21</f>
        <v>..</v>
      </c>
      <c r="M12" s="488"/>
      <c r="N12" s="349" t="s">
        <v>389</v>
      </c>
      <c r="O12" s="282">
        <f>'19I'!B$32</f>
        <v>0.56334526854024958</v>
      </c>
      <c r="P12" s="282">
        <f>'19I'!C$32</f>
        <v>-8.6496816977936763</v>
      </c>
      <c r="Q12" s="282">
        <f>'19I'!D$32</f>
        <v>-10.954391823126153</v>
      </c>
      <c r="R12" s="282">
        <f>'19I'!E$32</f>
        <v>-7.1073446657269557</v>
      </c>
      <c r="S12" s="282" t="str">
        <f>'19I'!F$32</f>
        <v>..</v>
      </c>
      <c r="T12" s="282">
        <f>'19I'!G$32</f>
        <v>-5.2844147904147487</v>
      </c>
      <c r="U12" s="282" t="str">
        <f>'19I'!H$32</f>
        <v>..</v>
      </c>
      <c r="V12" s="282">
        <f>'19I'!I$32</f>
        <v>-9.5474708335686049</v>
      </c>
      <c r="W12" s="282" t="str">
        <f>'19I'!J$32</f>
        <v>..</v>
      </c>
      <c r="X12" s="282" t="str">
        <f>'19I'!K$32</f>
        <v>..</v>
      </c>
      <c r="Y12" s="488"/>
      <c r="Z12" s="349" t="s">
        <v>389</v>
      </c>
      <c r="AA12" s="357">
        <f>'20I'!B$20</f>
        <v>1.0893404194881162</v>
      </c>
      <c r="AB12" s="357">
        <f>'20I'!C$20</f>
        <v>-4.3545139733616622</v>
      </c>
      <c r="AC12" s="357">
        <f>'20I'!D$20</f>
        <v>-11.922295609536359</v>
      </c>
      <c r="AD12" s="357">
        <f>'20I'!E$20</f>
        <v>10.145462884116419</v>
      </c>
      <c r="AE12" s="357" t="str">
        <f>'20I'!F$20</f>
        <v>x</v>
      </c>
      <c r="AF12" s="357" t="str">
        <f>'20I'!G$20</f>
        <v>x</v>
      </c>
      <c r="AG12" s="357" t="str">
        <f>'20I'!H$20</f>
        <v>x</v>
      </c>
      <c r="AH12" s="357">
        <f>'20I'!I$20</f>
        <v>-6.7739502466598438</v>
      </c>
      <c r="AI12" s="357" t="str">
        <f>'20I'!J$20</f>
        <v>x</v>
      </c>
      <c r="AJ12" s="357" t="str">
        <f>'20I'!K$20</f>
        <v>x</v>
      </c>
      <c r="AK12" s="488"/>
      <c r="AL12" s="349" t="s">
        <v>389</v>
      </c>
      <c r="AM12" s="357">
        <f>'21I'!B$21</f>
        <v>1.3204017081260622</v>
      </c>
      <c r="AN12" s="357">
        <f>'21I'!C$21</f>
        <v>-2.9612211138254962</v>
      </c>
      <c r="AO12" s="357" t="str">
        <f>'21I'!D$21</f>
        <v>x</v>
      </c>
      <c r="AP12" s="357" t="str">
        <f>'21I'!E$21</f>
        <v>x</v>
      </c>
      <c r="AQ12" s="357">
        <f>'21I'!F$21</f>
        <v>0.33401044795369206</v>
      </c>
      <c r="AR12" s="357">
        <f>'21I'!G$21</f>
        <v>-19.177334625454979</v>
      </c>
      <c r="AS12" s="357" t="str">
        <f>'21I'!H$21</f>
        <v>x</v>
      </c>
      <c r="AT12" s="357" t="str">
        <f>'21I'!I$21</f>
        <v>x</v>
      </c>
      <c r="AU12" s="139"/>
    </row>
    <row r="13" spans="1:47">
      <c r="A13" s="488"/>
      <c r="B13" s="334" t="s">
        <v>390</v>
      </c>
      <c r="C13" s="214">
        <f>'18J'!L$21</f>
        <v>3.6315975436252756</v>
      </c>
      <c r="D13" s="214">
        <f>'18J'!M$21</f>
        <v>2.8046804348497822</v>
      </c>
      <c r="E13" s="214">
        <f>'18J'!N$21</f>
        <v>0.90859308632731395</v>
      </c>
      <c r="F13" s="214">
        <f>'18J'!O$21</f>
        <v>3.9765627533313364</v>
      </c>
      <c r="G13" s="214">
        <f>'18J'!P$21</f>
        <v>1.7375269521440861</v>
      </c>
      <c r="H13" s="214">
        <f>'18J'!Q$21</f>
        <v>0.64368731731498929</v>
      </c>
      <c r="I13" s="214">
        <f>'18J'!R$21</f>
        <v>11.275407652985891</v>
      </c>
      <c r="J13" s="214">
        <f>'18J'!S$21</f>
        <v>1.5594745883530159</v>
      </c>
      <c r="K13" s="214" t="str">
        <f>'18J'!T$21</f>
        <v>..</v>
      </c>
      <c r="L13" s="214" t="str">
        <f>'18J'!U$21</f>
        <v>..</v>
      </c>
      <c r="M13" s="488"/>
      <c r="N13" s="349" t="s">
        <v>390</v>
      </c>
      <c r="O13" s="282">
        <f>'19J'!B$32</f>
        <v>3.457512694381526</v>
      </c>
      <c r="P13" s="282">
        <f>'19J'!C$32</f>
        <v>-0.56754886700910445</v>
      </c>
      <c r="Q13" s="282">
        <f>'19J'!D$32</f>
        <v>-1.8595672596447455</v>
      </c>
      <c r="R13" s="282">
        <f>'19J'!E$32</f>
        <v>0.87237141050544587</v>
      </c>
      <c r="S13" s="282">
        <f>'19J'!F$32</f>
        <v>-0.81087461161351015</v>
      </c>
      <c r="T13" s="282">
        <f>'19J'!G$32</f>
        <v>-2.8784765702276616</v>
      </c>
      <c r="U13" s="282">
        <f>'19J'!H$32</f>
        <v>5.5684882710125283</v>
      </c>
      <c r="V13" s="282">
        <f>'19J'!I$32</f>
        <v>-4.2928836290114569</v>
      </c>
      <c r="W13" s="282" t="str">
        <f>'19J'!J$32</f>
        <v>..</v>
      </c>
      <c r="X13" s="282" t="str">
        <f>'19J'!K$32</f>
        <v>..</v>
      </c>
      <c r="Y13" s="488"/>
      <c r="Z13" s="349" t="s">
        <v>390</v>
      </c>
      <c r="AA13" s="357">
        <f>'20J'!B$20</f>
        <v>0.16826699647998211</v>
      </c>
      <c r="AB13" s="357">
        <f>'20J'!C$20</f>
        <v>3.3914775945214748</v>
      </c>
      <c r="AC13" s="357">
        <f>'20J'!D$20</f>
        <v>2.8206115142121124</v>
      </c>
      <c r="AD13" s="357">
        <f>'20J'!E$20</f>
        <v>3.0773454608231887</v>
      </c>
      <c r="AE13" s="357" t="str">
        <f>'20J'!F$20</f>
        <v>x</v>
      </c>
      <c r="AF13" s="357" t="str">
        <f>'20J'!G$20</f>
        <v>x</v>
      </c>
      <c r="AG13" s="357" t="str">
        <f>'20J'!H$20</f>
        <v>x</v>
      </c>
      <c r="AH13" s="357">
        <f>'20J'!I$20</f>
        <v>6.1148621328000585</v>
      </c>
      <c r="AI13" s="357" t="str">
        <f>'20J'!J$20</f>
        <v>x</v>
      </c>
      <c r="AJ13" s="357" t="str">
        <f>'20J'!K$20</f>
        <v>x</v>
      </c>
      <c r="AK13" s="488"/>
      <c r="AL13" s="349" t="s">
        <v>390</v>
      </c>
      <c r="AM13" s="357">
        <f>'21J'!B$21</f>
        <v>5.5715087416537523</v>
      </c>
      <c r="AN13" s="357">
        <f>'21J'!C$21</f>
        <v>0.24921130474226949</v>
      </c>
      <c r="AO13" s="357">
        <f>'21J'!D$21</f>
        <v>-2.7767695984581509</v>
      </c>
      <c r="AP13" s="357">
        <f>'21J'!E$21</f>
        <v>-2.2666369298611766</v>
      </c>
      <c r="AQ13" s="357">
        <f>'21J'!F$21</f>
        <v>-1.8375328923030398</v>
      </c>
      <c r="AR13" s="357">
        <f>'21J'!G$21</f>
        <v>0.65774261263824574</v>
      </c>
      <c r="AS13" s="357">
        <f>'21J'!H$21</f>
        <v>6.9462126735529539</v>
      </c>
      <c r="AT13" s="357">
        <f>'21J'!I$21</f>
        <v>3.9148468834213412</v>
      </c>
      <c r="AU13" s="139"/>
    </row>
    <row r="14" spans="1:47">
      <c r="A14" s="488"/>
      <c r="B14" s="334" t="s">
        <v>391</v>
      </c>
      <c r="C14" s="214">
        <f>'18K'!L$21</f>
        <v>3.1562251270984332</v>
      </c>
      <c r="D14" s="214">
        <f>'18K'!M$21</f>
        <v>1.3515840887236452</v>
      </c>
      <c r="E14" s="214">
        <f>'18K'!N$21</f>
        <v>1.1288351736954416</v>
      </c>
      <c r="F14" s="214">
        <f>'18K'!O$21</f>
        <v>1.840419683456318</v>
      </c>
      <c r="G14" s="214">
        <f>'18K'!P$21</f>
        <v>0.10023143154740399</v>
      </c>
      <c r="H14" s="214">
        <f>'18K'!Q$21</f>
        <v>6.8559170318450935</v>
      </c>
      <c r="I14" s="214">
        <f>'18K'!R$21</f>
        <v>4.4862280379255326</v>
      </c>
      <c r="J14" s="214">
        <f>'18K'!S$21</f>
        <v>0.62856067268579618</v>
      </c>
      <c r="K14" s="214" t="str">
        <f>'18K'!T$21</f>
        <v>..</v>
      </c>
      <c r="L14" s="214" t="str">
        <f>'18K'!U$21</f>
        <v>..</v>
      </c>
      <c r="M14" s="488"/>
      <c r="N14" s="349" t="s">
        <v>391</v>
      </c>
      <c r="O14" s="282">
        <f>'19K'!B$32</f>
        <v>2.0355659206480192</v>
      </c>
      <c r="P14" s="282">
        <f>'19K'!C$32</f>
        <v>-2.7759195604955988</v>
      </c>
      <c r="Q14" s="282">
        <f>'19K'!D$32</f>
        <v>-2.3296245288767503</v>
      </c>
      <c r="R14" s="282">
        <f>'19K'!E$32</f>
        <v>-3.5587150402731749</v>
      </c>
      <c r="S14" s="282">
        <f>'19K'!F$32</f>
        <v>-6.3374274781862745</v>
      </c>
      <c r="T14" s="282">
        <f>'19K'!G$32</f>
        <v>-2.5835734709791169</v>
      </c>
      <c r="U14" s="282">
        <f>'19K'!H$32</f>
        <v>3.7824071926693348</v>
      </c>
      <c r="V14" s="282">
        <f>'19K'!I$32</f>
        <v>-1.3826933768851801</v>
      </c>
      <c r="W14" s="282" t="str">
        <f>'19K'!J$32</f>
        <v>..</v>
      </c>
      <c r="X14" s="282" t="str">
        <f>'19K'!K$32</f>
        <v>..</v>
      </c>
      <c r="Y14" s="488"/>
      <c r="Z14" s="349" t="s">
        <v>391</v>
      </c>
      <c r="AA14" s="357">
        <f>'20K'!B$20</f>
        <v>1.0983025343554775</v>
      </c>
      <c r="AB14" s="357">
        <f>'20K'!C$20</f>
        <v>4.2453511831233026</v>
      </c>
      <c r="AC14" s="357">
        <f>'20K'!D$20</f>
        <v>3.5409505552629783</v>
      </c>
      <c r="AD14" s="357">
        <f>'20K'!E$20</f>
        <v>5.598364565532421</v>
      </c>
      <c r="AE14" s="357" t="str">
        <f>'20K'!F$20</f>
        <v>x</v>
      </c>
      <c r="AF14" s="357" t="str">
        <f>'20K'!G$20</f>
        <v>x</v>
      </c>
      <c r="AG14" s="357" t="str">
        <f>'20K'!H$20</f>
        <v>x</v>
      </c>
      <c r="AH14" s="357">
        <f>'20K'!I$20</f>
        <v>2.0394534371714013</v>
      </c>
      <c r="AI14" s="357" t="str">
        <f>'20K'!J$20</f>
        <v>x</v>
      </c>
      <c r="AJ14" s="357" t="str">
        <f>'20K'!K$20</f>
        <v>x</v>
      </c>
      <c r="AK14" s="488"/>
      <c r="AL14" s="349" t="s">
        <v>391</v>
      </c>
      <c r="AM14" s="357">
        <f>'21K'!B$21</f>
        <v>2.3661550533792708</v>
      </c>
      <c r="AN14" s="357">
        <f>'21K'!C$21</f>
        <v>-2.5561016629356614</v>
      </c>
      <c r="AO14" s="357">
        <f>'21K'!D$21</f>
        <v>0.96321455053511862</v>
      </c>
      <c r="AP14" s="357">
        <f>'21K'!E$21</f>
        <v>-5.980755242567759</v>
      </c>
      <c r="AQ14" s="357">
        <f>'21K'!F$21</f>
        <v>0.77180790204260941</v>
      </c>
      <c r="AR14" s="357">
        <f>'21K'!G$21</f>
        <v>3.7815983345459658</v>
      </c>
      <c r="AS14" s="357">
        <f>'21K'!H$21</f>
        <v>0.86883637454127083</v>
      </c>
      <c r="AT14" s="357">
        <f>'21K'!I$21</f>
        <v>7.0297479333145674</v>
      </c>
      <c r="AU14" s="139"/>
    </row>
    <row r="15" spans="1:47" ht="15" customHeight="1">
      <c r="A15" s="488" t="s">
        <v>368</v>
      </c>
      <c r="B15" s="322" t="s">
        <v>383</v>
      </c>
      <c r="C15" s="214">
        <f>'18A'!L$22</f>
        <v>0.50954977414190417</v>
      </c>
      <c r="D15" s="214">
        <f>'18A'!M$22</f>
        <v>-6.5787276120487519</v>
      </c>
      <c r="E15" s="214">
        <f>'18A'!N$22</f>
        <v>-5.387662983334307</v>
      </c>
      <c r="F15" s="214">
        <f>'18A'!O$22</f>
        <v>-7.6991455245429163</v>
      </c>
      <c r="G15" s="214">
        <f>'18A'!P$22</f>
        <v>-6.2831369864975066</v>
      </c>
      <c r="H15" s="214">
        <f>'18A'!Q$22</f>
        <v>-5.5608775809060536</v>
      </c>
      <c r="I15" s="214">
        <f>'18A'!R$22</f>
        <v>-10.145386450104111</v>
      </c>
      <c r="J15" s="214">
        <f>'18A'!S$22</f>
        <v>-5.9803722763784979</v>
      </c>
      <c r="K15" s="214">
        <f>'18A'!T$22</f>
        <v>-6.911026208158888</v>
      </c>
      <c r="L15" s="214">
        <f>'18A'!U$22</f>
        <v>-4.5053700972392363</v>
      </c>
      <c r="M15" s="489" t="s">
        <v>368</v>
      </c>
      <c r="N15" s="324" t="s">
        <v>383</v>
      </c>
      <c r="O15" s="292">
        <f>'19A'!B$33</f>
        <v>-0.17836533839934443</v>
      </c>
      <c r="P15" s="292">
        <f>'19A'!C$33</f>
        <v>-7.9220912343198062</v>
      </c>
      <c r="Q15" s="292">
        <f>'19A'!D$33</f>
        <v>-9.381920506777341</v>
      </c>
      <c r="R15" s="292">
        <f>'19A'!E$33</f>
        <v>-7.1913035518988311</v>
      </c>
      <c r="S15" s="292">
        <f>'19A'!F$33</f>
        <v>-9.8311692755984836</v>
      </c>
      <c r="T15" s="292">
        <f>'19A'!G$33</f>
        <v>-3.1481059998940575</v>
      </c>
      <c r="U15" s="292">
        <f>'19A'!H$33</f>
        <v>-6.4101328009064424</v>
      </c>
      <c r="V15" s="292">
        <f>'19A'!I$33</f>
        <v>-8.0806651188502272</v>
      </c>
      <c r="W15" s="292">
        <f>'19A'!J$33</f>
        <v>-10.401716429970032</v>
      </c>
      <c r="X15" s="292">
        <f>'19A'!K$33</f>
        <v>-5.0970914376506808</v>
      </c>
      <c r="Y15" s="489" t="s">
        <v>368</v>
      </c>
      <c r="Z15" s="324" t="s">
        <v>383</v>
      </c>
      <c r="AA15" s="253">
        <f>'20A'!B$21</f>
        <v>0.68914430711670693</v>
      </c>
      <c r="AB15" s="253">
        <f>'20A'!C$21</f>
        <v>1.4589423676960811</v>
      </c>
      <c r="AC15" s="253">
        <f>'20A'!D$21</f>
        <v>4.4077931752479538</v>
      </c>
      <c r="AD15" s="253">
        <f>'20A'!E$21</f>
        <v>-0.547192226676807</v>
      </c>
      <c r="AE15" s="253">
        <f>'20A'!F$21</f>
        <v>3.9348766758941611</v>
      </c>
      <c r="AF15" s="253">
        <f>'20A'!G$21</f>
        <v>-2.4911971065938565</v>
      </c>
      <c r="AG15" s="253">
        <f>'20A'!H$21</f>
        <v>-3.9910876689798758</v>
      </c>
      <c r="AH15" s="253">
        <f>'20A'!I$21</f>
        <v>2.2849304177269936</v>
      </c>
      <c r="AI15" s="253">
        <f>'20A'!J$21</f>
        <v>3.895934255350797</v>
      </c>
      <c r="AJ15" s="253">
        <f>'20A'!K$21</f>
        <v>0.6235017971263801</v>
      </c>
      <c r="AK15" s="483" t="s">
        <v>368</v>
      </c>
      <c r="AL15" s="322" t="s">
        <v>383</v>
      </c>
      <c r="AM15" s="280">
        <f>'21A'!B$22</f>
        <v>2.0564850355265785</v>
      </c>
      <c r="AN15" s="280">
        <f>'21A'!C$22</f>
        <v>-5.3200354385503079</v>
      </c>
      <c r="AO15" s="280">
        <f>'21A'!D$22</f>
        <v>-5.3911369191697815</v>
      </c>
      <c r="AP15" s="280">
        <f>'21A'!E$22</f>
        <v>-7.7842983556000949</v>
      </c>
      <c r="AQ15" s="280">
        <f>'21A'!F$22</f>
        <v>-1.515763805549597</v>
      </c>
      <c r="AR15" s="280">
        <f>'21A'!G$22</f>
        <v>-1.3294176643692479</v>
      </c>
      <c r="AS15" s="280">
        <f>'21A'!H$22</f>
        <v>3.6718925926715329E-3</v>
      </c>
      <c r="AT15" s="280">
        <f>'21A'!I$22</f>
        <v>9.2340924092892962E-2</v>
      </c>
      <c r="AU15" s="139"/>
    </row>
    <row r="16" spans="1:47">
      <c r="A16" s="488"/>
      <c r="B16" s="322" t="s">
        <v>384</v>
      </c>
      <c r="C16" s="214">
        <f>'18B'!L$22</f>
        <v>-2.0994748428629029</v>
      </c>
      <c r="D16" s="214" t="str">
        <f>'18B'!M$22</f>
        <v>..</v>
      </c>
      <c r="E16" s="214">
        <f>'18B'!N$22</f>
        <v>-3.747787979827033</v>
      </c>
      <c r="F16" s="214">
        <f>'18B'!O$22</f>
        <v>12.890584496441381</v>
      </c>
      <c r="G16" s="214">
        <f>'18B'!P$22</f>
        <v>-2.9868768149935887</v>
      </c>
      <c r="H16" s="214" t="str">
        <f>'18B'!Q$22</f>
        <v>..</v>
      </c>
      <c r="I16" s="214" t="str">
        <f>'18B'!R$22</f>
        <v>..</v>
      </c>
      <c r="J16" s="214" t="str">
        <f>'18B'!S$22</f>
        <v>..</v>
      </c>
      <c r="K16" s="214" t="str">
        <f>'18B'!T$22</f>
        <v>..</v>
      </c>
      <c r="L16" s="214" t="str">
        <f>'18B'!U$22</f>
        <v>..</v>
      </c>
      <c r="M16" s="489"/>
      <c r="N16" s="324" t="s">
        <v>384</v>
      </c>
      <c r="O16" s="292">
        <f>'19B'!B$33</f>
        <v>-0.30759552421769643</v>
      </c>
      <c r="P16" s="292" t="str">
        <f>'19B'!C$33</f>
        <v>..</v>
      </c>
      <c r="Q16" s="292">
        <f>'19B'!D$33</f>
        <v>-18.184055919193309</v>
      </c>
      <c r="R16" s="292">
        <f>'19B'!E$33</f>
        <v>-1.214248103364568</v>
      </c>
      <c r="S16" s="292">
        <f>'19B'!F$33</f>
        <v>-18.862570702188307</v>
      </c>
      <c r="T16" s="292" t="str">
        <f>'19B'!G$33</f>
        <v>..</v>
      </c>
      <c r="U16" s="292" t="str">
        <f>'19B'!H$33</f>
        <v>..</v>
      </c>
      <c r="V16" s="292" t="str">
        <f>'19B'!I$33</f>
        <v>..</v>
      </c>
      <c r="W16" s="292" t="str">
        <f>'19B'!J$33</f>
        <v>..</v>
      </c>
      <c r="X16" s="292" t="str">
        <f>'19B'!K$33</f>
        <v>..</v>
      </c>
      <c r="Y16" s="489"/>
      <c r="Z16" s="324" t="s">
        <v>384</v>
      </c>
      <c r="AA16" s="253">
        <f>'20B'!B$21</f>
        <v>-1.7974080654063251</v>
      </c>
      <c r="AB16" s="253" t="str">
        <f>'20B'!C$21</f>
        <v>n.a.</v>
      </c>
      <c r="AC16" s="253">
        <f>'20B'!D$21</f>
        <v>17.644810069181727</v>
      </c>
      <c r="AD16" s="253">
        <f>'20B'!E$21</f>
        <v>14.278205438537906</v>
      </c>
      <c r="AE16" s="253">
        <f>'20B'!F$21</f>
        <v>19.566424552253949</v>
      </c>
      <c r="AF16" s="253" t="str">
        <f>'20B'!G$21</f>
        <v>n.a.</v>
      </c>
      <c r="AG16" s="253" t="str">
        <f>'20B'!H$21</f>
        <v>n.a.</v>
      </c>
      <c r="AH16" s="253" t="str">
        <f>'20B'!I$21</f>
        <v>n.a.</v>
      </c>
      <c r="AI16" s="253" t="str">
        <f>'20B'!J$21</f>
        <v>n.a.</v>
      </c>
      <c r="AJ16" s="253" t="str">
        <f>'20B'!K$21</f>
        <v>n.a.</v>
      </c>
      <c r="AK16" s="483"/>
      <c r="AL16" s="322" t="s">
        <v>384</v>
      </c>
      <c r="AM16" s="280">
        <f>'21B'!B$22</f>
        <v>0.85706319601126513</v>
      </c>
      <c r="AN16" s="280" t="str">
        <f>'21B'!C$22</f>
        <v>n.a.</v>
      </c>
      <c r="AO16" s="280" t="str">
        <f>'21B'!D$22</f>
        <v>n.a.</v>
      </c>
      <c r="AP16" s="280" t="str">
        <f>'21B'!E$22</f>
        <v>n.a.</v>
      </c>
      <c r="AQ16" s="280">
        <f>'21B'!F$22</f>
        <v>-2.9314139686263396</v>
      </c>
      <c r="AR16" s="280" t="str">
        <f>'21B'!G$22</f>
        <v>n.a.</v>
      </c>
      <c r="AS16" s="280" t="str">
        <f>'21B'!H$22</f>
        <v>n.a.</v>
      </c>
      <c r="AT16" s="280" t="str">
        <f>'21B'!I$22</f>
        <v>n.a.</v>
      </c>
    </row>
    <row r="17" spans="1:46">
      <c r="A17" s="488"/>
      <c r="B17" s="322" t="s">
        <v>385</v>
      </c>
      <c r="C17" s="214">
        <f>'18C'!L$22</f>
        <v>1.1171095324873148</v>
      </c>
      <c r="D17" s="214" t="str">
        <f>'18C'!M$22</f>
        <v>..</v>
      </c>
      <c r="E17" s="214">
        <f>'18C'!N$22</f>
        <v>-15.821466831615883</v>
      </c>
      <c r="F17" s="214" t="str">
        <f>'18C'!O$22</f>
        <v>..</v>
      </c>
      <c r="G17" s="214" t="str">
        <f>'18C'!P$22</f>
        <v>..</v>
      </c>
      <c r="H17" s="214" t="str">
        <f>'18C'!Q$22</f>
        <v>..</v>
      </c>
      <c r="I17" s="214" t="str">
        <f>'18C'!R$22</f>
        <v>..</v>
      </c>
      <c r="J17" s="214" t="str">
        <f>'18C'!S$22</f>
        <v>..</v>
      </c>
      <c r="K17" s="214" t="str">
        <f>'18C'!T$22</f>
        <v>..</v>
      </c>
      <c r="L17" s="214" t="str">
        <f>'18C'!U$22</f>
        <v>..</v>
      </c>
      <c r="M17" s="489"/>
      <c r="N17" s="324" t="s">
        <v>385</v>
      </c>
      <c r="O17" s="292">
        <f>'19C'!B$33</f>
        <v>-3.3155320022515422E-2</v>
      </c>
      <c r="P17" s="292" t="str">
        <f>'19C'!C$33</f>
        <v>..</v>
      </c>
      <c r="Q17" s="292">
        <f>'19C'!D$33</f>
        <v>-19.159798520031668</v>
      </c>
      <c r="R17" s="292" t="str">
        <f>'19C'!E$33</f>
        <v>..</v>
      </c>
      <c r="S17" s="292" t="str">
        <f>'19C'!F$33</f>
        <v>..</v>
      </c>
      <c r="T17" s="292" t="str">
        <f>'19C'!G$33</f>
        <v>..</v>
      </c>
      <c r="U17" s="292" t="str">
        <f>'19C'!H$33</f>
        <v>..</v>
      </c>
      <c r="V17" s="292" t="str">
        <f>'19C'!I$33</f>
        <v>..</v>
      </c>
      <c r="W17" s="292" t="str">
        <f>'19C'!J$33</f>
        <v>..</v>
      </c>
      <c r="X17" s="292" t="str">
        <f>'19C'!K$33</f>
        <v>..</v>
      </c>
      <c r="Y17" s="489"/>
      <c r="Z17" s="324" t="s">
        <v>385</v>
      </c>
      <c r="AA17" s="253">
        <f>'20C'!B$21</f>
        <v>1.150646352990492</v>
      </c>
      <c r="AB17" s="253" t="str">
        <f>'20C'!C$21</f>
        <v>n.a.</v>
      </c>
      <c r="AC17" s="253">
        <f>'20C'!D$21</f>
        <v>4.1295439982828475</v>
      </c>
      <c r="AD17" s="253" t="str">
        <f>'20C'!E$21</f>
        <v>n.a.</v>
      </c>
      <c r="AE17" s="253" t="str">
        <f>'20C'!F$21</f>
        <v>n.a.</v>
      </c>
      <c r="AF17" s="253" t="str">
        <f>'20C'!G$21</f>
        <v>n.a.</v>
      </c>
      <c r="AG17" s="253" t="str">
        <f>'20C'!H$21</f>
        <v>n.a.</v>
      </c>
      <c r="AH17" s="253" t="str">
        <f>'20C'!I$21</f>
        <v>n.a.</v>
      </c>
      <c r="AI17" s="253" t="str">
        <f>'20C'!J$21</f>
        <v>n.a.</v>
      </c>
      <c r="AJ17" s="253" t="str">
        <f>'20C'!K$21</f>
        <v>n.a.</v>
      </c>
      <c r="AK17" s="483"/>
      <c r="AL17" s="322" t="s">
        <v>385</v>
      </c>
      <c r="AM17" s="280">
        <f>'21C'!B$22</f>
        <v>1.3920977760631281</v>
      </c>
      <c r="AN17" s="280" t="str">
        <f>'21C'!C$22</f>
        <v>n.a.</v>
      </c>
      <c r="AO17" s="280" t="str">
        <f>'21C'!D$22</f>
        <v>n.a.</v>
      </c>
      <c r="AP17" s="280" t="str">
        <f>'21C'!E$22</f>
        <v>n.a.</v>
      </c>
      <c r="AQ17" s="280">
        <f>'21C'!F$22</f>
        <v>-0.27121269764350808</v>
      </c>
      <c r="AR17" s="280" t="str">
        <f>'21C'!G$22</f>
        <v>n.a.</v>
      </c>
      <c r="AS17" s="280" t="str">
        <f>'21C'!H$22</f>
        <v>n.a.</v>
      </c>
      <c r="AT17" s="280" t="str">
        <f>'21C'!I$22</f>
        <v>n.a.</v>
      </c>
    </row>
    <row r="18" spans="1:46">
      <c r="A18" s="488"/>
      <c r="B18" s="322" t="s">
        <v>386</v>
      </c>
      <c r="C18" s="214">
        <f>'18D'!L$22</f>
        <v>1.6727880422296781</v>
      </c>
      <c r="D18" s="214" t="str">
        <f>'18D'!M$22</f>
        <v>..</v>
      </c>
      <c r="E18" s="214">
        <f>'18D'!N$22</f>
        <v>-1.7490380909452652</v>
      </c>
      <c r="F18" s="214">
        <f>'18D'!O$22</f>
        <v>1.4757859547664731</v>
      </c>
      <c r="G18" s="214" t="str">
        <f>'18D'!P$22</f>
        <v>..</v>
      </c>
      <c r="H18" s="214">
        <f>'18D'!Q$22</f>
        <v>-1.0735759100724884</v>
      </c>
      <c r="I18" s="214" t="str">
        <f>'18D'!R$22</f>
        <v>..</v>
      </c>
      <c r="J18" s="214" t="str">
        <f>'18D'!S$22</f>
        <v>..</v>
      </c>
      <c r="K18" s="214" t="str">
        <f>'18D'!T$22</f>
        <v>..</v>
      </c>
      <c r="L18" s="214" t="str">
        <f>'18D'!U$22</f>
        <v>..</v>
      </c>
      <c r="M18" s="489"/>
      <c r="N18" s="324" t="s">
        <v>386</v>
      </c>
      <c r="O18" s="292">
        <f>'19D'!B$33</f>
        <v>0.19663521174677623</v>
      </c>
      <c r="P18" s="292" t="str">
        <f>'19D'!C$33</f>
        <v>..</v>
      </c>
      <c r="Q18" s="292">
        <f>'19D'!D$33</f>
        <v>-8.7252730633663447</v>
      </c>
      <c r="R18" s="292">
        <f>'19D'!E$33</f>
        <v>-10.444233367678624</v>
      </c>
      <c r="S18" s="292" t="str">
        <f>'19D'!F$33</f>
        <v>..</v>
      </c>
      <c r="T18" s="292">
        <f>'19D'!G$33</f>
        <v>-9.5652062180329729</v>
      </c>
      <c r="U18" s="292" t="str">
        <f>'19D'!H$33</f>
        <v>..</v>
      </c>
      <c r="V18" s="292" t="str">
        <f>'19D'!I$33</f>
        <v>..</v>
      </c>
      <c r="W18" s="292" t="str">
        <f>'19D'!J$33</f>
        <v>..</v>
      </c>
      <c r="X18" s="292" t="str">
        <f>'19D'!K$33</f>
        <v>..</v>
      </c>
      <c r="Y18" s="489"/>
      <c r="Z18" s="324" t="s">
        <v>386</v>
      </c>
      <c r="AA18" s="253">
        <f>'20D'!B$21</f>
        <v>1.4732558906427773</v>
      </c>
      <c r="AB18" s="253">
        <f>'20D'!C$21</f>
        <v>0</v>
      </c>
      <c r="AC18" s="253">
        <f>'20D'!D$21</f>
        <v>7.6431178778154418</v>
      </c>
      <c r="AD18" s="253">
        <f>'20D'!E$21</f>
        <v>13.31016390198938</v>
      </c>
      <c r="AE18" s="253">
        <f>'20D'!F$21</f>
        <v>0</v>
      </c>
      <c r="AF18" s="253">
        <f>'20D'!G$21</f>
        <v>9.389782353496944</v>
      </c>
      <c r="AG18" s="253">
        <f>'20D'!H$21</f>
        <v>0</v>
      </c>
      <c r="AH18" s="253">
        <f>'20D'!I$21</f>
        <v>0</v>
      </c>
      <c r="AI18" s="253">
        <f>'20D'!J$21</f>
        <v>0</v>
      </c>
      <c r="AJ18" s="253">
        <f>'20D'!K$21</f>
        <v>0</v>
      </c>
      <c r="AK18" s="483"/>
      <c r="AL18" s="322" t="s">
        <v>386</v>
      </c>
      <c r="AM18" s="280">
        <f>'21D'!B$22</f>
        <v>1.0549687575686306</v>
      </c>
      <c r="AN18" s="280">
        <f>'21D'!C$22</f>
        <v>-5.6429271528517404</v>
      </c>
      <c r="AO18" s="280" t="str">
        <f>'21D'!D$22</f>
        <v>n.a.</v>
      </c>
      <c r="AP18" s="280" t="str">
        <f>'21D'!E$22</f>
        <v>n.a.</v>
      </c>
      <c r="AQ18" s="280">
        <f>'21D'!F$22</f>
        <v>0.61136952715623583</v>
      </c>
      <c r="AR18" s="280">
        <f>'21D'!G$22</f>
        <v>4.1267590700002854</v>
      </c>
      <c r="AS18" s="280" t="str">
        <f>'21D'!H$22</f>
        <v>n.a.</v>
      </c>
      <c r="AT18" s="280" t="str">
        <f>'21D'!I$22</f>
        <v>n.a.</v>
      </c>
    </row>
    <row r="19" spans="1:46">
      <c r="A19" s="488"/>
      <c r="B19" s="322" t="s">
        <v>387</v>
      </c>
      <c r="C19" s="214">
        <f>'18E'!L$22</f>
        <v>0.64116834908558573</v>
      </c>
      <c r="D19" s="214" t="str">
        <f>'18E'!M$22</f>
        <v>..</v>
      </c>
      <c r="E19" s="214">
        <f>'18E'!N$22</f>
        <v>4.0724856697584189</v>
      </c>
      <c r="F19" s="214">
        <f>'18E'!O$22</f>
        <v>-3.4115017119607738</v>
      </c>
      <c r="G19" s="214" t="str">
        <f>'18E'!P$22</f>
        <v>..</v>
      </c>
      <c r="H19" s="214" t="str">
        <f>'18E'!Q$22</f>
        <v>..</v>
      </c>
      <c r="I19" s="214" t="str">
        <f>'18E'!R$22</f>
        <v>..</v>
      </c>
      <c r="J19" s="214" t="str">
        <f>'18E'!S$22</f>
        <v>..</v>
      </c>
      <c r="K19" s="214" t="str">
        <f>'18E'!T$22</f>
        <v>..</v>
      </c>
      <c r="L19" s="214" t="str">
        <f>'18E'!U$22</f>
        <v>..</v>
      </c>
      <c r="M19" s="489"/>
      <c r="N19" s="324" t="s">
        <v>387</v>
      </c>
      <c r="O19" s="292">
        <f>'19E'!B$33</f>
        <v>-6.0511811481245292E-2</v>
      </c>
      <c r="P19" s="292" t="str">
        <f>'19E'!C$33</f>
        <v>..</v>
      </c>
      <c r="Q19" s="292">
        <f>'19E'!D$33</f>
        <v>0.2225526628280905</v>
      </c>
      <c r="R19" s="292">
        <f>'19E'!E$33</f>
        <v>0.73861144576550242</v>
      </c>
      <c r="S19" s="292" t="str">
        <f>'19E'!F$33</f>
        <v>..</v>
      </c>
      <c r="T19" s="292" t="str">
        <f>'19E'!G$33</f>
        <v>..</v>
      </c>
      <c r="U19" s="292" t="str">
        <f>'19E'!H$33</f>
        <v>..</v>
      </c>
      <c r="V19" s="292" t="str">
        <f>'19E'!I$33</f>
        <v>..</v>
      </c>
      <c r="W19" s="292" t="str">
        <f>'19E'!J$33</f>
        <v>..</v>
      </c>
      <c r="X19" s="292" t="str">
        <f>'19E'!K$33</f>
        <v>..</v>
      </c>
      <c r="Y19" s="489"/>
      <c r="Z19" s="324" t="s">
        <v>387</v>
      </c>
      <c r="AA19" s="253">
        <f>'20E'!B$21</f>
        <v>0.70210501703114048</v>
      </c>
      <c r="AB19" s="253" t="str">
        <f>'20E'!C$21</f>
        <v>n.a.</v>
      </c>
      <c r="AC19" s="253">
        <f>'20E'!D$21</f>
        <v>3.8413839047608311</v>
      </c>
      <c r="AD19" s="253">
        <f>'20E'!E$21</f>
        <v>-4.1196846950392612</v>
      </c>
      <c r="AE19" s="253" t="str">
        <f>'20E'!F$21</f>
        <v>n.a.</v>
      </c>
      <c r="AF19" s="253" t="str">
        <f>'20E'!G$21</f>
        <v>n.a.</v>
      </c>
      <c r="AG19" s="253" t="str">
        <f>'20E'!H$21</f>
        <v>n.a.</v>
      </c>
      <c r="AH19" s="253" t="str">
        <f>'20E'!I$21</f>
        <v>n.a.</v>
      </c>
      <c r="AI19" s="253" t="str">
        <f>'20E'!J$21</f>
        <v>n.a.</v>
      </c>
      <c r="AJ19" s="253" t="str">
        <f>'20E'!K$21</f>
        <v>n.a.</v>
      </c>
      <c r="AK19" s="483"/>
      <c r="AL19" s="322" t="s">
        <v>387</v>
      </c>
      <c r="AM19" s="280">
        <f>'21E'!B$22</f>
        <v>2.0620506026031382</v>
      </c>
      <c r="AN19" s="280">
        <f>'21E'!C$22</f>
        <v>3.3753540401440185</v>
      </c>
      <c r="AO19" s="280" t="str">
        <f>'21E'!D$22</f>
        <v>n.a.</v>
      </c>
      <c r="AP19" s="280" t="str">
        <f>'21E'!E$22</f>
        <v>n.a.</v>
      </c>
      <c r="AQ19" s="280" t="str">
        <f>'21E'!F$22</f>
        <v>n.a.</v>
      </c>
      <c r="AR19" s="280" t="str">
        <f>'21E'!G$22</f>
        <v>n.a.</v>
      </c>
      <c r="AS19" s="280" t="str">
        <f>'21E'!H$22</f>
        <v>n.a.</v>
      </c>
      <c r="AT19" s="280" t="str">
        <f>'21E'!I$22</f>
        <v>n.a.</v>
      </c>
    </row>
    <row r="20" spans="1:46">
      <c r="A20" s="488"/>
      <c r="B20" s="322" t="s">
        <v>256</v>
      </c>
      <c r="C20" s="214">
        <f>'18F'!L$22</f>
        <v>1.0131861154098587</v>
      </c>
      <c r="D20" s="214">
        <f>'18F'!M$22</f>
        <v>-3.8008212399241459</v>
      </c>
      <c r="E20" s="214">
        <f>'18F'!N$22</f>
        <v>2.6797336861905663E-2</v>
      </c>
      <c r="F20" s="214">
        <f>'18F'!O$22</f>
        <v>-4.6820933083971834</v>
      </c>
      <c r="G20" s="214">
        <f>'18F'!P$22</f>
        <v>-8.4754514285645399</v>
      </c>
      <c r="H20" s="214">
        <f>'18F'!Q$22</f>
        <v>-0.35477302664372878</v>
      </c>
      <c r="I20" s="214">
        <f>'18F'!R$22</f>
        <v>-3.7827973156788208</v>
      </c>
      <c r="J20" s="214">
        <f>'18F'!S$22</f>
        <v>-4.196482243489708</v>
      </c>
      <c r="K20" s="214">
        <f>'18F'!T$22</f>
        <v>-5.4326390424105035</v>
      </c>
      <c r="L20" s="214">
        <f>'18F'!U$22</f>
        <v>-1.9108651689785372</v>
      </c>
      <c r="M20" s="489"/>
      <c r="N20" s="324" t="s">
        <v>256</v>
      </c>
      <c r="O20" s="292">
        <f>'19F'!B$33</f>
        <v>0.64508971826799932</v>
      </c>
      <c r="P20" s="292">
        <f>'19F'!C$33</f>
        <v>-5.2887272330458313</v>
      </c>
      <c r="Q20" s="292">
        <f>'19F'!D$33</f>
        <v>-10.927761687305072</v>
      </c>
      <c r="R20" s="292">
        <f>'19F'!E$33</f>
        <v>-2.6343970033101738</v>
      </c>
      <c r="S20" s="292">
        <f>'19F'!F$33</f>
        <v>-13.111940069460303</v>
      </c>
      <c r="T20" s="292">
        <f>'19F'!G$33</f>
        <v>10.056756812277934</v>
      </c>
      <c r="U20" s="292">
        <f>'19F'!H$33</f>
        <v>1.9725819666268629</v>
      </c>
      <c r="V20" s="292">
        <f>'19F'!I$33</f>
        <v>-5.7547000637213186</v>
      </c>
      <c r="W20" s="292">
        <f>'19F'!J$33</f>
        <v>-8.74368237642107</v>
      </c>
      <c r="X20" s="292">
        <f>'19F'!K$33</f>
        <v>-1.2010608671297995</v>
      </c>
      <c r="Y20" s="489"/>
      <c r="Z20" s="324" t="s">
        <v>256</v>
      </c>
      <c r="AA20" s="253">
        <f>'20F'!B$21</f>
        <v>0.36573706494003044</v>
      </c>
      <c r="AB20" s="253">
        <f>'20F'!C$21</f>
        <v>1.5709914455302787</v>
      </c>
      <c r="AC20" s="253">
        <f>'20F'!D$21</f>
        <v>12.298510997006895</v>
      </c>
      <c r="AD20" s="253">
        <f>'20F'!E$21</f>
        <v>-2.1031003168096474</v>
      </c>
      <c r="AE20" s="253">
        <f>'20F'!F$21</f>
        <v>5.3361631559069034</v>
      </c>
      <c r="AF20" s="253">
        <f>'20F'!G$21</f>
        <v>-9.4601459651227451</v>
      </c>
      <c r="AG20" s="253">
        <f>'20F'!H$21</f>
        <v>-5.6440458516479275</v>
      </c>
      <c r="AH20" s="253">
        <f>'20F'!I$21</f>
        <v>1.6533639569136671</v>
      </c>
      <c r="AI20" s="253">
        <f>'20F'!J$21</f>
        <v>3.6282894381824748</v>
      </c>
      <c r="AJ20" s="253">
        <f>'20F'!K$21</f>
        <v>-0.71843312092061407</v>
      </c>
      <c r="AK20" s="483"/>
      <c r="AL20" s="322" t="s">
        <v>256</v>
      </c>
      <c r="AM20" s="280">
        <f>'21F'!B$22</f>
        <v>1.6773364219749176</v>
      </c>
      <c r="AN20" s="280">
        <f>'21F'!C$22</f>
        <v>-4.2306078017151023</v>
      </c>
      <c r="AO20" s="280">
        <f>'21F'!D$22</f>
        <v>-3.8267324699997718</v>
      </c>
      <c r="AP20" s="280">
        <f>'21F'!E$22</f>
        <v>-9.4480502371148027</v>
      </c>
      <c r="AQ20" s="280">
        <f>'21F'!F$22</f>
        <v>-0.65319404494307287</v>
      </c>
      <c r="AR20" s="280">
        <f>'21F'!G$22</f>
        <v>4.4454757839146541</v>
      </c>
      <c r="AS20" s="280">
        <f>'21F'!H$22</f>
        <v>-0.88939562974772457</v>
      </c>
      <c r="AT20" s="280">
        <f>'21F'!I$22</f>
        <v>5.7995084671026653</v>
      </c>
    </row>
    <row r="21" spans="1:46">
      <c r="A21" s="488"/>
      <c r="B21" s="322" t="s">
        <v>257</v>
      </c>
      <c r="C21" s="214">
        <f>'18G'!L$22</f>
        <v>-8.7124276998196137E-3</v>
      </c>
      <c r="D21" s="214">
        <f>'18G'!M$22</f>
        <v>-9.028196108107057</v>
      </c>
      <c r="E21" s="214">
        <f>'18G'!N$22</f>
        <v>-8.9464566288639524</v>
      </c>
      <c r="F21" s="214">
        <f>'18G'!O$22</f>
        <v>-12.674801909222122</v>
      </c>
      <c r="G21" s="214">
        <f>'18G'!P$22</f>
        <v>-18.630634804806856</v>
      </c>
      <c r="H21" s="214">
        <f>'18G'!Q$22</f>
        <v>-8.9948861230058306</v>
      </c>
      <c r="I21" s="214">
        <f>'18G'!R$22</f>
        <v>-12.157575992383418</v>
      </c>
      <c r="J21" s="214">
        <f>'18G'!S$22</f>
        <v>-7.2381122439990397</v>
      </c>
      <c r="K21" s="214">
        <f>'18G'!T$22</f>
        <v>-11.329324032369858</v>
      </c>
      <c r="L21" s="214">
        <f>'18G'!U$22</f>
        <v>-4.7917677720480389</v>
      </c>
      <c r="M21" s="489"/>
      <c r="N21" s="324" t="s">
        <v>257</v>
      </c>
      <c r="O21" s="292">
        <f>'19G'!B$33</f>
        <v>-0.51423063869331376</v>
      </c>
      <c r="P21" s="292">
        <f>'19G'!C$33</f>
        <v>-9.5698609233870418</v>
      </c>
      <c r="Q21" s="292">
        <f>'19G'!D$33</f>
        <v>-12.128050824511938</v>
      </c>
      <c r="R21" s="292">
        <f>'19G'!E$33</f>
        <v>-10.256267669796582</v>
      </c>
      <c r="S21" s="292">
        <f>'19G'!F$33</f>
        <v>-15.482680533686356</v>
      </c>
      <c r="T21" s="292">
        <f>'19G'!G$33</f>
        <v>-9.5960956864456151</v>
      </c>
      <c r="U21" s="292">
        <f>'19G'!H$33</f>
        <v>-8.5860678540473749</v>
      </c>
      <c r="V21" s="292">
        <f>'19G'!I$33</f>
        <v>-8.361915401013075</v>
      </c>
      <c r="W21" s="292">
        <f>'19G'!J$33</f>
        <v>-11.916837536221292</v>
      </c>
      <c r="X21" s="292">
        <f>'19G'!K$33</f>
        <v>-6.7724840228214784</v>
      </c>
      <c r="Y21" s="489"/>
      <c r="Z21" s="324" t="s">
        <v>257</v>
      </c>
      <c r="AA21" s="253">
        <f>'20G'!B$21</f>
        <v>0.50813117719137324</v>
      </c>
      <c r="AB21" s="253">
        <f>'20G'!C$21</f>
        <v>0.59898704216421184</v>
      </c>
      <c r="AC21" s="253">
        <f>'20G'!D$21</f>
        <v>3.6207165375312877</v>
      </c>
      <c r="AD21" s="253">
        <f>'20G'!E$21</f>
        <v>-2.6949338707318082</v>
      </c>
      <c r="AE21" s="253">
        <f>'20G'!F$21</f>
        <v>-3.7246262553028542</v>
      </c>
      <c r="AF21" s="253">
        <f>'20G'!G$21</f>
        <v>0.66502610479584057</v>
      </c>
      <c r="AG21" s="253">
        <f>'20G'!H$21</f>
        <v>-3.9069625980356348</v>
      </c>
      <c r="AH21" s="253">
        <f>'20G'!I$21</f>
        <v>1.2263494615059489</v>
      </c>
      <c r="AI21" s="253">
        <f>'20G'!J$21</f>
        <v>0.66699864925152674</v>
      </c>
      <c r="AJ21" s="253">
        <f>'20G'!K$21</f>
        <v>2.1246047693240122</v>
      </c>
      <c r="AK21" s="483"/>
      <c r="AL21" s="322" t="s">
        <v>257</v>
      </c>
      <c r="AM21" s="280">
        <f>'21G'!B$22</f>
        <v>1.3412655188556499</v>
      </c>
      <c r="AN21" s="280">
        <f>'21G'!C$22</f>
        <v>-5.7856573908862234</v>
      </c>
      <c r="AO21" s="280">
        <f>'21G'!D$22</f>
        <v>-5.7062539708942257</v>
      </c>
      <c r="AP21" s="280">
        <f>'21G'!E$22</f>
        <v>-7.372666438257891</v>
      </c>
      <c r="AQ21" s="280">
        <f>'21G'!F$22</f>
        <v>-1.3321108036728702</v>
      </c>
      <c r="AR21" s="280">
        <f>'21G'!G$22</f>
        <v>-3.3549023964340452</v>
      </c>
      <c r="AS21" s="280">
        <f>'21G'!H$22</f>
        <v>-7.3902546370115729</v>
      </c>
      <c r="AT21" s="280">
        <f>'21G'!I$22</f>
        <v>0.1452640263785332</v>
      </c>
    </row>
    <row r="22" spans="1:46" s="315" customFormat="1">
      <c r="A22" s="488"/>
      <c r="B22" s="324" t="s">
        <v>388</v>
      </c>
      <c r="C22" s="214">
        <f>'18H'!L$22</f>
        <v>1.92779416201041</v>
      </c>
      <c r="D22" s="214" t="str">
        <f>'18H'!M$22</f>
        <v>x</v>
      </c>
      <c r="E22" s="214">
        <f>'18H'!N$22</f>
        <v>-9.8150905333005856</v>
      </c>
      <c r="F22" s="214" t="str">
        <f>'18H'!O$22</f>
        <v>..</v>
      </c>
      <c r="G22" s="214">
        <f>'18H'!P$22</f>
        <v>-7.1272017684186117</v>
      </c>
      <c r="H22" s="214" t="str">
        <f>'18H'!Q$22</f>
        <v>..</v>
      </c>
      <c r="I22" s="214" t="str">
        <f>'18H'!R$22</f>
        <v>..</v>
      </c>
      <c r="J22" s="214" t="str">
        <f>'18H'!S$22</f>
        <v>..</v>
      </c>
      <c r="K22" s="214" t="str">
        <f>'18H'!T$22</f>
        <v>..</v>
      </c>
      <c r="L22" s="214" t="str">
        <f>'18H'!U$22</f>
        <v>..</v>
      </c>
      <c r="M22" s="489"/>
      <c r="N22" s="324" t="s">
        <v>388</v>
      </c>
      <c r="O22" s="292">
        <f>'19H'!B$33</f>
        <v>0.32613387450675102</v>
      </c>
      <c r="P22" s="292" t="str">
        <f>'19H'!C$33</f>
        <v>..</v>
      </c>
      <c r="Q22" s="292">
        <f>'19H'!D$33</f>
        <v>-15.203937912730636</v>
      </c>
      <c r="R22" s="292">
        <f>'19H'!E$33</f>
        <v>-15.013665592043102</v>
      </c>
      <c r="S22" s="292" t="str">
        <f>'19H'!F$33</f>
        <v>..</v>
      </c>
      <c r="T22" s="292">
        <f>'19H'!G$33</f>
        <v>-2.4814076785918182</v>
      </c>
      <c r="U22" s="292" t="str">
        <f>'19H'!H$33</f>
        <v>..</v>
      </c>
      <c r="V22" s="292" t="str">
        <f>'19H'!I$33</f>
        <v>..</v>
      </c>
      <c r="W22" s="292" t="str">
        <f>'19H'!J$33</f>
        <v>..</v>
      </c>
      <c r="X22" s="292" t="str">
        <f>'19H'!K$33</f>
        <v>..</v>
      </c>
      <c r="Y22" s="489"/>
      <c r="Z22" s="324" t="s">
        <v>388</v>
      </c>
      <c r="AA22" s="253">
        <f>'20H'!B$21</f>
        <v>1.5964537111607502</v>
      </c>
      <c r="AB22" s="253" t="str">
        <f>'20H'!C$21</f>
        <v>n.a.</v>
      </c>
      <c r="AC22" s="253">
        <f>'20H'!D$21</f>
        <v>6.3550679675242749</v>
      </c>
      <c r="AD22" s="253" t="str">
        <f>'20H'!E$21</f>
        <v>n.a.</v>
      </c>
      <c r="AE22" s="253" t="str">
        <f>'20H'!F$21</f>
        <v>n.a.</v>
      </c>
      <c r="AF22" s="253" t="str">
        <f>'20H'!G$21</f>
        <v>n.a.</v>
      </c>
      <c r="AG22" s="253" t="str">
        <f>'20H'!H$21</f>
        <v>n.a.</v>
      </c>
      <c r="AH22" s="253" t="str">
        <f>'20H'!I$21</f>
        <v>n.a.</v>
      </c>
      <c r="AI22" s="253" t="str">
        <f>'20H'!J$21</f>
        <v>n.a.</v>
      </c>
      <c r="AJ22" s="253" t="str">
        <f>'20H'!K$21</f>
        <v>n.a.</v>
      </c>
      <c r="AK22" s="483"/>
      <c r="AL22" s="324" t="s">
        <v>388</v>
      </c>
      <c r="AM22" s="280">
        <f>'21H'!B$22</f>
        <v>2.7426992964707519</v>
      </c>
      <c r="AN22" s="280">
        <f>'21H'!C$22</f>
        <v>-5.9895690568656956</v>
      </c>
      <c r="AO22" s="280" t="str">
        <f>'21H'!D$22</f>
        <v>n.a.</v>
      </c>
      <c r="AP22" s="280" t="str">
        <f>'21H'!E$22</f>
        <v>n.a.</v>
      </c>
      <c r="AQ22" s="280">
        <f>'21H'!F$22</f>
        <v>-0.79315137721744922</v>
      </c>
      <c r="AR22" s="280">
        <f>'21H'!G$22</f>
        <v>-4.0692521436785034</v>
      </c>
      <c r="AS22" s="280" t="str">
        <f>'21H'!H$22</f>
        <v>n.a.</v>
      </c>
      <c r="AT22" s="280" t="str">
        <f>'21H'!I$22</f>
        <v>n.a.</v>
      </c>
    </row>
    <row r="23" spans="1:46">
      <c r="A23" s="488"/>
      <c r="B23" s="322" t="s">
        <v>389</v>
      </c>
      <c r="C23" s="214">
        <f>'18I'!L$22</f>
        <v>1.5843578523736968</v>
      </c>
      <c r="D23" s="214" t="str">
        <f>'18I'!M$22</f>
        <v>..</v>
      </c>
      <c r="E23" s="214">
        <f>'18I'!N$22</f>
        <v>7.5872563249679281E-2</v>
      </c>
      <c r="F23" s="214">
        <f>'18I'!O$22</f>
        <v>-6.5570848252033294</v>
      </c>
      <c r="G23" s="214" t="str">
        <f>'18I'!P$22</f>
        <v>..</v>
      </c>
      <c r="H23" s="214">
        <f>'18I'!Q$22</f>
        <v>-7.0404143870816283</v>
      </c>
      <c r="I23" s="214" t="str">
        <f>'18I'!R$22</f>
        <v>..</v>
      </c>
      <c r="J23" s="214" t="str">
        <f>'18I'!S$22</f>
        <v>..</v>
      </c>
      <c r="K23" s="214" t="str">
        <f>'18I'!T$22</f>
        <v>..</v>
      </c>
      <c r="L23" s="214" t="str">
        <f>'18I'!U$22</f>
        <v>..</v>
      </c>
      <c r="M23" s="489"/>
      <c r="N23" s="324" t="s">
        <v>389</v>
      </c>
      <c r="O23" s="292">
        <f>'19I'!B$33</f>
        <v>0.79436976340763188</v>
      </c>
      <c r="P23" s="292" t="str">
        <f>'19I'!C$33</f>
        <v>..</v>
      </c>
      <c r="Q23" s="292">
        <f>'19I'!D$33</f>
        <v>-10.860392137111685</v>
      </c>
      <c r="R23" s="292">
        <f>'19I'!E$33</f>
        <v>4.4331946451030557</v>
      </c>
      <c r="S23" s="292" t="str">
        <f>'19I'!F$33</f>
        <v>..</v>
      </c>
      <c r="T23" s="292">
        <f>'19I'!G$33</f>
        <v>14.628831743159854</v>
      </c>
      <c r="U23" s="292" t="str">
        <f>'19I'!H$33</f>
        <v>..</v>
      </c>
      <c r="V23" s="292" t="str">
        <f>'19I'!I$33</f>
        <v>..</v>
      </c>
      <c r="W23" s="292" t="str">
        <f>'19I'!J$33</f>
        <v>..</v>
      </c>
      <c r="X23" s="292" t="str">
        <f>'19I'!K$33</f>
        <v>..</v>
      </c>
      <c r="Y23" s="489"/>
      <c r="Z23" s="324" t="s">
        <v>389</v>
      </c>
      <c r="AA23" s="253">
        <f>'20I'!B$21</f>
        <v>0.78376211967035037</v>
      </c>
      <c r="AB23" s="253" t="str">
        <f>'20I'!C$21</f>
        <v>n.a.</v>
      </c>
      <c r="AC23" s="253">
        <f>'20I'!D$21</f>
        <v>12.268692854452734</v>
      </c>
      <c r="AD23" s="253">
        <f>'20I'!E$21</f>
        <v>-10.52374152457446</v>
      </c>
      <c r="AE23" s="253" t="str">
        <f>'20I'!F$21</f>
        <v>n.a.</v>
      </c>
      <c r="AF23" s="253">
        <f>'20I'!G$21</f>
        <v>-18.903835798304325</v>
      </c>
      <c r="AG23" s="253" t="str">
        <f>'20I'!H$21</f>
        <v>n.a.</v>
      </c>
      <c r="AH23" s="253" t="str">
        <f>'20I'!I$21</f>
        <v>n.a.</v>
      </c>
      <c r="AI23" s="253" t="str">
        <f>'20I'!J$21</f>
        <v>n.a.</v>
      </c>
      <c r="AJ23" s="253" t="str">
        <f>'20I'!K$21</f>
        <v>n.a.</v>
      </c>
      <c r="AK23" s="483"/>
      <c r="AL23" s="322" t="s">
        <v>389</v>
      </c>
      <c r="AM23" s="280">
        <f>'21I'!B$22</f>
        <v>5.0074366423321637</v>
      </c>
      <c r="AN23" s="280">
        <f>'21I'!C$22</f>
        <v>-12.302299851560072</v>
      </c>
      <c r="AO23" s="280" t="str">
        <f>'21I'!D$22</f>
        <v>n.a.</v>
      </c>
      <c r="AP23" s="280" t="str">
        <f>'21I'!E$22</f>
        <v>n.a.</v>
      </c>
      <c r="AQ23" s="280">
        <f>'21I'!F$22</f>
        <v>-3.2598441590550142</v>
      </c>
      <c r="AR23" s="280">
        <f>'21I'!G$22</f>
        <v>14.11459182379704</v>
      </c>
      <c r="AS23" s="280" t="str">
        <f>'21I'!H$22</f>
        <v>n.a.</v>
      </c>
      <c r="AT23" s="280" t="str">
        <f>'21I'!I$22</f>
        <v>n.a.</v>
      </c>
    </row>
    <row r="24" spans="1:46">
      <c r="A24" s="488"/>
      <c r="B24" s="322" t="s">
        <v>390</v>
      </c>
      <c r="C24" s="214">
        <f>'18J'!L$22</f>
        <v>0.63921359667558075</v>
      </c>
      <c r="D24" s="214">
        <f>'18J'!M$22</f>
        <v>-5.0740410400444862</v>
      </c>
      <c r="E24" s="214">
        <f>'18J'!N$22</f>
        <v>0.4958246539364719</v>
      </c>
      <c r="F24" s="214">
        <f>'18J'!O$22</f>
        <v>-9.2258857321322338</v>
      </c>
      <c r="G24" s="214" t="str">
        <f>'18J'!P$22</f>
        <v>..</v>
      </c>
      <c r="H24" s="214">
        <f>'18J'!Q$22</f>
        <v>-5.0587625257082713</v>
      </c>
      <c r="I24" s="214" t="str">
        <f>'18J'!R$22</f>
        <v>..</v>
      </c>
      <c r="J24" s="214">
        <f>'18J'!S$22</f>
        <v>2.2732439973793817E-2</v>
      </c>
      <c r="K24" s="214" t="str">
        <f>'18J'!T$22</f>
        <v>..</v>
      </c>
      <c r="L24" s="214" t="str">
        <f>'18J'!U$22</f>
        <v>..</v>
      </c>
      <c r="M24" s="489"/>
      <c r="N24" s="324" t="s">
        <v>390</v>
      </c>
      <c r="O24" s="292">
        <f>'19J'!B$33</f>
        <v>-0.72557457571290618</v>
      </c>
      <c r="P24" s="292">
        <f>'19J'!C$33</f>
        <v>-6.621507274577942</v>
      </c>
      <c r="Q24" s="292">
        <f>'19J'!D$33</f>
        <v>-5.0854781246340686</v>
      </c>
      <c r="R24" s="292">
        <f>'19J'!E$33</f>
        <v>-8.8129170753988078</v>
      </c>
      <c r="S24" s="292" t="str">
        <f>'19J'!F$33</f>
        <v>..</v>
      </c>
      <c r="T24" s="292">
        <f>'19J'!G$33</f>
        <v>-9.0373544801138799</v>
      </c>
      <c r="U24" s="292" t="str">
        <f>'19J'!H$33</f>
        <v>..</v>
      </c>
      <c r="V24" s="292">
        <f>'19J'!I$33</f>
        <v>0.30561832267665956</v>
      </c>
      <c r="W24" s="292" t="str">
        <f>'19J'!J$33</f>
        <v>..</v>
      </c>
      <c r="X24" s="292" t="str">
        <f>'19J'!K$33</f>
        <v>..</v>
      </c>
      <c r="Y24" s="489"/>
      <c r="Z24" s="324" t="s">
        <v>390</v>
      </c>
      <c r="AA24" s="253">
        <f>'20J'!B$21</f>
        <v>1.3747631039470187</v>
      </c>
      <c r="AB24" s="253">
        <f>'20J'!C$21</f>
        <v>1.6571977008493333</v>
      </c>
      <c r="AC24" s="253">
        <f>'20J'!D$21</f>
        <v>5.8803465142030165</v>
      </c>
      <c r="AD24" s="253">
        <f>'20J'!E$21</f>
        <v>-0.45288065314569304</v>
      </c>
      <c r="AE24" s="253" t="str">
        <f>'20J'!F$21</f>
        <v>n.a.</v>
      </c>
      <c r="AF24" s="253">
        <f>'20J'!G$21</f>
        <v>4.373874497236141</v>
      </c>
      <c r="AG24" s="253" t="str">
        <f>'20J'!H$21</f>
        <v>n.a.</v>
      </c>
      <c r="AH24" s="253">
        <f>'20J'!I$21</f>
        <v>-0.28202396578906885</v>
      </c>
      <c r="AI24" s="253" t="str">
        <f>'20J'!J$21</f>
        <v>n.a.</v>
      </c>
      <c r="AJ24" s="253" t="str">
        <f>'20J'!K$21</f>
        <v>n.a.</v>
      </c>
      <c r="AK24" s="483"/>
      <c r="AL24" s="322" t="s">
        <v>390</v>
      </c>
      <c r="AM24" s="280">
        <f>'21J'!B$22</f>
        <v>2.6395154460783665</v>
      </c>
      <c r="AN24" s="280">
        <f>'21J'!C$22</f>
        <v>-4.7921927145386567</v>
      </c>
      <c r="AO24" s="280">
        <f>'21J'!D$22</f>
        <v>-5.936907233041067</v>
      </c>
      <c r="AP24" s="280">
        <f>'21J'!E$22</f>
        <v>-6.8576880584938715</v>
      </c>
      <c r="AQ24" s="280">
        <f>'21J'!F$22</f>
        <v>-1.9488613529685228</v>
      </c>
      <c r="AR24" s="280">
        <f>'21J'!G$22</f>
        <v>5.5541845981391891</v>
      </c>
      <c r="AS24" s="280">
        <f>'21J'!H$22</f>
        <v>-3.4965664027650112</v>
      </c>
      <c r="AT24" s="280">
        <f>'21J'!I$22</f>
        <v>7.3869977618642446</v>
      </c>
    </row>
    <row r="25" spans="1:46">
      <c r="A25" s="488"/>
      <c r="B25" s="322" t="s">
        <v>391</v>
      </c>
      <c r="C25" s="214">
        <f>'18K'!L$22</f>
        <v>0.5365023564658955</v>
      </c>
      <c r="D25" s="214">
        <f>'18K'!M$22</f>
        <v>-8.0368070060814141</v>
      </c>
      <c r="E25" s="214">
        <f>'18K'!N$22</f>
        <v>-8.9352929045864329</v>
      </c>
      <c r="F25" s="214">
        <f>'18K'!O$22</f>
        <v>-7.0205494301533449</v>
      </c>
      <c r="G25" s="214">
        <f>'18K'!P$22</f>
        <v>-3.426787696998157</v>
      </c>
      <c r="H25" s="214">
        <f>'18K'!Q$22</f>
        <v>-8.8441035025113024</v>
      </c>
      <c r="I25" s="214">
        <f>'18K'!R$22</f>
        <v>-14.359339575393303</v>
      </c>
      <c r="J25" s="214">
        <f>'18K'!S$22</f>
        <v>-9.124691791008777</v>
      </c>
      <c r="K25" s="214">
        <f>'18K'!T$22</f>
        <v>-8.8290802791286751</v>
      </c>
      <c r="L25" s="214">
        <f>'18K'!U$22</f>
        <v>-13.212423151684959</v>
      </c>
      <c r="M25" s="489"/>
      <c r="N25" s="324" t="s">
        <v>391</v>
      </c>
      <c r="O25" s="292">
        <f>'19K'!B$33</f>
        <v>-0.45237403250426578</v>
      </c>
      <c r="P25" s="292">
        <f>'19K'!C$33</f>
        <v>-9.8069607084905748</v>
      </c>
      <c r="Q25" s="292">
        <f>'19K'!D$33</f>
        <v>-9.6283141456387611</v>
      </c>
      <c r="R25" s="292">
        <f>'19K'!E$33</f>
        <v>-8.9604989680142637</v>
      </c>
      <c r="S25" s="292">
        <f>'19K'!F$33</f>
        <v>-7.8544734073558669</v>
      </c>
      <c r="T25" s="292">
        <f>'19K'!G$33</f>
        <v>-7.0849092168049239</v>
      </c>
      <c r="U25" s="292">
        <f>'19K'!H$33</f>
        <v>-12.338158440940427</v>
      </c>
      <c r="V25" s="292">
        <f>'19K'!I$33</f>
        <v>-12.213518403832724</v>
      </c>
      <c r="W25" s="292">
        <f>'19K'!J$33</f>
        <v>-12.520968398149691</v>
      </c>
      <c r="X25" s="292">
        <f>'19K'!K$33</f>
        <v>-10.19929396373518</v>
      </c>
      <c r="Y25" s="489"/>
      <c r="Z25" s="324" t="s">
        <v>391</v>
      </c>
      <c r="AA25" s="253">
        <f>'20K'!B$21</f>
        <v>0.99337013751894521</v>
      </c>
      <c r="AB25" s="253">
        <f>'20K'!C$21</f>
        <v>1.9626278439158762</v>
      </c>
      <c r="AC25" s="253">
        <f>'20K'!D$21</f>
        <v>0.7668566039247926</v>
      </c>
      <c r="AD25" s="253">
        <f>'20K'!E$21</f>
        <v>2.1308877090388867</v>
      </c>
      <c r="AE25" s="253">
        <f>'20K'!F$21</f>
        <v>4.8051010983219733</v>
      </c>
      <c r="AF25" s="253">
        <f>'20K'!G$21</f>
        <v>-1.8933353784383988</v>
      </c>
      <c r="AG25" s="253">
        <f>'20K'!H$21</f>
        <v>-2.3056567127798466</v>
      </c>
      <c r="AH25" s="253">
        <f>'20K'!I$21</f>
        <v>3.5185675022642693</v>
      </c>
      <c r="AI25" s="253">
        <f>'20K'!J$21</f>
        <v>4.2203120581217224</v>
      </c>
      <c r="AJ25" s="253">
        <f>'20K'!K$21</f>
        <v>-3.3553513340228935</v>
      </c>
      <c r="AK25" s="483"/>
      <c r="AL25" s="322" t="s">
        <v>391</v>
      </c>
      <c r="AM25" s="280">
        <f>'21K'!B$22</f>
        <v>2.5971704075471225</v>
      </c>
      <c r="AN25" s="280">
        <f>'21K'!C$22</f>
        <v>-6.0075121573239247</v>
      </c>
      <c r="AO25" s="280">
        <f>'21K'!D$22</f>
        <v>-5.5268788157698197</v>
      </c>
      <c r="AP25" s="280">
        <f>'21K'!E$22</f>
        <v>-7.320637844416467</v>
      </c>
      <c r="AQ25" s="280">
        <f>'21K'!F$22</f>
        <v>-2.0085037851391263</v>
      </c>
      <c r="AR25" s="280">
        <f>'21K'!G$22</f>
        <v>-3.1149093022870167</v>
      </c>
      <c r="AS25" s="280">
        <f>'21K'!H$22</f>
        <v>-1.5810535268235171</v>
      </c>
      <c r="AT25" s="280">
        <f>'21K'!I$22</f>
        <v>-1.946554124491906</v>
      </c>
    </row>
    <row r="26" spans="1:46" ht="15" customHeight="1">
      <c r="A26" s="488" t="s">
        <v>392</v>
      </c>
      <c r="B26" s="322" t="s">
        <v>383</v>
      </c>
      <c r="C26" s="214">
        <f>'18A'!L$23</f>
        <v>2.393377128539953</v>
      </c>
      <c r="D26" s="214">
        <f>'18A'!M$23</f>
        <v>1.836211373498986</v>
      </c>
      <c r="E26" s="214">
        <f>'18A'!N$23</f>
        <v>2.7579289068297541</v>
      </c>
      <c r="F26" s="214">
        <f>'18A'!O$23</f>
        <v>6.0815109619314356</v>
      </c>
      <c r="G26" s="214">
        <f>'18A'!P$23</f>
        <v>5.0208176182522823</v>
      </c>
      <c r="H26" s="214">
        <f>'18A'!Q$23</f>
        <v>5.7218808346446437</v>
      </c>
      <c r="I26" s="214">
        <f>'18A'!R$23</f>
        <v>7.3489411694834583</v>
      </c>
      <c r="J26" s="214">
        <f>'18A'!S$23</f>
        <v>-3.1845114826713261</v>
      </c>
      <c r="K26" s="214">
        <f>'18A'!T$23</f>
        <v>-3.0988728621857309</v>
      </c>
      <c r="L26" s="214">
        <f>'18A'!U$23</f>
        <v>-3.3239858119934795</v>
      </c>
      <c r="M26" s="489" t="s">
        <v>392</v>
      </c>
      <c r="N26" s="324" t="s">
        <v>383</v>
      </c>
      <c r="O26" s="292">
        <f>'19A'!B$34</f>
        <v>1.377504336186397</v>
      </c>
      <c r="P26" s="292">
        <f>'19A'!C$34</f>
        <v>-2.0887782856478077</v>
      </c>
      <c r="Q26" s="292">
        <f>'19A'!D$34</f>
        <v>-2.1271029711845579</v>
      </c>
      <c r="R26" s="292">
        <f>'19A'!E$34</f>
        <v>-0.9629634200766124</v>
      </c>
      <c r="S26" s="292">
        <f>'19A'!F$34</f>
        <v>-3.138436202352668</v>
      </c>
      <c r="T26" s="292">
        <f>'19A'!G$34</f>
        <v>-1.9014838212229157</v>
      </c>
      <c r="U26" s="292">
        <f>'19A'!H$34</f>
        <v>1.2614019275886124</v>
      </c>
      <c r="V26" s="292">
        <f>'19A'!I$34</f>
        <v>-3.7391115206685588</v>
      </c>
      <c r="W26" s="292">
        <f>'19A'!J$34</f>
        <v>-2.7986622323922794</v>
      </c>
      <c r="X26" s="292">
        <f>'19A'!K$34</f>
        <v>-4.8397068577016755</v>
      </c>
      <c r="Y26" s="489" t="s">
        <v>392</v>
      </c>
      <c r="Z26" s="324" t="s">
        <v>383</v>
      </c>
      <c r="AA26" s="253">
        <f>'20A'!B$22</f>
        <v>1.0020692450513735</v>
      </c>
      <c r="AB26" s="253">
        <f>'20A'!C$22</f>
        <v>4.008722994589542</v>
      </c>
      <c r="AC26" s="253">
        <f>'20A'!D$22</f>
        <v>4.991199838067617</v>
      </c>
      <c r="AD26" s="253">
        <f>'20A'!E$22</f>
        <v>7.1129696780891871</v>
      </c>
      <c r="AE26" s="253">
        <f>'20A'!F$22</f>
        <v>8.4236238820698528</v>
      </c>
      <c r="AF26" s="253">
        <f>'20A'!G$22</f>
        <v>7.7711314633694739</v>
      </c>
      <c r="AG26" s="253">
        <f>'20A'!H$22</f>
        <v>6.0117074482614941</v>
      </c>
      <c r="AH26" s="253">
        <f>'20A'!I$22</f>
        <v>0.57614265436196632</v>
      </c>
      <c r="AI26" s="253">
        <f>'20A'!J$22</f>
        <v>-0.3088544218508571</v>
      </c>
      <c r="AJ26" s="253">
        <f>'20A'!K$22</f>
        <v>1.5928082981434777</v>
      </c>
      <c r="AK26" s="483" t="s">
        <v>392</v>
      </c>
      <c r="AL26" s="322" t="s">
        <v>383</v>
      </c>
      <c r="AM26" s="280">
        <f>'21A'!B$23</f>
        <v>2.6153032763468698</v>
      </c>
      <c r="AN26" s="280">
        <f>'21A'!C$23</f>
        <v>-4.6024868344773147</v>
      </c>
      <c r="AO26" s="280">
        <f>'21A'!D$23</f>
        <v>-4.0307835976290391</v>
      </c>
      <c r="AP26" s="280">
        <f>'21A'!E$23</f>
        <v>-2.6966090667150056</v>
      </c>
      <c r="AQ26" s="280">
        <f>'21A'!F$23</f>
        <v>-0.21627003061059913</v>
      </c>
      <c r="AR26" s="280">
        <f>'21A'!G$23</f>
        <v>6.7493354850924003</v>
      </c>
      <c r="AS26" s="280">
        <f>'21A'!H$23</f>
        <v>7.0738438417541127</v>
      </c>
      <c r="AT26" s="280">
        <f>'21A'!I$23</f>
        <v>9.0213916950387496</v>
      </c>
    </row>
    <row r="27" spans="1:46">
      <c r="A27" s="488"/>
      <c r="B27" s="322" t="s">
        <v>384</v>
      </c>
      <c r="C27" s="214">
        <f>'18B'!L$23</f>
        <v>1.8021221760582629</v>
      </c>
      <c r="D27" s="214" t="str">
        <f>'18B'!M$23</f>
        <v>..</v>
      </c>
      <c r="E27" s="214">
        <f>'18B'!N$23</f>
        <v>-2.375205355874066</v>
      </c>
      <c r="F27" s="214">
        <f>'18B'!O$23</f>
        <v>3.0453315899644062</v>
      </c>
      <c r="G27" s="214">
        <f>'18B'!P$23</f>
        <v>7.3786693294802586</v>
      </c>
      <c r="H27" s="214" t="str">
        <f>'18B'!Q$23</f>
        <v>..</v>
      </c>
      <c r="I27" s="214" t="str">
        <f>'18B'!R$23</f>
        <v>..</v>
      </c>
      <c r="J27" s="214" t="str">
        <f>'18B'!S$23</f>
        <v>..</v>
      </c>
      <c r="K27" s="214" t="str">
        <f>'18B'!T$23</f>
        <v>..</v>
      </c>
      <c r="L27" s="214" t="str">
        <f>'18B'!U$23</f>
        <v>..</v>
      </c>
      <c r="M27" s="489"/>
      <c r="N27" s="324" t="s">
        <v>384</v>
      </c>
      <c r="O27" s="292">
        <f>'19B'!B$34</f>
        <v>2.5957914430029705</v>
      </c>
      <c r="P27" s="292" t="str">
        <f>'19B'!C$34</f>
        <v>..</v>
      </c>
      <c r="Q27" s="292">
        <f>'19B'!D$34</f>
        <v>-9.6173076893159237</v>
      </c>
      <c r="R27" s="292">
        <f>'19B'!E$34</f>
        <v>-4.3328362594638126</v>
      </c>
      <c r="S27" s="292">
        <f>'19B'!F$34</f>
        <v>9.9136747638293166</v>
      </c>
      <c r="T27" s="292" t="str">
        <f>'19B'!G$34</f>
        <v>..</v>
      </c>
      <c r="U27" s="292" t="str">
        <f>'19B'!H$34</f>
        <v>..</v>
      </c>
      <c r="V27" s="292" t="str">
        <f>'19B'!I$34</f>
        <v>..</v>
      </c>
      <c r="W27" s="292" t="str">
        <f>'19B'!J$34</f>
        <v>..</v>
      </c>
      <c r="X27" s="292" t="str">
        <f>'19B'!K$34</f>
        <v>..</v>
      </c>
      <c r="Y27" s="489"/>
      <c r="Z27" s="324" t="s">
        <v>384</v>
      </c>
      <c r="AA27" s="253">
        <f>'20B'!B$22</f>
        <v>-0.77358852227932262</v>
      </c>
      <c r="AB27" s="253" t="str">
        <f>'20B'!C$22</f>
        <v>n.a.</v>
      </c>
      <c r="AC27" s="253">
        <f>'20B'!D$22</f>
        <v>8.0127092348030828</v>
      </c>
      <c r="AD27" s="253">
        <f>'20B'!E$22</f>
        <v>7.7123305018626187</v>
      </c>
      <c r="AE27" s="253">
        <f>'20B'!F$22</f>
        <v>-2.3063603685310241</v>
      </c>
      <c r="AF27" s="253" t="str">
        <f>'20B'!G$22</f>
        <v>n.a.</v>
      </c>
      <c r="AG27" s="253" t="str">
        <f>'20B'!H$22</f>
        <v>n.a.</v>
      </c>
      <c r="AH27" s="253" t="str">
        <f>'20B'!I$22</f>
        <v>n.a.</v>
      </c>
      <c r="AI27" s="253" t="str">
        <f>'20B'!J$22</f>
        <v>n.a.</v>
      </c>
      <c r="AJ27" s="253" t="str">
        <f>'20B'!K$22</f>
        <v>n.a.</v>
      </c>
      <c r="AK27" s="483"/>
      <c r="AL27" s="322" t="s">
        <v>384</v>
      </c>
      <c r="AM27" s="280">
        <f>'21B'!B$23</f>
        <v>9.4312192377691737</v>
      </c>
      <c r="AN27" s="280" t="str">
        <f>'21B'!C$23</f>
        <v>n.a.</v>
      </c>
      <c r="AO27" s="280" t="str">
        <f>'21B'!D$23</f>
        <v>n.a.</v>
      </c>
      <c r="AP27" s="280" t="str">
        <f>'21B'!E$23</f>
        <v>n.a.</v>
      </c>
      <c r="AQ27" s="280">
        <f>'21B'!F$23</f>
        <v>-6.9715910275427229</v>
      </c>
      <c r="AR27" s="280" t="str">
        <f>'21B'!G$23</f>
        <v>n.a.</v>
      </c>
      <c r="AS27" s="280" t="str">
        <f>'21B'!H$23</f>
        <v>n.a.</v>
      </c>
      <c r="AT27" s="280" t="str">
        <f>'21B'!I$23</f>
        <v>n.a.</v>
      </c>
    </row>
    <row r="28" spans="1:46">
      <c r="A28" s="488"/>
      <c r="B28" s="322" t="s">
        <v>385</v>
      </c>
      <c r="C28" s="214">
        <f>'18C'!L$23</f>
        <v>1.6945234152045519</v>
      </c>
      <c r="D28" s="214" t="str">
        <f>'18C'!M$23</f>
        <v>..</v>
      </c>
      <c r="E28" s="214">
        <f>'18C'!N$23</f>
        <v>12.955067905975316</v>
      </c>
      <c r="F28" s="214" t="str">
        <f>'18C'!O$23</f>
        <v>..</v>
      </c>
      <c r="G28" s="214" t="str">
        <f>'18C'!P$23</f>
        <v>..</v>
      </c>
      <c r="H28" s="214" t="str">
        <f>'18C'!Q$23</f>
        <v>..</v>
      </c>
      <c r="I28" s="214" t="str">
        <f>'18C'!R$23</f>
        <v>..</v>
      </c>
      <c r="J28" s="214" t="str">
        <f>'18C'!S$23</f>
        <v>..</v>
      </c>
      <c r="K28" s="214" t="str">
        <f>'18C'!T$23</f>
        <v>..</v>
      </c>
      <c r="L28" s="214" t="str">
        <f>'18C'!U$23</f>
        <v>..</v>
      </c>
      <c r="M28" s="489"/>
      <c r="N28" s="324" t="s">
        <v>385</v>
      </c>
      <c r="O28" s="292">
        <f>'19C'!B$34</f>
        <v>1.9380303975487179</v>
      </c>
      <c r="P28" s="292" t="str">
        <f>'19C'!C$34</f>
        <v>..</v>
      </c>
      <c r="Q28" s="292">
        <f>'19C'!D$34</f>
        <v>18.844733797131873</v>
      </c>
      <c r="R28" s="292" t="str">
        <f>'19C'!E$34</f>
        <v>..</v>
      </c>
      <c r="S28" s="292" t="str">
        <f>'19C'!F$34</f>
        <v>..</v>
      </c>
      <c r="T28" s="292" t="str">
        <f>'19C'!G$34</f>
        <v>..</v>
      </c>
      <c r="U28" s="292" t="str">
        <f>'19C'!H$34</f>
        <v>..</v>
      </c>
      <c r="V28" s="292" t="str">
        <f>'19C'!I$34</f>
        <v>..</v>
      </c>
      <c r="W28" s="292" t="str">
        <f>'19C'!J$34</f>
        <v>..</v>
      </c>
      <c r="X28" s="292" t="str">
        <f>'19C'!K$34</f>
        <v>..</v>
      </c>
      <c r="Y28" s="489"/>
      <c r="Z28" s="324" t="s">
        <v>385</v>
      </c>
      <c r="AA28" s="253">
        <f>'20C'!B$22</f>
        <v>-0.23887746446985547</v>
      </c>
      <c r="AB28" s="253" t="str">
        <f>'20C'!C$22</f>
        <v>n.a.</v>
      </c>
      <c r="AC28" s="253">
        <f>'20C'!D$22</f>
        <v>-4.9557651424506748</v>
      </c>
      <c r="AD28" s="253" t="str">
        <f>'20C'!E$22</f>
        <v>n.a.</v>
      </c>
      <c r="AE28" s="253" t="str">
        <f>'20C'!F$22</f>
        <v>n.a.</v>
      </c>
      <c r="AF28" s="253" t="str">
        <f>'20C'!G$22</f>
        <v>n.a.</v>
      </c>
      <c r="AG28" s="253" t="str">
        <f>'20C'!H$22</f>
        <v>n.a.</v>
      </c>
      <c r="AH28" s="253" t="str">
        <f>'20C'!I$22</f>
        <v>n.a.</v>
      </c>
      <c r="AI28" s="253" t="str">
        <f>'20C'!J$22</f>
        <v>n.a.</v>
      </c>
      <c r="AJ28" s="253" t="str">
        <f>'20C'!K$22</f>
        <v>n.a.</v>
      </c>
      <c r="AK28" s="483"/>
      <c r="AL28" s="322" t="s">
        <v>385</v>
      </c>
      <c r="AM28" s="280">
        <f>'21C'!B$23</f>
        <v>1.9450961465959926</v>
      </c>
      <c r="AN28" s="280" t="str">
        <f>'21C'!C$23</f>
        <v>n.a.</v>
      </c>
      <c r="AO28" s="280" t="str">
        <f>'21C'!D$23</f>
        <v>n.a.</v>
      </c>
      <c r="AP28" s="280" t="str">
        <f>'21C'!E$23</f>
        <v>n.a.</v>
      </c>
      <c r="AQ28" s="280">
        <f>'21C'!F$23</f>
        <v>-0.24579184371076312</v>
      </c>
      <c r="AR28" s="280" t="str">
        <f>'21C'!G$23</f>
        <v>n.a.</v>
      </c>
      <c r="AS28" s="280" t="str">
        <f>'21C'!H$23</f>
        <v>n.a.</v>
      </c>
      <c r="AT28" s="280" t="str">
        <f>'21C'!I$23</f>
        <v>n.a.</v>
      </c>
    </row>
    <row r="29" spans="1:46">
      <c r="A29" s="488"/>
      <c r="B29" s="322" t="s">
        <v>386</v>
      </c>
      <c r="C29" s="214">
        <f>'18D'!L$23</f>
        <v>0.2670903432975047</v>
      </c>
      <c r="D29" s="214" t="str">
        <f>'18D'!M$23</f>
        <v>..</v>
      </c>
      <c r="E29" s="214">
        <f>'18D'!N$23</f>
        <v>-14.006854742775044</v>
      </c>
      <c r="F29" s="214">
        <f>'18D'!O$23</f>
        <v>-6.1192883626133066</v>
      </c>
      <c r="G29" s="214" t="str">
        <f>'18D'!P$23</f>
        <v>..</v>
      </c>
      <c r="H29" s="214">
        <f>'18D'!Q$23</f>
        <v>-6.4877567011156767</v>
      </c>
      <c r="I29" s="214" t="str">
        <f>'18D'!R$23</f>
        <v>..</v>
      </c>
      <c r="J29" s="214" t="str">
        <f>'18D'!S$23</f>
        <v>..</v>
      </c>
      <c r="K29" s="214" t="str">
        <f>'18D'!T$23</f>
        <v>..</v>
      </c>
      <c r="L29" s="214" t="str">
        <f>'18D'!U$23</f>
        <v>..</v>
      </c>
      <c r="M29" s="489"/>
      <c r="N29" s="324" t="s">
        <v>386</v>
      </c>
      <c r="O29" s="292">
        <f>'19D'!B$34</f>
        <v>-0.51989300368531222</v>
      </c>
      <c r="P29" s="292" t="str">
        <f>'19D'!C$34</f>
        <v>..</v>
      </c>
      <c r="Q29" s="292">
        <f>'19D'!D$34</f>
        <v>-14.657650952272661</v>
      </c>
      <c r="R29" s="292">
        <f>'19D'!E$34</f>
        <v>-8.6987410684691397</v>
      </c>
      <c r="S29" s="292" t="str">
        <f>'19D'!F$34</f>
        <v>..</v>
      </c>
      <c r="T29" s="292">
        <f>'19D'!G$34</f>
        <v>0.85657276707882257</v>
      </c>
      <c r="U29" s="292" t="str">
        <f>'19D'!H$34</f>
        <v>..</v>
      </c>
      <c r="V29" s="292" t="str">
        <f>'19D'!I$34</f>
        <v>..</v>
      </c>
      <c r="W29" s="292" t="str">
        <f>'19D'!J$34</f>
        <v>..</v>
      </c>
      <c r="X29" s="292" t="str">
        <f>'19D'!K$34</f>
        <v>..</v>
      </c>
      <c r="Y29" s="489"/>
      <c r="Z29" s="324" t="s">
        <v>386</v>
      </c>
      <c r="AA29" s="253">
        <f>'20D'!B$22</f>
        <v>0.7910962007831035</v>
      </c>
      <c r="AB29" s="253">
        <f>'20D'!C$22</f>
        <v>0</v>
      </c>
      <c r="AC29" s="253">
        <f>'20D'!D$22</f>
        <v>0.76257124013972</v>
      </c>
      <c r="AD29" s="253">
        <f>'20D'!E$22</f>
        <v>2.8252104473063477</v>
      </c>
      <c r="AE29" s="253">
        <f>'20D'!F$22</f>
        <v>0</v>
      </c>
      <c r="AF29" s="253">
        <f>'20D'!G$22</f>
        <v>0</v>
      </c>
      <c r="AG29" s="253">
        <f>'20D'!H$22</f>
        <v>0</v>
      </c>
      <c r="AH29" s="253">
        <f>'20D'!I$22</f>
        <v>0</v>
      </c>
      <c r="AI29" s="253">
        <f>'20D'!J$22</f>
        <v>0</v>
      </c>
      <c r="AJ29" s="253">
        <f>'20D'!K$22</f>
        <v>0</v>
      </c>
      <c r="AK29" s="483"/>
      <c r="AL29" s="322" t="s">
        <v>386</v>
      </c>
      <c r="AM29" s="280">
        <f>'21D'!B$23</f>
        <v>1.2903175059457483</v>
      </c>
      <c r="AN29" s="280">
        <f>'21D'!C$23</f>
        <v>2.957363142034497</v>
      </c>
      <c r="AO29" s="280" t="str">
        <f>'21D'!D$23</f>
        <v>n.a.</v>
      </c>
      <c r="AP29" s="280" t="str">
        <f>'21D'!E$23</f>
        <v>n.a.</v>
      </c>
      <c r="AQ29" s="280">
        <f>'21D'!F$23</f>
        <v>-1.0101924723339706</v>
      </c>
      <c r="AR29" s="280">
        <f>'21D'!G$23</f>
        <v>-16.476935079821942</v>
      </c>
      <c r="AS29" s="280" t="str">
        <f>'21D'!H$23</f>
        <v>n.a.</v>
      </c>
      <c r="AT29" s="280" t="str">
        <f>'21D'!I$23</f>
        <v>n.a.</v>
      </c>
    </row>
    <row r="30" spans="1:46">
      <c r="A30" s="488"/>
      <c r="B30" s="322" t="s">
        <v>387</v>
      </c>
      <c r="C30" s="214">
        <f>'18E'!L$23</f>
        <v>-0.25793765347917885</v>
      </c>
      <c r="D30" s="214" t="str">
        <f>'18E'!M$23</f>
        <v>..</v>
      </c>
      <c r="E30" s="214">
        <f>'18E'!N$23</f>
        <v>-2.425602239904423</v>
      </c>
      <c r="F30" s="214">
        <f>'18E'!O$23</f>
        <v>6.1394000075500221</v>
      </c>
      <c r="G30" s="214" t="str">
        <f>'18E'!P$23</f>
        <v>..</v>
      </c>
      <c r="H30" s="214" t="str">
        <f>'18E'!Q$23</f>
        <v>..</v>
      </c>
      <c r="I30" s="214" t="str">
        <f>'18E'!R$23</f>
        <v>..</v>
      </c>
      <c r="J30" s="214" t="str">
        <f>'18E'!S$23</f>
        <v>..</v>
      </c>
      <c r="K30" s="214" t="str">
        <f>'18E'!T$23</f>
        <v>..</v>
      </c>
      <c r="L30" s="214" t="str">
        <f>'18E'!U$23</f>
        <v>..</v>
      </c>
      <c r="M30" s="489"/>
      <c r="N30" s="324" t="s">
        <v>387</v>
      </c>
      <c r="O30" s="292">
        <f>'19E'!B$34</f>
        <v>-0.8410942037119562</v>
      </c>
      <c r="P30" s="292" t="str">
        <f>'19E'!C$34</f>
        <v>..</v>
      </c>
      <c r="Q30" s="292">
        <f>'19E'!D$34</f>
        <v>-8.4719689204647004</v>
      </c>
      <c r="R30" s="292">
        <f>'19E'!E$34</f>
        <v>1.0607389492684804</v>
      </c>
      <c r="S30" s="292" t="str">
        <f>'19E'!F$34</f>
        <v>..</v>
      </c>
      <c r="T30" s="292" t="str">
        <f>'19E'!G$34</f>
        <v>..</v>
      </c>
      <c r="U30" s="292" t="str">
        <f>'19E'!H$34</f>
        <v>..</v>
      </c>
      <c r="V30" s="292" t="str">
        <f>'19E'!I$34</f>
        <v>..</v>
      </c>
      <c r="W30" s="292" t="str">
        <f>'19E'!J$34</f>
        <v>..</v>
      </c>
      <c r="X30" s="292" t="str">
        <f>'19E'!K$34</f>
        <v>..</v>
      </c>
      <c r="Y30" s="489"/>
      <c r="Z30" s="324" t="s">
        <v>387</v>
      </c>
      <c r="AA30" s="253">
        <f>'20E'!B$22</f>
        <v>0.58810305090579718</v>
      </c>
      <c r="AB30" s="253" t="str">
        <f>'20E'!C$22</f>
        <v>n.a.</v>
      </c>
      <c r="AC30" s="253">
        <f>'20E'!D$22</f>
        <v>6.6060272566184075</v>
      </c>
      <c r="AD30" s="253">
        <f>'20E'!E$22</f>
        <v>5.0253551587733591</v>
      </c>
      <c r="AE30" s="253" t="str">
        <f>'20E'!F$22</f>
        <v>n.a.</v>
      </c>
      <c r="AF30" s="253" t="str">
        <f>'20E'!G$22</f>
        <v>n.a.</v>
      </c>
      <c r="AG30" s="253" t="str">
        <f>'20E'!H$22</f>
        <v>n.a.</v>
      </c>
      <c r="AH30" s="253" t="str">
        <f>'20E'!I$22</f>
        <v>n.a.</v>
      </c>
      <c r="AI30" s="253" t="str">
        <f>'20E'!J$22</f>
        <v>n.a.</v>
      </c>
      <c r="AJ30" s="253" t="str">
        <f>'20E'!K$22</f>
        <v>n.a.</v>
      </c>
      <c r="AK30" s="483"/>
      <c r="AL30" s="322" t="s">
        <v>387</v>
      </c>
      <c r="AM30" s="280">
        <f>'21E'!B$23</f>
        <v>0.59393269935994475</v>
      </c>
      <c r="AN30" s="280">
        <f>'21E'!C$23</f>
        <v>-4.8106942050588746</v>
      </c>
      <c r="AO30" s="280" t="str">
        <f>'21E'!D$23</f>
        <v>n.a.</v>
      </c>
      <c r="AP30" s="280" t="str">
        <f>'21E'!E$23</f>
        <v>n.a.</v>
      </c>
      <c r="AQ30" s="280" t="str">
        <f>'21E'!F$23</f>
        <v>n.a.</v>
      </c>
      <c r="AR30" s="280" t="str">
        <f>'21E'!G$23</f>
        <v>n.a.</v>
      </c>
      <c r="AS30" s="280" t="str">
        <f>'21E'!H$23</f>
        <v>n.a.</v>
      </c>
      <c r="AT30" s="280" t="str">
        <f>'21E'!I$23</f>
        <v>n.a.</v>
      </c>
    </row>
    <row r="31" spans="1:46">
      <c r="A31" s="488"/>
      <c r="B31" s="322" t="s">
        <v>256</v>
      </c>
      <c r="C31" s="214">
        <f>'18F'!L$23</f>
        <v>1.4845691610045897</v>
      </c>
      <c r="D31" s="214">
        <f>'18F'!M$23</f>
        <v>-0.12934625968538116</v>
      </c>
      <c r="E31" s="214">
        <f>'18F'!N$23</f>
        <v>1.7262282434457488</v>
      </c>
      <c r="F31" s="214">
        <f>'18F'!O$23</f>
        <v>3.1539659325726888</v>
      </c>
      <c r="G31" s="214">
        <f>'18F'!P$23</f>
        <v>2.3994593855964474</v>
      </c>
      <c r="H31" s="214">
        <f>'18F'!Q$23</f>
        <v>1.6676120286115648</v>
      </c>
      <c r="I31" s="214">
        <f>'18F'!R$23</f>
        <v>4.209419948927029</v>
      </c>
      <c r="J31" s="214">
        <f>'18F'!S$23</f>
        <v>-3.596088987498669</v>
      </c>
      <c r="K31" s="214">
        <f>'18F'!T$23</f>
        <v>-2.3114823064037338</v>
      </c>
      <c r="L31" s="214">
        <f>'18F'!U$23</f>
        <v>-6.002784769961278</v>
      </c>
      <c r="M31" s="489"/>
      <c r="N31" s="324" t="s">
        <v>256</v>
      </c>
      <c r="O31" s="292">
        <f>'19F'!B$34</f>
        <v>0.69070987159820518</v>
      </c>
      <c r="P31" s="292">
        <f>'19F'!C$34</f>
        <v>-5.7600616514917435</v>
      </c>
      <c r="Q31" s="292">
        <f>'19F'!D$34</f>
        <v>-5.5777997771618963</v>
      </c>
      <c r="R31" s="292">
        <f>'19F'!E$34</f>
        <v>-4.8420687566211313</v>
      </c>
      <c r="S31" s="292">
        <f>'19F'!F$34</f>
        <v>-12.937965610650259</v>
      </c>
      <c r="T31" s="292">
        <f>'19F'!G$34</f>
        <v>-5.9668531436664178</v>
      </c>
      <c r="U31" s="292">
        <f>'19F'!H$34</f>
        <v>-0.20786391656608671</v>
      </c>
      <c r="V31" s="292">
        <f>'19F'!I$34</f>
        <v>-6.9225943448863685</v>
      </c>
      <c r="W31" s="292">
        <f>'19F'!J$34</f>
        <v>-5.9269734764918036</v>
      </c>
      <c r="X31" s="292">
        <f>'19F'!K$34</f>
        <v>-8.251008270166837</v>
      </c>
      <c r="Y31" s="489"/>
      <c r="Z31" s="324" t="s">
        <v>256</v>
      </c>
      <c r="AA31" s="253">
        <f>'20F'!B$22</f>
        <v>0.78841363857573565</v>
      </c>
      <c r="AB31" s="253">
        <f>'20F'!C$22</f>
        <v>5.9748716844268746</v>
      </c>
      <c r="AC31" s="253">
        <f>'20F'!D$22</f>
        <v>7.7354986468966214</v>
      </c>
      <c r="AD31" s="253">
        <f>'20F'!E$22</f>
        <v>8.4029093368401586</v>
      </c>
      <c r="AE31" s="253">
        <f>'20F'!F$22</f>
        <v>17.61666276675351</v>
      </c>
      <c r="AF31" s="253">
        <f>'20F'!G$22</f>
        <v>8.118908520568958</v>
      </c>
      <c r="AG31" s="253">
        <f>'20F'!H$22</f>
        <v>4.4264849304357146</v>
      </c>
      <c r="AH31" s="253">
        <f>'20F'!I$22</f>
        <v>3.5739128459528091</v>
      </c>
      <c r="AI31" s="253">
        <f>'20F'!J$22</f>
        <v>3.8432814417686201</v>
      </c>
      <c r="AJ31" s="253">
        <f>'20F'!K$22</f>
        <v>2.4504067650418682</v>
      </c>
      <c r="AK31" s="483"/>
      <c r="AL31" s="322" t="s">
        <v>256</v>
      </c>
      <c r="AM31" s="280">
        <f>'21F'!B$23</f>
        <v>2.3289652998482735</v>
      </c>
      <c r="AN31" s="280">
        <f>'21F'!C$23</f>
        <v>-6.1222070327627058</v>
      </c>
      <c r="AO31" s="280">
        <f>'21F'!D$23</f>
        <v>-3.2455194505351503</v>
      </c>
      <c r="AP31" s="280">
        <f>'21F'!E$23</f>
        <v>-2.8279053107844399</v>
      </c>
      <c r="AQ31" s="280">
        <f>'21F'!F$23</f>
        <v>-0.82517802888888436</v>
      </c>
      <c r="AR31" s="280">
        <f>'21F'!G$23</f>
        <v>8.3602682041614464</v>
      </c>
      <c r="AS31" s="280">
        <f>'21F'!H$23</f>
        <v>6.6141488712103236</v>
      </c>
      <c r="AT31" s="280">
        <f>'21F'!I$23</f>
        <v>-0.79053938187820805</v>
      </c>
    </row>
    <row r="32" spans="1:46">
      <c r="A32" s="488"/>
      <c r="B32" s="322" t="s">
        <v>257</v>
      </c>
      <c r="C32" s="214">
        <f>'18G'!L$23</f>
        <v>1.7590878414514455</v>
      </c>
      <c r="D32" s="214">
        <f>'18G'!M$23</f>
        <v>-1.8276800625136702</v>
      </c>
      <c r="E32" s="214">
        <f>'18G'!N$23</f>
        <v>-2.0219596419678298</v>
      </c>
      <c r="F32" s="214">
        <f>'18G'!O$23</f>
        <v>1.7392173608059336</v>
      </c>
      <c r="G32" s="214">
        <f>'18G'!P$23</f>
        <v>-1.3174595473681161</v>
      </c>
      <c r="H32" s="214">
        <f>'18G'!Q$23</f>
        <v>5.0755196869512575</v>
      </c>
      <c r="I32" s="214">
        <f>'18G'!R$23</f>
        <v>1.2290105836079146</v>
      </c>
      <c r="J32" s="214">
        <f>'18G'!S$23</f>
        <v>-3.4433178003550058</v>
      </c>
      <c r="K32" s="214">
        <f>'18G'!T$23</f>
        <v>-6.8797560577121164</v>
      </c>
      <c r="L32" s="214">
        <f>'18G'!U$23</f>
        <v>-1.4651477588014106</v>
      </c>
      <c r="M32" s="489"/>
      <c r="N32" s="324" t="s">
        <v>257</v>
      </c>
      <c r="O32" s="292">
        <f>'19G'!B$34</f>
        <v>1.3001338728696465</v>
      </c>
      <c r="P32" s="292">
        <f>'19G'!C$34</f>
        <v>-2.6471149373687219</v>
      </c>
      <c r="Q32" s="292">
        <f>'19G'!D$34</f>
        <v>0.24199218581686388</v>
      </c>
      <c r="R32" s="292">
        <f>'19G'!E$34</f>
        <v>-3.3814753750414872</v>
      </c>
      <c r="S32" s="292">
        <f>'19G'!F$34</f>
        <v>-14.805710198242295</v>
      </c>
      <c r="T32" s="292">
        <f>'19G'!G$34</f>
        <v>-0.47819604549939054</v>
      </c>
      <c r="U32" s="292">
        <f>'19G'!H$34</f>
        <v>-1.2637832681850925</v>
      </c>
      <c r="V32" s="292">
        <f>'19G'!I$34</f>
        <v>-2.6510654613860485</v>
      </c>
      <c r="W32" s="292">
        <f>'19G'!J$34</f>
        <v>-0.11198217653626275</v>
      </c>
      <c r="X32" s="292">
        <f>'19G'!K$34</f>
        <v>-3.7020044013374442</v>
      </c>
      <c r="Y32" s="489"/>
      <c r="Z32" s="324" t="s">
        <v>257</v>
      </c>
      <c r="AA32" s="253">
        <f>'20G'!B$22</f>
        <v>0.45306353608356442</v>
      </c>
      <c r="AB32" s="253">
        <f>'20G'!C$22</f>
        <v>0.8417160665838308</v>
      </c>
      <c r="AC32" s="253">
        <f>'20G'!D$22</f>
        <v>-2.2584864670167848</v>
      </c>
      <c r="AD32" s="253">
        <f>'20G'!E$22</f>
        <v>5.299907813459459</v>
      </c>
      <c r="AE32" s="253">
        <f>'20G'!F$22</f>
        <v>15.832341207680201</v>
      </c>
      <c r="AF32" s="253">
        <f>'20G'!G$22</f>
        <v>5.5804009893045015</v>
      </c>
      <c r="AG32" s="253">
        <f>'20G'!H$22</f>
        <v>2.5247005954905699</v>
      </c>
      <c r="AH32" s="253">
        <f>'20G'!I$22</f>
        <v>-0.81382743706834848</v>
      </c>
      <c r="AI32" s="253">
        <f>'20G'!J$22</f>
        <v>-6.77536107797917</v>
      </c>
      <c r="AJ32" s="253">
        <f>'20G'!K$22</f>
        <v>2.3228485999422954</v>
      </c>
      <c r="AK32" s="483"/>
      <c r="AL32" s="322" t="s">
        <v>257</v>
      </c>
      <c r="AM32" s="280">
        <f>'21G'!B$23</f>
        <v>1.549806934564546</v>
      </c>
      <c r="AN32" s="280">
        <f>'21G'!C$23</f>
        <v>-1.197156081426809</v>
      </c>
      <c r="AO32" s="280">
        <f>'21G'!D$23</f>
        <v>-3.1541957808611687</v>
      </c>
      <c r="AP32" s="280">
        <f>'21G'!E$23</f>
        <v>-4.5351673560641288</v>
      </c>
      <c r="AQ32" s="280">
        <f>'21G'!F$23</f>
        <v>0.20608695693704604</v>
      </c>
      <c r="AR32" s="280">
        <f>'21G'!G$23</f>
        <v>-0.83479738824195904</v>
      </c>
      <c r="AS32" s="280">
        <f>'21G'!H$23</f>
        <v>5.0527879665230424</v>
      </c>
      <c r="AT32" s="280">
        <f>'21G'!I$23</f>
        <v>1.143719132449017</v>
      </c>
    </row>
    <row r="33" spans="1:46" s="315" customFormat="1">
      <c r="A33" s="488"/>
      <c r="B33" s="324" t="s">
        <v>388</v>
      </c>
      <c r="C33" s="214">
        <f>'18H'!L$23</f>
        <v>2.5322690113914303</v>
      </c>
      <c r="D33" s="214" t="str">
        <f>'18H'!M$23</f>
        <v>x</v>
      </c>
      <c r="E33" s="214">
        <f>'18H'!N$23</f>
        <v>0.45924869271500857</v>
      </c>
      <c r="F33" s="214" t="str">
        <f>'18H'!O$23</f>
        <v>..</v>
      </c>
      <c r="G33" s="214">
        <f>'18H'!P$23</f>
        <v>8.3364899307073479</v>
      </c>
      <c r="H33" s="214" t="str">
        <f>'18H'!Q$23</f>
        <v>..</v>
      </c>
      <c r="I33" s="214" t="str">
        <f>'18H'!R$23</f>
        <v>..</v>
      </c>
      <c r="J33" s="214" t="str">
        <f>'18H'!S$23</f>
        <v>..</v>
      </c>
      <c r="K33" s="214" t="str">
        <f>'18H'!T$23</f>
        <v>..</v>
      </c>
      <c r="L33" s="214" t="str">
        <f>'18H'!U$23</f>
        <v>..</v>
      </c>
      <c r="M33" s="489"/>
      <c r="N33" s="324" t="s">
        <v>388</v>
      </c>
      <c r="O33" s="292">
        <f>'19H'!B$34</f>
        <v>0.61601220958766856</v>
      </c>
      <c r="P33" s="292" t="str">
        <f>'19H'!C$34</f>
        <v>..</v>
      </c>
      <c r="Q33" s="292">
        <f>'19H'!D$34</f>
        <v>4.2575519372977988</v>
      </c>
      <c r="R33" s="292">
        <f>'19H'!E$34</f>
        <v>-2.1749111309036007</v>
      </c>
      <c r="S33" s="292" t="str">
        <f>'19H'!F$34</f>
        <v>..</v>
      </c>
      <c r="T33" s="292">
        <f>'19H'!G$34</f>
        <v>2.9201727052737825</v>
      </c>
      <c r="U33" s="292" t="str">
        <f>'19H'!H$34</f>
        <v>..</v>
      </c>
      <c r="V33" s="292" t="str">
        <f>'19H'!I$34</f>
        <v>..</v>
      </c>
      <c r="W33" s="292" t="str">
        <f>'19H'!J$34</f>
        <v>..</v>
      </c>
      <c r="X33" s="292" t="str">
        <f>'19H'!K$34</f>
        <v>..</v>
      </c>
      <c r="Y33" s="489"/>
      <c r="Z33" s="324" t="s">
        <v>388</v>
      </c>
      <c r="AA33" s="253">
        <f>'20H'!B$22</f>
        <v>1.9045246971348018</v>
      </c>
      <c r="AB33" s="253" t="str">
        <f>'20H'!C$22</f>
        <v>n.a.</v>
      </c>
      <c r="AC33" s="253">
        <f>'20H'!D$22</f>
        <v>-3.6431924345079136</v>
      </c>
      <c r="AD33" s="253" t="str">
        <f>'20H'!E$22</f>
        <v>n.a.</v>
      </c>
      <c r="AE33" s="253" t="str">
        <f>'20H'!F$22</f>
        <v>n.a.</v>
      </c>
      <c r="AF33" s="253" t="str">
        <f>'20H'!G$22</f>
        <v>n.a.</v>
      </c>
      <c r="AG33" s="253" t="str">
        <f>'20H'!H$22</f>
        <v>n.a.</v>
      </c>
      <c r="AH33" s="253" t="str">
        <f>'20H'!I$22</f>
        <v>n.a.</v>
      </c>
      <c r="AI33" s="253" t="str">
        <f>'20H'!J$22</f>
        <v>n.a.</v>
      </c>
      <c r="AJ33" s="253" t="str">
        <f>'20H'!K$22</f>
        <v>n.a.</v>
      </c>
      <c r="AK33" s="483"/>
      <c r="AL33" s="324" t="s">
        <v>388</v>
      </c>
      <c r="AM33" s="280">
        <f>'21H'!B$23</f>
        <v>3.4182016975430995</v>
      </c>
      <c r="AN33" s="280">
        <f>'21H'!C$23</f>
        <v>-8.7133666287234952</v>
      </c>
      <c r="AO33" s="280" t="str">
        <f>'21H'!D$23</f>
        <v>n.a.</v>
      </c>
      <c r="AP33" s="280" t="str">
        <f>'21H'!E$23</f>
        <v>n.a.</v>
      </c>
      <c r="AQ33" s="280">
        <f>'21H'!F$23</f>
        <v>-0.85665063945190578</v>
      </c>
      <c r="AR33" s="280">
        <f>'21H'!G$23</f>
        <v>10.048147228885206</v>
      </c>
      <c r="AS33" s="280" t="str">
        <f>'21H'!H$23</f>
        <v>n.a.</v>
      </c>
      <c r="AT33" s="280" t="str">
        <f>'21H'!I$23</f>
        <v>n.a.</v>
      </c>
    </row>
    <row r="34" spans="1:46">
      <c r="A34" s="488"/>
      <c r="B34" s="322" t="s">
        <v>389</v>
      </c>
      <c r="C34" s="214">
        <f>'18I'!L$23</f>
        <v>4.5614880218291853</v>
      </c>
      <c r="D34" s="214" t="str">
        <f>'18I'!M$23</f>
        <v>..</v>
      </c>
      <c r="E34" s="214">
        <f>'18I'!N$23</f>
        <v>6.998748056507953</v>
      </c>
      <c r="F34" s="214">
        <f>'18I'!O$23</f>
        <v>29.190398043063869</v>
      </c>
      <c r="G34" s="214" t="str">
        <f>'18I'!P$23</f>
        <v>..</v>
      </c>
      <c r="H34" s="214">
        <f>'18I'!Q$23</f>
        <v>30.535391484480368</v>
      </c>
      <c r="I34" s="214" t="str">
        <f>'18I'!R$23</f>
        <v>..</v>
      </c>
      <c r="J34" s="214" t="str">
        <f>'18I'!S$23</f>
        <v>..</v>
      </c>
      <c r="K34" s="214" t="str">
        <f>'18I'!T$23</f>
        <v>..</v>
      </c>
      <c r="L34" s="214" t="str">
        <f>'18I'!U$23</f>
        <v>..</v>
      </c>
      <c r="M34" s="489"/>
      <c r="N34" s="324" t="s">
        <v>389</v>
      </c>
      <c r="O34" s="292">
        <f>'19I'!B$34</f>
        <v>2.5921858777897322</v>
      </c>
      <c r="P34" s="292" t="str">
        <f>'19I'!C$34</f>
        <v>..</v>
      </c>
      <c r="Q34" s="292">
        <f>'19I'!D$34</f>
        <v>-4.4241568537236038</v>
      </c>
      <c r="R34" s="292">
        <f>'19I'!E$34</f>
        <v>2.6674529923290669</v>
      </c>
      <c r="S34" s="292" t="str">
        <f>'19I'!F$34</f>
        <v>..</v>
      </c>
      <c r="T34" s="292">
        <f>'19I'!G$34</f>
        <v>0.12642238493485447</v>
      </c>
      <c r="U34" s="292" t="str">
        <f>'19I'!H$34</f>
        <v>..</v>
      </c>
      <c r="V34" s="292" t="str">
        <f>'19I'!I$34</f>
        <v>..</v>
      </c>
      <c r="W34" s="292" t="str">
        <f>'19I'!J$34</f>
        <v>..</v>
      </c>
      <c r="X34" s="292" t="str">
        <f>'19I'!K$34</f>
        <v>..</v>
      </c>
      <c r="Y34" s="489"/>
      <c r="Z34" s="324" t="s">
        <v>389</v>
      </c>
      <c r="AA34" s="253">
        <f>'20I'!B$22</f>
        <v>1.9195439956658511</v>
      </c>
      <c r="AB34" s="253" t="str">
        <f>'20I'!C$22</f>
        <v>n.a.</v>
      </c>
      <c r="AC34" s="253">
        <f>'20I'!D$22</f>
        <v>11.95166533111205</v>
      </c>
      <c r="AD34" s="253">
        <f>'20I'!E$22</f>
        <v>25.83383952528413</v>
      </c>
      <c r="AE34" s="253" t="str">
        <f>'20I'!F$22</f>
        <v>n.a.</v>
      </c>
      <c r="AF34" s="253">
        <f>'20I'!G$22</f>
        <v>30.370573895708141</v>
      </c>
      <c r="AG34" s="253" t="str">
        <f>'20I'!H$22</f>
        <v>n.a.</v>
      </c>
      <c r="AH34" s="253" t="str">
        <f>'20I'!I$22</f>
        <v>n.a.</v>
      </c>
      <c r="AI34" s="253" t="str">
        <f>'20I'!J$22</f>
        <v>n.a.</v>
      </c>
      <c r="AJ34" s="253" t="str">
        <f>'20I'!K$22</f>
        <v>n.a.</v>
      </c>
      <c r="AK34" s="483"/>
      <c r="AL34" s="322" t="s">
        <v>389</v>
      </c>
      <c r="AM34" s="280">
        <f>'21I'!B$23</f>
        <v>5.036087016152524</v>
      </c>
      <c r="AN34" s="280">
        <f>'21I'!C$23</f>
        <v>-4.2270912308157822</v>
      </c>
      <c r="AO34" s="280" t="str">
        <f>'21I'!D$23</f>
        <v>n.a.</v>
      </c>
      <c r="AP34" s="280" t="str">
        <f>'21I'!E$23</f>
        <v>n.a.</v>
      </c>
      <c r="AQ34" s="280">
        <f>'21I'!F$23</f>
        <v>-0.45184374990128173</v>
      </c>
      <c r="AR34" s="280">
        <f>'21I'!G$23</f>
        <v>11.721309743633634</v>
      </c>
      <c r="AS34" s="280" t="str">
        <f>'21I'!H$23</f>
        <v>n.a.</v>
      </c>
      <c r="AT34" s="280" t="str">
        <f>'21I'!I$23</f>
        <v>n.a.</v>
      </c>
    </row>
    <row r="35" spans="1:46">
      <c r="A35" s="488"/>
      <c r="B35" s="322" t="s">
        <v>390</v>
      </c>
      <c r="C35" s="214">
        <f>'18J'!L$23</f>
        <v>4.6991206684607212</v>
      </c>
      <c r="D35" s="214">
        <f>'18J'!M$23</f>
        <v>8.1111990636752118</v>
      </c>
      <c r="E35" s="214">
        <f>'18J'!N$23</f>
        <v>8.9181594081299664</v>
      </c>
      <c r="F35" s="214">
        <f>'18J'!O$23</f>
        <v>12.545326956315851</v>
      </c>
      <c r="G35" s="214" t="str">
        <f>'18J'!P$23</f>
        <v>..</v>
      </c>
      <c r="H35" s="214">
        <f>'18J'!Q$23</f>
        <v>6.2296674447994249</v>
      </c>
      <c r="I35" s="214" t="str">
        <f>'18J'!R$23</f>
        <v>..</v>
      </c>
      <c r="J35" s="214">
        <f>'18J'!S$23</f>
        <v>-0.4851951438783253</v>
      </c>
      <c r="K35" s="214" t="str">
        <f>'18J'!T$23</f>
        <v>..</v>
      </c>
      <c r="L35" s="214" t="str">
        <f>'18J'!U$23</f>
        <v>..</v>
      </c>
      <c r="M35" s="489"/>
      <c r="N35" s="324" t="s">
        <v>390</v>
      </c>
      <c r="O35" s="292">
        <f>'19J'!B$34</f>
        <v>3.6684042608940537</v>
      </c>
      <c r="P35" s="292">
        <f>'19J'!C$34</f>
        <v>4.5746648766447073</v>
      </c>
      <c r="Q35" s="292">
        <f>'19J'!D$34</f>
        <v>-1.1350369961342199</v>
      </c>
      <c r="R35" s="292">
        <f>'19J'!E$34</f>
        <v>7.1863433119797815</v>
      </c>
      <c r="S35" s="292" t="str">
        <f>'19J'!F$34</f>
        <v>..</v>
      </c>
      <c r="T35" s="292">
        <f>'19J'!G$34</f>
        <v>-0.15633908382725048</v>
      </c>
      <c r="U35" s="292" t="str">
        <f>'19J'!H$34</f>
        <v>..</v>
      </c>
      <c r="V35" s="292">
        <f>'19J'!I$34</f>
        <v>0.64914697759619333</v>
      </c>
      <c r="W35" s="292" t="str">
        <f>'19J'!J$34</f>
        <v>..</v>
      </c>
      <c r="X35" s="292" t="str">
        <f>'19J'!K$34</f>
        <v>..</v>
      </c>
      <c r="Y35" s="489"/>
      <c r="Z35" s="324" t="s">
        <v>390</v>
      </c>
      <c r="AA35" s="253">
        <f>'20J'!B$22</f>
        <v>0.99424353535213505</v>
      </c>
      <c r="AB35" s="253">
        <f>'20J'!C$22</f>
        <v>3.3818269379128907</v>
      </c>
      <c r="AC35" s="253">
        <f>'20J'!D$22</f>
        <v>10.168613934413839</v>
      </c>
      <c r="AD35" s="253">
        <f>'20J'!E$22</f>
        <v>4.9996888397788153</v>
      </c>
      <c r="AE35" s="253" t="str">
        <f>'20J'!F$22</f>
        <v>n.a.</v>
      </c>
      <c r="AF35" s="253">
        <f>'20J'!G$22</f>
        <v>6.3960059857864016</v>
      </c>
      <c r="AG35" s="253" t="str">
        <f>'20J'!H$22</f>
        <v>n.a.</v>
      </c>
      <c r="AH35" s="253" t="str">
        <f>'20J'!I$22</f>
        <v>n.a.</v>
      </c>
      <c r="AI35" s="253" t="str">
        <f>'20J'!J$22</f>
        <v>n.a.</v>
      </c>
      <c r="AJ35" s="253" t="str">
        <f>'20J'!K$22</f>
        <v>n.a.</v>
      </c>
      <c r="AK35" s="483"/>
      <c r="AL35" s="322" t="s">
        <v>390</v>
      </c>
      <c r="AM35" s="280">
        <f>'21J'!B$23</f>
        <v>3.6882973072632774</v>
      </c>
      <c r="AN35" s="280">
        <f>'21J'!C$23</f>
        <v>-3.3549119278678208</v>
      </c>
      <c r="AO35" s="280">
        <f>'21J'!D$23</f>
        <v>-0.9297563236062456</v>
      </c>
      <c r="AP35" s="280">
        <f>'21J'!E$23</f>
        <v>0.40846513186880706</v>
      </c>
      <c r="AQ35" s="280">
        <f>'21J'!F$23</f>
        <v>0.97486735480094566</v>
      </c>
      <c r="AR35" s="280">
        <f>'21J'!G$23</f>
        <v>12.699115475830114</v>
      </c>
      <c r="AS35" s="280">
        <f>'21J'!H$23</f>
        <v>13.601544500019136</v>
      </c>
      <c r="AT35" s="280">
        <f>'21J'!I$23</f>
        <v>-0.89002483463268556</v>
      </c>
    </row>
    <row r="36" spans="1:46">
      <c r="A36" s="488"/>
      <c r="B36" s="322" t="s">
        <v>391</v>
      </c>
      <c r="C36" s="214">
        <f>'18K'!L$23</f>
        <v>2.428055798924067</v>
      </c>
      <c r="D36" s="214">
        <f>'18K'!M$23</f>
        <v>5.0152262413278414</v>
      </c>
      <c r="E36" s="214">
        <f>'18K'!N$23</f>
        <v>6.0738074092701044</v>
      </c>
      <c r="F36" s="214">
        <f>'18K'!O$23</f>
        <v>7.447465338821857</v>
      </c>
      <c r="G36" s="214">
        <f>'18K'!P$23</f>
        <v>5.492602590802198</v>
      </c>
      <c r="H36" s="214">
        <f>'18K'!Q$23</f>
        <v>8.8046741825763988</v>
      </c>
      <c r="I36" s="214">
        <f>'18K'!R$23</f>
        <v>11.892659641393234</v>
      </c>
      <c r="J36" s="214">
        <f>'18K'!S$23</f>
        <v>-2.6217983525312016</v>
      </c>
      <c r="K36" s="214">
        <f>'18K'!T$23</f>
        <v>-2.4251469236805434</v>
      </c>
      <c r="L36" s="214">
        <f>'18K'!U$23</f>
        <v>-5.003156975796152</v>
      </c>
      <c r="M36" s="489"/>
      <c r="N36" s="324" t="s">
        <v>391</v>
      </c>
      <c r="O36" s="292">
        <f>'19K'!B$34</f>
        <v>0.91561015121865985</v>
      </c>
      <c r="P36" s="292">
        <f>'19K'!C$34</f>
        <v>1.5166817995145188</v>
      </c>
      <c r="Q36" s="292">
        <f>'19K'!D$34</f>
        <v>1.3681323691732361</v>
      </c>
      <c r="R36" s="292">
        <f>'19K'!E$34</f>
        <v>1.7447239187463826</v>
      </c>
      <c r="S36" s="292">
        <f>'19K'!F$34</f>
        <v>3.8598481064134216</v>
      </c>
      <c r="T36" s="292">
        <f>'19K'!G$34</f>
        <v>-0.78708816742216747</v>
      </c>
      <c r="U36" s="292">
        <f>'19K'!H$34</f>
        <v>-1.5609287042544051</v>
      </c>
      <c r="V36" s="292">
        <f>'19K'!I$34</f>
        <v>1.135276586736178</v>
      </c>
      <c r="W36" s="292">
        <f>'19K'!J$34</f>
        <v>1.4744707483407504</v>
      </c>
      <c r="X36" s="292">
        <f>'19K'!K$34</f>
        <v>-1.0365532932676058</v>
      </c>
      <c r="Y36" s="489"/>
      <c r="Z36" s="324" t="s">
        <v>391</v>
      </c>
      <c r="AA36" s="253">
        <f>'20K'!B$22</f>
        <v>1.4987231860750239</v>
      </c>
      <c r="AB36" s="253">
        <f>'20K'!C$22</f>
        <v>3.446275409910049</v>
      </c>
      <c r="AC36" s="253">
        <f>'20K'!D$22</f>
        <v>4.6421640905440098</v>
      </c>
      <c r="AD36" s="253">
        <f>'20K'!E$22</f>
        <v>5.604950507929729</v>
      </c>
      <c r="AE36" s="253">
        <f>'20K'!F$22</f>
        <v>1.5720747855474171</v>
      </c>
      <c r="AF36" s="253">
        <f>'20K'!G$22</f>
        <v>9.667856907762884</v>
      </c>
      <c r="AG36" s="253">
        <f>'20K'!H$22</f>
        <v>13.666919210593043</v>
      </c>
      <c r="AH36" s="253">
        <f>'20K'!I$22</f>
        <v>-3.714900543180133</v>
      </c>
      <c r="AI36" s="253">
        <f>'20K'!J$22</f>
        <v>-3.8429544330341292</v>
      </c>
      <c r="AJ36" s="253">
        <f>'20K'!K$22</f>
        <v>-4.0081502964252618</v>
      </c>
      <c r="AK36" s="483"/>
      <c r="AL36" s="322" t="s">
        <v>391</v>
      </c>
      <c r="AM36" s="280">
        <f>'21K'!B$23</f>
        <v>2.2773151217480025</v>
      </c>
      <c r="AN36" s="280">
        <f>'21K'!C$23</f>
        <v>-4.9187973003682162</v>
      </c>
      <c r="AO36" s="280">
        <f>'21K'!D$23</f>
        <v>-5.9725269197416058</v>
      </c>
      <c r="AP36" s="280">
        <f>'21K'!E$23</f>
        <v>-2.5468302729643955</v>
      </c>
      <c r="AQ36" s="280">
        <f>'21K'!F$23</f>
        <v>0.1473842728435093</v>
      </c>
      <c r="AR36" s="280">
        <f>'21K'!G$23</f>
        <v>11.561280671180318</v>
      </c>
      <c r="AS36" s="280">
        <f>'21K'!H$23</f>
        <v>14.272416155551305</v>
      </c>
      <c r="AT36" s="280">
        <f>'21K'!I$23</f>
        <v>-7.6927287000294609E-2</v>
      </c>
    </row>
    <row r="37" spans="1:46" ht="15" customHeight="1">
      <c r="A37" s="488" t="s">
        <v>69</v>
      </c>
      <c r="B37" s="322" t="s">
        <v>383</v>
      </c>
      <c r="C37" s="71">
        <f>'18A'!L$24</f>
        <v>1.4470908160676199</v>
      </c>
      <c r="D37" s="71">
        <f>'18A'!M$24</f>
        <v>-2.4619641284456262</v>
      </c>
      <c r="E37" s="71">
        <f>'18A'!N$24</f>
        <v>-1.3989462486959425</v>
      </c>
      <c r="F37" s="71">
        <f>'18A'!O$24</f>
        <v>-1.0484254504566248</v>
      </c>
      <c r="G37" s="71">
        <f>'18A'!P$24</f>
        <v>-0.7920286554765954</v>
      </c>
      <c r="H37" s="71">
        <f>'18A'!Q$24</f>
        <v>-7.8622675025807887E-2</v>
      </c>
      <c r="I37" s="71">
        <f>'18A'!R$24</f>
        <v>-1.786978339048928</v>
      </c>
      <c r="J37" s="71">
        <f>'18A'!S$24</f>
        <v>-4.5926827319843655</v>
      </c>
      <c r="K37" s="71">
        <f>'18A'!T$24</f>
        <v>-5.0240741843920915</v>
      </c>
      <c r="L37" s="71">
        <f>'18A'!U$24</f>
        <v>-3.9164936351835045</v>
      </c>
      <c r="M37" s="489" t="s">
        <v>69</v>
      </c>
      <c r="N37" s="324" t="s">
        <v>383</v>
      </c>
      <c r="O37" s="292">
        <f>'19A'!B$35</f>
        <v>0.59656157519318853</v>
      </c>
      <c r="P37" s="292">
        <f>'19A'!C$35</f>
        <v>-5.0502209578642159</v>
      </c>
      <c r="Q37" s="292">
        <f>'19A'!D$35</f>
        <v>-5.8243451671866957</v>
      </c>
      <c r="R37" s="292">
        <f>'19A'!E$35</f>
        <v>-4.1276981341033974</v>
      </c>
      <c r="S37" s="292">
        <f>'19A'!F$35</f>
        <v>-6.5446954433784903</v>
      </c>
      <c r="T37" s="292">
        <f>'19A'!G$35</f>
        <v>-2.5267878311451386</v>
      </c>
      <c r="U37" s="292">
        <f>'19A'!H$35</f>
        <v>-2.6499041664721612</v>
      </c>
      <c r="V37" s="292">
        <f>'19A'!I$35</f>
        <v>-5.9349329235944381</v>
      </c>
      <c r="W37" s="292">
        <f>'19A'!J$35</f>
        <v>-6.6775856254866266</v>
      </c>
      <c r="X37" s="292">
        <f>'19A'!K$35</f>
        <v>-4.968486285601581</v>
      </c>
      <c r="Y37" s="489" t="s">
        <v>69</v>
      </c>
      <c r="Z37" s="324" t="s">
        <v>383</v>
      </c>
      <c r="AA37" s="362">
        <f>'20A'!B$23</f>
        <v>0.84548539985502824</v>
      </c>
      <c r="AB37" s="362">
        <f>'20A'!C$23</f>
        <v>2.7259219089599052</v>
      </c>
      <c r="AC37" s="253">
        <f>'20A'!D$23</f>
        <v>4.6990901484539771</v>
      </c>
      <c r="AD37" s="253">
        <f>'20A'!E$23</f>
        <v>3.2118480767823421</v>
      </c>
      <c r="AE37" s="253">
        <f>'20A'!F$23</f>
        <v>6.1555273028044644</v>
      </c>
      <c r="AF37" s="253">
        <f>'20A'!G$23</f>
        <v>2.5116286840720203</v>
      </c>
      <c r="AG37" s="253">
        <f>'20A'!H$23</f>
        <v>0.88641497477195408</v>
      </c>
      <c r="AH37" s="253">
        <f>'20A'!I$23</f>
        <v>1.4269380050723868</v>
      </c>
      <c r="AI37" s="253">
        <f>'20A'!J$23</f>
        <v>1.7718266851292741</v>
      </c>
      <c r="AJ37" s="253">
        <f>'20A'!K$23</f>
        <v>1.1069934691134709</v>
      </c>
      <c r="AK37" s="483" t="s">
        <v>69</v>
      </c>
      <c r="AL37" s="322" t="s">
        <v>383</v>
      </c>
      <c r="AM37" s="280">
        <f>'21A'!B$24</f>
        <v>2.335512717914856</v>
      </c>
      <c r="AN37" s="280">
        <f>'21A'!C$24</f>
        <v>-4.9619383312027088</v>
      </c>
      <c r="AO37" s="280">
        <f>'21A'!D$24</f>
        <v>-4.7133878522985784</v>
      </c>
      <c r="AP37" s="280">
        <f>'21A'!E$24</f>
        <v>-5.2746049504557853</v>
      </c>
      <c r="AQ37" s="280">
        <f>'21A'!F$24</f>
        <v>-0.86814623609319241</v>
      </c>
      <c r="AR37" s="280">
        <f>'21A'!G$24</f>
        <v>2.6304978856464434</v>
      </c>
      <c r="AS37" s="280">
        <f>'21A'!H$24</f>
        <v>3.4783916952205285</v>
      </c>
      <c r="AT37" s="280">
        <f>'21A'!I$24</f>
        <v>4.4615063339548344</v>
      </c>
    </row>
    <row r="38" spans="1:46">
      <c r="A38" s="488"/>
      <c r="B38" s="322" t="s">
        <v>384</v>
      </c>
      <c r="C38" s="71">
        <f>'18B'!L$24</f>
        <v>-0.16773455867519216</v>
      </c>
      <c r="D38" s="71" t="str">
        <f>'18B'!M$24</f>
        <v>n.a.</v>
      </c>
      <c r="E38" s="71">
        <f>'18B'!N$24</f>
        <v>-3.063926051689847</v>
      </c>
      <c r="F38" s="71">
        <f>'18B'!O$24</f>
        <v>7.8556800211314615</v>
      </c>
      <c r="G38" s="71">
        <f>'18B'!P$24</f>
        <v>2.0643918078334433</v>
      </c>
      <c r="H38" s="71" t="str">
        <f>'18B'!Q$24</f>
        <v>n.a.</v>
      </c>
      <c r="I38" s="71" t="str">
        <f>'18B'!R$24</f>
        <v>n.a.</v>
      </c>
      <c r="J38" s="71" t="str">
        <f>'18B'!S$24</f>
        <v>n.a.</v>
      </c>
      <c r="K38" s="71" t="str">
        <f>'18B'!T$24</f>
        <v>n.a.</v>
      </c>
      <c r="L38" s="71" t="str">
        <f>'18B'!U$24</f>
        <v>n.a.</v>
      </c>
      <c r="M38" s="489"/>
      <c r="N38" s="324" t="s">
        <v>384</v>
      </c>
      <c r="O38" s="292">
        <f>'19B'!B$35</f>
        <v>1.1336795437052016</v>
      </c>
      <c r="P38" s="292" t="str">
        <f>'19B'!C$35</f>
        <v>n.a.</v>
      </c>
      <c r="Q38" s="292">
        <f>'19B'!D$35</f>
        <v>-14.007295077060844</v>
      </c>
      <c r="R38" s="292">
        <f>'19B'!E$35</f>
        <v>-2.7860467734831529</v>
      </c>
      <c r="S38" s="292">
        <f>'19B'!F$35</f>
        <v>-5.5642386856924357</v>
      </c>
      <c r="T38" s="292" t="str">
        <f>'19B'!G$35</f>
        <v>n.a.</v>
      </c>
      <c r="U38" s="292" t="str">
        <f>'19B'!H$35</f>
        <v>n.a.</v>
      </c>
      <c r="V38" s="292" t="str">
        <f>'19B'!I$35</f>
        <v>n.a.</v>
      </c>
      <c r="W38" s="292" t="str">
        <f>'19B'!J$35</f>
        <v>n.a.</v>
      </c>
      <c r="X38" s="292" t="str">
        <f>'19B'!K$35</f>
        <v>n.a.</v>
      </c>
      <c r="Y38" s="489"/>
      <c r="Z38" s="324" t="s">
        <v>384</v>
      </c>
      <c r="AA38" s="362">
        <f>'20B'!B$23</f>
        <v>-1.2868256235233577</v>
      </c>
      <c r="AB38" s="362" t="str">
        <f>'20B'!C$23</f>
        <v>n.a.</v>
      </c>
      <c r="AC38" s="253">
        <f>'20B'!D$23</f>
        <v>12.72592719949639</v>
      </c>
      <c r="AD38" s="253">
        <f>'20B'!E$23</f>
        <v>10.946707176714131</v>
      </c>
      <c r="AE38" s="253">
        <f>'20B'!F$23</f>
        <v>8.0781161578564955</v>
      </c>
      <c r="AF38" s="253" t="str">
        <f>'20B'!G$23</f>
        <v>n.a.</v>
      </c>
      <c r="AG38" s="253" t="str">
        <f>'20B'!H$23</f>
        <v>n.a.</v>
      </c>
      <c r="AH38" s="253" t="str">
        <f>'20B'!I$23</f>
        <v>n.a.</v>
      </c>
      <c r="AI38" s="253" t="str">
        <f>'20B'!J$23</f>
        <v>n.a.</v>
      </c>
      <c r="AJ38" s="253" t="str">
        <f>'20B'!K$23</f>
        <v>n.a.</v>
      </c>
      <c r="AK38" s="483"/>
      <c r="AL38" s="322" t="s">
        <v>384</v>
      </c>
      <c r="AM38" s="280">
        <f>'21B'!B$24</f>
        <v>5.0567056131128219</v>
      </c>
      <c r="AN38" s="280" t="str">
        <f>'21B'!C$24</f>
        <v>n.a.</v>
      </c>
      <c r="AO38" s="280" t="str">
        <f>'21B'!D$24</f>
        <v>n.a.</v>
      </c>
      <c r="AP38" s="280" t="str">
        <f>'21B'!E$24</f>
        <v>n.a.</v>
      </c>
      <c r="AQ38" s="280">
        <f>'21B'!F$24</f>
        <v>-4.9729716359351634</v>
      </c>
      <c r="AR38" s="280" t="str">
        <f>'21B'!G$24</f>
        <v>n.a.</v>
      </c>
      <c r="AS38" s="280" t="str">
        <f>'21B'!H$24</f>
        <v>n.a.</v>
      </c>
      <c r="AT38" s="280" t="str">
        <f>'21B'!I$24</f>
        <v>n.a.</v>
      </c>
    </row>
    <row r="39" spans="1:46">
      <c r="A39" s="488"/>
      <c r="B39" s="322" t="s">
        <v>385</v>
      </c>
      <c r="C39" s="71">
        <f>'18C'!L$24</f>
        <v>1.4054054921597059</v>
      </c>
      <c r="D39" s="71" t="str">
        <f>'18C'!M$24</f>
        <v>n.a.</v>
      </c>
      <c r="E39" s="71">
        <f>'18C'!N$24</f>
        <v>-2.4890163609236127</v>
      </c>
      <c r="F39" s="71" t="str">
        <f>'18C'!O$24</f>
        <v>n.a.</v>
      </c>
      <c r="G39" s="71" t="str">
        <f>'18C'!P$24</f>
        <v>n.a.</v>
      </c>
      <c r="H39" s="71" t="str">
        <f>'18C'!Q$24</f>
        <v>n.a.</v>
      </c>
      <c r="I39" s="71" t="str">
        <f>'18C'!R$24</f>
        <v>n.a.</v>
      </c>
      <c r="J39" s="71" t="str">
        <f>'18C'!S$24</f>
        <v>n.a.</v>
      </c>
      <c r="K39" s="71" t="str">
        <f>'18C'!T$24</f>
        <v>n.a.</v>
      </c>
      <c r="L39" s="71" t="str">
        <f>'18C'!U$24</f>
        <v>n.a.</v>
      </c>
      <c r="M39" s="489"/>
      <c r="N39" s="324" t="s">
        <v>385</v>
      </c>
      <c r="O39" s="292">
        <f>'19C'!B$35</f>
        <v>0.94762628083226996</v>
      </c>
      <c r="P39" s="292" t="str">
        <f>'19C'!C$35</f>
        <v>n.a.</v>
      </c>
      <c r="Q39" s="292">
        <f>'19C'!D$35</f>
        <v>-1.9824902122414612</v>
      </c>
      <c r="R39" s="292" t="str">
        <f>'19C'!E$35</f>
        <v>n.a.</v>
      </c>
      <c r="S39" s="292" t="str">
        <f>'19C'!F$35</f>
        <v>n.a.</v>
      </c>
      <c r="T39" s="292" t="str">
        <f>'19C'!G$35</f>
        <v>n.a.</v>
      </c>
      <c r="U39" s="292" t="str">
        <f>'19C'!H$35</f>
        <v>n.a.</v>
      </c>
      <c r="V39" s="292" t="str">
        <f>'19C'!I$35</f>
        <v>n.a.</v>
      </c>
      <c r="W39" s="292" t="str">
        <f>'19C'!J$35</f>
        <v>n.a.</v>
      </c>
      <c r="X39" s="292" t="str">
        <f>'19C'!K$35</f>
        <v>n.a.</v>
      </c>
      <c r="Y39" s="489"/>
      <c r="Z39" s="324" t="s">
        <v>385</v>
      </c>
      <c r="AA39" s="362">
        <f>'20C'!B$23</f>
        <v>0.45348189768614766</v>
      </c>
      <c r="AB39" s="362" t="str">
        <f>'20C'!C$23</f>
        <v>n.a.</v>
      </c>
      <c r="AC39" s="253">
        <f>'20C'!D$23</f>
        <v>-0.51677108485918</v>
      </c>
      <c r="AD39" s="253" t="str">
        <f>'20C'!E$23</f>
        <v>n.a.</v>
      </c>
      <c r="AE39" s="253" t="str">
        <f>'20C'!F$23</f>
        <v>n.a.</v>
      </c>
      <c r="AF39" s="253" t="str">
        <f>'20C'!G$23</f>
        <v>n.a.</v>
      </c>
      <c r="AG39" s="253" t="str">
        <f>'20C'!H$23</f>
        <v>n.a.</v>
      </c>
      <c r="AH39" s="253" t="str">
        <f>'20C'!I$23</f>
        <v>n.a.</v>
      </c>
      <c r="AI39" s="253" t="str">
        <f>'20C'!J$23</f>
        <v>n.a.</v>
      </c>
      <c r="AJ39" s="253" t="str">
        <f>'20C'!K$23</f>
        <v>n.a.</v>
      </c>
      <c r="AK39" s="483"/>
      <c r="AL39" s="322" t="s">
        <v>385</v>
      </c>
      <c r="AM39" s="280">
        <f>'21C'!B$24</f>
        <v>1.6682209753166477</v>
      </c>
      <c r="AN39" s="280" t="str">
        <f>'21C'!C$24</f>
        <v>n.a.</v>
      </c>
      <c r="AO39" s="280" t="str">
        <f>'21C'!D$24</f>
        <v>n.a.</v>
      </c>
      <c r="AP39" s="280" t="str">
        <f>'21C'!E$24</f>
        <v>n.a.</v>
      </c>
      <c r="AQ39" s="280">
        <f>'21C'!F$24</f>
        <v>-0.2585030805454358</v>
      </c>
      <c r="AR39" s="280" t="str">
        <f>'21C'!G$24</f>
        <v>n.a.</v>
      </c>
      <c r="AS39" s="280" t="str">
        <f>'21C'!H$24</f>
        <v>n.a.</v>
      </c>
      <c r="AT39" s="280" t="str">
        <f>'21C'!I$24</f>
        <v>n.a.</v>
      </c>
    </row>
    <row r="40" spans="1:46">
      <c r="A40" s="488"/>
      <c r="B40" s="322" t="s">
        <v>386</v>
      </c>
      <c r="C40" s="71">
        <f>'18D'!L$24</f>
        <v>0.96749290779276631</v>
      </c>
      <c r="D40" s="71" t="str">
        <f>'18D'!M$24</f>
        <v>n.a.</v>
      </c>
      <c r="E40" s="71">
        <f>'18D'!N$24</f>
        <v>-8.082051594329954</v>
      </c>
      <c r="F40" s="71">
        <f>'18D'!O$24</f>
        <v>-2.3955994875405007</v>
      </c>
      <c r="G40" s="71" t="str">
        <f>'18D'!P$24</f>
        <v>n.a.</v>
      </c>
      <c r="H40" s="71">
        <f>'18D'!Q$24</f>
        <v>-3.8187552680570058</v>
      </c>
      <c r="I40" s="71" t="str">
        <f>'18D'!R$24</f>
        <v>n.a.</v>
      </c>
      <c r="J40" s="71" t="str">
        <f>'18D'!S$24</f>
        <v>n.a.</v>
      </c>
      <c r="K40" s="71" t="str">
        <f>'18D'!T$24</f>
        <v>n.a.</v>
      </c>
      <c r="L40" s="71" t="str">
        <f>'18D'!U$24</f>
        <v>n.a.</v>
      </c>
      <c r="M40" s="489"/>
      <c r="N40" s="324" t="s">
        <v>386</v>
      </c>
      <c r="O40" s="292">
        <f>'19D'!B$35</f>
        <v>-0.16227170285132431</v>
      </c>
      <c r="P40" s="292" t="str">
        <f>'19D'!C$35</f>
        <v>n.a.</v>
      </c>
      <c r="Q40" s="292">
        <f>'19D'!D$35</f>
        <v>-11.741291616848425</v>
      </c>
      <c r="R40" s="292">
        <f>'19D'!E$35</f>
        <v>-9.5756988519716266</v>
      </c>
      <c r="S40" s="292" t="str">
        <f>'19D'!F$35</f>
        <v>n.a.</v>
      </c>
      <c r="T40" s="292">
        <f>'19D'!G$35</f>
        <v>-4.4963699132502866</v>
      </c>
      <c r="U40" s="292" t="str">
        <f>'19D'!H$35</f>
        <v>n.a.</v>
      </c>
      <c r="V40" s="292" t="str">
        <f>'19D'!I$35</f>
        <v>n.a.</v>
      </c>
      <c r="W40" s="292" t="str">
        <f>'19D'!J$35</f>
        <v>n.a.</v>
      </c>
      <c r="X40" s="292" t="str">
        <f>'19D'!K$35</f>
        <v>n.a.</v>
      </c>
      <c r="Y40" s="489"/>
      <c r="Z40" s="324" t="s">
        <v>386</v>
      </c>
      <c r="AA40" s="362">
        <f>'20D'!B$23</f>
        <v>1.1316008786593779</v>
      </c>
      <c r="AB40" s="362">
        <f>'20D'!C$23</f>
        <v>0</v>
      </c>
      <c r="AC40" s="253">
        <f>'20D'!D$23</f>
        <v>4.1460384924656424</v>
      </c>
      <c r="AD40" s="253">
        <f>'20D'!E$23</f>
        <v>7.9404532556762497</v>
      </c>
      <c r="AE40" s="253">
        <f>'20D'!F$23</f>
        <v>0</v>
      </c>
      <c r="AF40" s="253">
        <f>'20D'!G$23</f>
        <v>0.70951716136631315</v>
      </c>
      <c r="AG40" s="253">
        <f>'20D'!H$23</f>
        <v>0</v>
      </c>
      <c r="AH40" s="253">
        <f>'20D'!I$23</f>
        <v>0</v>
      </c>
      <c r="AI40" s="253">
        <f>'20D'!J$23</f>
        <v>0</v>
      </c>
      <c r="AJ40" s="253">
        <f>'20D'!K$23</f>
        <v>0</v>
      </c>
      <c r="AK40" s="483"/>
      <c r="AL40" s="322" t="s">
        <v>386</v>
      </c>
      <c r="AM40" s="280">
        <f>'21D'!B$24</f>
        <v>1.1725746979266871</v>
      </c>
      <c r="AN40" s="280">
        <f>'21D'!C$24</f>
        <v>-1.4365411821234519</v>
      </c>
      <c r="AO40" s="280" t="str">
        <f>'21D'!D$24</f>
        <v>n.a.</v>
      </c>
      <c r="AP40" s="280" t="str">
        <f>'21D'!E$24</f>
        <v>n.a.</v>
      </c>
      <c r="AQ40" s="280">
        <f>'21D'!F$24</f>
        <v>-0.20270492348963831</v>
      </c>
      <c r="AR40" s="280">
        <f>'21D'!G$24</f>
        <v>-6.742367295049922</v>
      </c>
      <c r="AS40" s="280" t="str">
        <f>'21D'!H$24</f>
        <v>n.a.</v>
      </c>
      <c r="AT40" s="280" t="str">
        <f>'21D'!I$24</f>
        <v>n.a.</v>
      </c>
    </row>
    <row r="41" spans="1:46">
      <c r="A41" s="488"/>
      <c r="B41" s="322" t="s">
        <v>387</v>
      </c>
      <c r="C41" s="71">
        <f>'18E'!L$24</f>
        <v>0.1906067857720517</v>
      </c>
      <c r="D41" s="71" t="str">
        <f>'18E'!M$24</f>
        <v>n.a.</v>
      </c>
      <c r="E41" s="71">
        <f>'18E'!N$24</f>
        <v>0.7710777585655082</v>
      </c>
      <c r="F41" s="71">
        <f>'18E'!O$24</f>
        <v>1.251396315916331</v>
      </c>
      <c r="G41" s="71" t="str">
        <f>'18E'!P$24</f>
        <v>n.a.</v>
      </c>
      <c r="H41" s="71" t="str">
        <f>'18E'!Q$24</f>
        <v>n.a.</v>
      </c>
      <c r="I41" s="71">
        <f>'18E'!R$24</f>
        <v>5.3104883771962763</v>
      </c>
      <c r="J41" s="71" t="str">
        <f>'18E'!S$24</f>
        <v>n.a.</v>
      </c>
      <c r="K41" s="71" t="str">
        <f>'18E'!T$24</f>
        <v>n.a.</v>
      </c>
      <c r="L41" s="71" t="str">
        <f>'18E'!U$24</f>
        <v>n.a.</v>
      </c>
      <c r="M41" s="489"/>
      <c r="N41" s="324" t="s">
        <v>387</v>
      </c>
      <c r="O41" s="292">
        <f>'19E'!B$35</f>
        <v>-0.45156809565219946</v>
      </c>
      <c r="P41" s="292" t="str">
        <f>'19E'!C$35</f>
        <v>n.a.</v>
      </c>
      <c r="Q41" s="292">
        <f>'19E'!D$35</f>
        <v>-4.2233174776151845</v>
      </c>
      <c r="R41" s="292">
        <f>'19E'!E$35</f>
        <v>0.89954664631699544</v>
      </c>
      <c r="S41" s="292" t="str">
        <f>'19E'!F$35</f>
        <v>n.a.</v>
      </c>
      <c r="T41" s="292" t="str">
        <f>'19E'!G$35</f>
        <v>n.a.</v>
      </c>
      <c r="U41" s="292">
        <f>'19E'!H$35</f>
        <v>6.8128365075117436</v>
      </c>
      <c r="V41" s="292" t="str">
        <f>'19E'!I$35</f>
        <v>n.a.</v>
      </c>
      <c r="W41" s="292" t="str">
        <f>'19E'!J$35</f>
        <v>n.a.</v>
      </c>
      <c r="X41" s="292" t="str">
        <f>'19E'!K$35</f>
        <v>n.a.</v>
      </c>
      <c r="Y41" s="489"/>
      <c r="Z41" s="324" t="s">
        <v>387</v>
      </c>
      <c r="AA41" s="362">
        <f>'20E'!B$23</f>
        <v>0.64508789253585608</v>
      </c>
      <c r="AB41" s="362" t="str">
        <f>'20E'!C$23</f>
        <v>n.a.</v>
      </c>
      <c r="AC41" s="253">
        <f>'20E'!D$23</f>
        <v>5.2146254230651667</v>
      </c>
      <c r="AD41" s="253">
        <f>'20E'!E$23</f>
        <v>0.34871283498694172</v>
      </c>
      <c r="AE41" s="253">
        <f>'20E'!F$23</f>
        <v>0</v>
      </c>
      <c r="AF41" s="253">
        <f>'20E'!G$23</f>
        <v>0</v>
      </c>
      <c r="AG41" s="253">
        <f>'20E'!H$23</f>
        <v>-1.4065239529612361</v>
      </c>
      <c r="AH41" s="253" t="str">
        <f>'20E'!I$23</f>
        <v>n.a.</v>
      </c>
      <c r="AI41" s="253" t="str">
        <f>'20E'!J$23</f>
        <v>n.a.</v>
      </c>
      <c r="AJ41" s="253" t="str">
        <f>'20E'!K$23</f>
        <v>n.a.</v>
      </c>
      <c r="AK41" s="483"/>
      <c r="AL41" s="322" t="s">
        <v>387</v>
      </c>
      <c r="AM41" s="280">
        <f>'21E'!B$24</f>
        <v>1.3253327133788684</v>
      </c>
      <c r="AN41" s="280">
        <f>'21E'!C$24</f>
        <v>-0.8020756901255921</v>
      </c>
      <c r="AO41" s="280" t="str">
        <f>'21E'!D$24</f>
        <v>n.a.</v>
      </c>
      <c r="AP41" s="280" t="str">
        <f>'21E'!E$24</f>
        <v>n.a.</v>
      </c>
      <c r="AQ41" s="280">
        <f>'21E'!F$24</f>
        <v>-1.1198837420219987</v>
      </c>
      <c r="AR41" s="280">
        <f>'21E'!G$24</f>
        <v>1.5858733533343772</v>
      </c>
      <c r="AS41" s="280" t="str">
        <f>'21E'!H$24</f>
        <v>n.a.</v>
      </c>
      <c r="AT41" s="280" t="str">
        <f>'21E'!I$24</f>
        <v>n.a.</v>
      </c>
    </row>
    <row r="42" spans="1:46">
      <c r="A42" s="488"/>
      <c r="B42" s="322" t="s">
        <v>256</v>
      </c>
      <c r="C42" s="71">
        <f>'18F'!L$24</f>
        <v>1.2486033113679129</v>
      </c>
      <c r="D42" s="71">
        <f>'18F'!M$24</f>
        <v>-1.9822726643278776</v>
      </c>
      <c r="E42" s="71">
        <f>'18F'!N$24</f>
        <v>0.87293401279902039</v>
      </c>
      <c r="F42" s="71">
        <f>'18F'!O$24</f>
        <v>-0.84143960489473368</v>
      </c>
      <c r="G42" s="71">
        <f>'18F'!P$24</f>
        <v>-3.1905774512328011</v>
      </c>
      <c r="H42" s="71">
        <f>'18F'!Q$24</f>
        <v>0.6513401621166981</v>
      </c>
      <c r="I42" s="71">
        <f>'18F'!R$24</f>
        <v>0.13360515252336391</v>
      </c>
      <c r="J42" s="71">
        <f>'18F'!S$24</f>
        <v>-3.8967544747670391</v>
      </c>
      <c r="K42" s="71">
        <f>'18F'!T$24</f>
        <v>-3.8847290273695045</v>
      </c>
      <c r="L42" s="71">
        <f>'18F'!U$24</f>
        <v>-3.9786194723289148</v>
      </c>
      <c r="M42" s="489"/>
      <c r="N42" s="324" t="s">
        <v>256</v>
      </c>
      <c r="O42" s="292">
        <f>'19F'!B$35</f>
        <v>0.6678972106952008</v>
      </c>
      <c r="P42" s="292">
        <f>'19F'!C$35</f>
        <v>-5.5246883759227261</v>
      </c>
      <c r="Q42" s="292">
        <f>'19F'!D$35</f>
        <v>-8.2917848813006785</v>
      </c>
      <c r="R42" s="292">
        <f>'19F'!E$35</f>
        <v>-3.7445619436016875</v>
      </c>
      <c r="S42" s="292">
        <f>'19F'!F$35</f>
        <v>-13.024996339772832</v>
      </c>
      <c r="T42" s="292">
        <f>'19F'!G$35</f>
        <v>1.7299522061261952</v>
      </c>
      <c r="U42" s="292">
        <f>'19F'!H$35</f>
        <v>0.87646790204713998</v>
      </c>
      <c r="V42" s="292">
        <f>'19F'!I$35</f>
        <v>-6.3404675793389149</v>
      </c>
      <c r="W42" s="292">
        <f>'19F'!J$35</f>
        <v>-7.3460309094066423</v>
      </c>
      <c r="X42" s="292">
        <f>'19F'!K$35</f>
        <v>-4.7912658974083477</v>
      </c>
      <c r="Y42" s="489"/>
      <c r="Z42" s="324" t="s">
        <v>256</v>
      </c>
      <c r="AA42" s="362">
        <f>'20F'!B$23</f>
        <v>0.57685331348216184</v>
      </c>
      <c r="AB42" s="362">
        <f>'20F'!C$23</f>
        <v>3.7495676390995492</v>
      </c>
      <c r="AC42" s="253">
        <f>'20F'!D$23</f>
        <v>9.9933456149350128</v>
      </c>
      <c r="AD42" s="253">
        <f>'20F'!E$23</f>
        <v>3.0160605959799858</v>
      </c>
      <c r="AE42" s="253">
        <f>'20F'!F$23</f>
        <v>11.307178470447376</v>
      </c>
      <c r="AF42" s="253">
        <f>'20F'!G$23</f>
        <v>-1.0602698817984479</v>
      </c>
      <c r="AG42" s="253">
        <f>'20F'!H$23</f>
        <v>-0.73640836656285735</v>
      </c>
      <c r="AH42" s="253">
        <f>'20F'!I$23</f>
        <v>2.609145103988153</v>
      </c>
      <c r="AI42" s="253">
        <f>'20F'!J$23</f>
        <v>3.7357297437013326</v>
      </c>
      <c r="AJ42" s="253">
        <f>'20F'!K$23</f>
        <v>0.8535418864027422</v>
      </c>
      <c r="AK42" s="483"/>
      <c r="AL42" s="322" t="s">
        <v>256</v>
      </c>
      <c r="AM42" s="280">
        <f>'21F'!B$24</f>
        <v>2.0026305077730289</v>
      </c>
      <c r="AN42" s="280">
        <f>'21F'!C$24</f>
        <v>-5.1811243823850166</v>
      </c>
      <c r="AO42" s="280">
        <f>'21F'!D$24</f>
        <v>-3.5365637010069673</v>
      </c>
      <c r="AP42" s="280">
        <f>'21F'!E$24</f>
        <v>-6.1963612824525232</v>
      </c>
      <c r="AQ42" s="280">
        <f>'21F'!F$24</f>
        <v>-0.73922328537171511</v>
      </c>
      <c r="AR42" s="280">
        <f>'21F'!G$24</f>
        <v>6.3848662576413862</v>
      </c>
      <c r="AS42" s="280">
        <f>'21F'!H$24</f>
        <v>2.7939333280213807</v>
      </c>
      <c r="AT42" s="280">
        <f>'21F'!I$24</f>
        <v>2.4515113050250115</v>
      </c>
    </row>
    <row r="43" spans="1:46">
      <c r="A43" s="488"/>
      <c r="B43" s="322" t="s">
        <v>257</v>
      </c>
      <c r="C43" s="71">
        <f>'18G'!L$24</f>
        <v>0.87131512699496483</v>
      </c>
      <c r="D43" s="71">
        <f>'18G'!M$24</f>
        <v>-5.49649193302304</v>
      </c>
      <c r="E43" s="71">
        <f>'18G'!N$24</f>
        <v>-5.5476429772184037</v>
      </c>
      <c r="F43" s="71">
        <f>'18G'!O$24</f>
        <v>-5.7429190477814256</v>
      </c>
      <c r="G43" s="71">
        <f>'18G'!P$24</f>
        <v>-10.39120761621869</v>
      </c>
      <c r="H43" s="71">
        <f>'18G'!Q$24</f>
        <v>-2.2124259693730775</v>
      </c>
      <c r="I43" s="71">
        <f>'18G'!R$24</f>
        <v>-5.7015288058348652</v>
      </c>
      <c r="J43" s="71">
        <f>'18G'!S$24</f>
        <v>-5.3597331137780202</v>
      </c>
      <c r="K43" s="71">
        <f>'18G'!T$24</f>
        <v>-9.1317713574580406</v>
      </c>
      <c r="L43" s="71">
        <f>'18G'!U$24</f>
        <v>-3.1427385544740449</v>
      </c>
      <c r="M43" s="489"/>
      <c r="N43" s="324" t="s">
        <v>257</v>
      </c>
      <c r="O43" s="292">
        <f>'19G'!B$35</f>
        <v>0.38885274145630255</v>
      </c>
      <c r="P43" s="292">
        <f>'19G'!C$35</f>
        <v>-6.1723125313041578</v>
      </c>
      <c r="Q43" s="292">
        <f>'19G'!D$35</f>
        <v>-6.1466077192637076</v>
      </c>
      <c r="R43" s="292">
        <f>'19G'!E$35</f>
        <v>-6.8822948517230476</v>
      </c>
      <c r="S43" s="292">
        <f>'19G'!F$35</f>
        <v>-15.144870468068561</v>
      </c>
      <c r="T43" s="292">
        <f>'19G'!G$35</f>
        <v>-5.1466413783096909</v>
      </c>
      <c r="U43" s="292">
        <f>'19G'!H$35</f>
        <v>-4.9954431794442815</v>
      </c>
      <c r="V43" s="292">
        <f>'19G'!I$35</f>
        <v>-5.5496432041109545</v>
      </c>
      <c r="W43" s="292">
        <f>'19G'!J$35</f>
        <v>-6.1999333575451061</v>
      </c>
      <c r="X43" s="292">
        <f>'19G'!K$35</f>
        <v>-5.2496811443645814</v>
      </c>
      <c r="Y43" s="489"/>
      <c r="Z43" s="324" t="s">
        <v>257</v>
      </c>
      <c r="AA43" s="362">
        <f>'20G'!B$23</f>
        <v>0.48059358421119747</v>
      </c>
      <c r="AB43" s="362">
        <f>'20G'!C$23</f>
        <v>0.72027843434443461</v>
      </c>
      <c r="AC43" s="253">
        <f>'20G'!D$23</f>
        <v>0.63819189428302447</v>
      </c>
      <c r="AD43" s="253">
        <f>'20G'!E$23</f>
        <v>1.2235866445885035</v>
      </c>
      <c r="AE43" s="253">
        <f>'20G'!F$23</f>
        <v>5.6020925052751691</v>
      </c>
      <c r="AF43" s="253">
        <f>'20G'!G$23</f>
        <v>3.0934227860494934</v>
      </c>
      <c r="AG43" s="253">
        <f>'20G'!H$23</f>
        <v>-0.7432123784591016</v>
      </c>
      <c r="AH43" s="253">
        <f>'20G'!I$23</f>
        <v>0.20106868494242924</v>
      </c>
      <c r="AI43" s="253">
        <f>'20G'!J$23</f>
        <v>-3.1256246449039904</v>
      </c>
      <c r="AJ43" s="253">
        <f>'20G'!K$23</f>
        <v>2.2236786275102061</v>
      </c>
      <c r="AK43" s="483"/>
      <c r="AL43" s="322" t="s">
        <v>257</v>
      </c>
      <c r="AM43" s="280">
        <f>'21G'!B$24</f>
        <v>1.4454826394169062</v>
      </c>
      <c r="AN43" s="280">
        <f>'21G'!C$24</f>
        <v>-3.5186806283244887</v>
      </c>
      <c r="AO43" s="280">
        <f>'21G'!D$24</f>
        <v>-4.4387439020186488</v>
      </c>
      <c r="AP43" s="280">
        <f>'21G'!E$24</f>
        <v>-5.9646189100839848</v>
      </c>
      <c r="AQ43" s="280">
        <f>'21G'!F$24</f>
        <v>-0.56598627901724985</v>
      </c>
      <c r="AR43" s="280">
        <f>'21G'!G$24</f>
        <v>-2.1029587510901782</v>
      </c>
      <c r="AS43" s="280">
        <f>'21G'!H$24</f>
        <v>-1.3647530380152872</v>
      </c>
      <c r="AT43" s="280">
        <f>'21G'!I$24</f>
        <v>0.64325341089177535</v>
      </c>
    </row>
    <row r="44" spans="1:46" s="315" customFormat="1">
      <c r="A44" s="488"/>
      <c r="B44" s="324" t="s">
        <v>388</v>
      </c>
      <c r="C44" s="71">
        <f>'18H'!L$24</f>
        <v>2.2295848116238082</v>
      </c>
      <c r="D44" s="71" t="str">
        <f>'18H'!M$24</f>
        <v>n.a.</v>
      </c>
      <c r="E44" s="71">
        <f>'18H'!N$24</f>
        <v>-4.816449696152092</v>
      </c>
      <c r="F44" s="71">
        <f>'18H'!O$24</f>
        <v>-5.6689482411342862</v>
      </c>
      <c r="G44" s="71">
        <f>'18H'!P$24</f>
        <v>0.30709332072349493</v>
      </c>
      <c r="H44" s="71" t="str">
        <f>'18H'!Q$24</f>
        <v>n.a.</v>
      </c>
      <c r="I44" s="71" t="str">
        <f>'18H'!R$24</f>
        <v>n.a.</v>
      </c>
      <c r="J44" s="71" t="str">
        <f>'18H'!S$24</f>
        <v>n.a.</v>
      </c>
      <c r="K44" s="71" t="str">
        <f>'18H'!T$24</f>
        <v>n.a.</v>
      </c>
      <c r="L44" s="71" t="str">
        <f>'18H'!U$24</f>
        <v>n.a.</v>
      </c>
      <c r="M44" s="489"/>
      <c r="N44" s="324" t="s">
        <v>388</v>
      </c>
      <c r="O44" s="292">
        <f>'19H'!B$35</f>
        <v>0.47096849766155024</v>
      </c>
      <c r="P44" s="292" t="str">
        <f>'19H'!C$35</f>
        <v>n.a.</v>
      </c>
      <c r="Q44" s="292">
        <f>'19H'!D$35</f>
        <v>-5.9753763786218883</v>
      </c>
      <c r="R44" s="292">
        <f>'19H'!E$35</f>
        <v>-8.8199818155472833</v>
      </c>
      <c r="S44" s="292" t="str">
        <f>'19H'!F$35</f>
        <v>n.a.</v>
      </c>
      <c r="T44" s="292">
        <f>'19H'!G$35</f>
        <v>0.18298440201567345</v>
      </c>
      <c r="U44" s="292" t="str">
        <f>'19H'!H$35</f>
        <v>n.a.</v>
      </c>
      <c r="V44" s="292" t="str">
        <f>'19H'!I$35</f>
        <v>n.a.</v>
      </c>
      <c r="W44" s="292" t="str">
        <f>'19H'!J$35</f>
        <v>n.a.</v>
      </c>
      <c r="X44" s="292" t="str">
        <f>'19H'!K$35</f>
        <v>n.a.</v>
      </c>
      <c r="Y44" s="489"/>
      <c r="Z44" s="324" t="s">
        <v>388</v>
      </c>
      <c r="AA44" s="362">
        <f>'20H'!B$23</f>
        <v>1.7503726103756945</v>
      </c>
      <c r="AB44" s="362">
        <f>'20H'!C$23</f>
        <v>0</v>
      </c>
      <c r="AC44" s="253">
        <f>'20H'!D$23</f>
        <v>1.2325778480503091</v>
      </c>
      <c r="AD44" s="253">
        <f>'20H'!E$23</f>
        <v>3.4558378438120041</v>
      </c>
      <c r="AE44" s="253" t="str">
        <f>'20H'!F$23</f>
        <v>n.a.</v>
      </c>
      <c r="AF44" s="253" t="str">
        <f>'20H'!G$23</f>
        <v>n.a.</v>
      </c>
      <c r="AG44" s="253" t="str">
        <f>'20H'!H$23</f>
        <v>n.a.</v>
      </c>
      <c r="AH44" s="253">
        <f>'20H'!I$23</f>
        <v>0</v>
      </c>
      <c r="AI44" s="253" t="str">
        <f>'20H'!J$23</f>
        <v>n.a.</v>
      </c>
      <c r="AJ44" s="253" t="str">
        <f>'20H'!K$23</f>
        <v>n.a.</v>
      </c>
      <c r="AK44" s="483"/>
      <c r="AL44" s="324" t="s">
        <v>388</v>
      </c>
      <c r="AM44" s="280">
        <f>'21H'!B$24</f>
        <v>3.0798971613400061</v>
      </c>
      <c r="AN44" s="280">
        <f>'21H'!C$24</f>
        <v>-7.361478085077322</v>
      </c>
      <c r="AO44" s="280" t="str">
        <f>'21H'!D$24</f>
        <v>n.a.</v>
      </c>
      <c r="AP44" s="280" t="str">
        <f>'21H'!E$24</f>
        <v>n.a.</v>
      </c>
      <c r="AQ44" s="280">
        <f>'21H'!F$24</f>
        <v>-0.8249060904526262</v>
      </c>
      <c r="AR44" s="280">
        <f>'21H'!G$24</f>
        <v>2.7472679143807355</v>
      </c>
      <c r="AS44" s="280" t="str">
        <f>'21H'!H$24</f>
        <v>n.a.</v>
      </c>
      <c r="AT44" s="280" t="str">
        <f>'21H'!I$24</f>
        <v>n.a.</v>
      </c>
    </row>
    <row r="45" spans="1:46">
      <c r="A45" s="488"/>
      <c r="B45" s="322" t="s">
        <v>389</v>
      </c>
      <c r="C45" s="71">
        <f>'18I'!L$24</f>
        <v>3.0621735496888292</v>
      </c>
      <c r="D45" s="71" t="str">
        <f>'18I'!M$24</f>
        <v>n.a.</v>
      </c>
      <c r="E45" s="71">
        <f>'18I'!N$24</f>
        <v>3.4794331011257063</v>
      </c>
      <c r="F45" s="71">
        <f>'18I'!O$24</f>
        <v>9.8723232016882037</v>
      </c>
      <c r="G45" s="71" t="str">
        <f>'18I'!P$24</f>
        <v>n.a.</v>
      </c>
      <c r="H45" s="71">
        <f>'18I'!Q$24</f>
        <v>10.156778730214189</v>
      </c>
      <c r="I45" s="71" t="str">
        <f>'18I'!R$24</f>
        <v>n.a.</v>
      </c>
      <c r="J45" s="71" t="str">
        <f>'18I'!S$24</f>
        <v>n.a.</v>
      </c>
      <c r="K45" s="71" t="str">
        <f>'18I'!T$24</f>
        <v>n.a.</v>
      </c>
      <c r="L45" s="71" t="str">
        <f>'18I'!U$24</f>
        <v>n.a.</v>
      </c>
      <c r="M45" s="489"/>
      <c r="N45" s="324" t="s">
        <v>389</v>
      </c>
      <c r="O45" s="292">
        <f>'19I'!B$35</f>
        <v>1.6893048368518571</v>
      </c>
      <c r="P45" s="292" t="str">
        <f>'19I'!C$35</f>
        <v>n.a.</v>
      </c>
      <c r="Q45" s="292">
        <f>'19I'!D$35</f>
        <v>-7.6983576569517371</v>
      </c>
      <c r="R45" s="292">
        <f>'19I'!E$35</f>
        <v>3.5465600687191623</v>
      </c>
      <c r="S45" s="292" t="str">
        <f>'19I'!F$35</f>
        <v>..</v>
      </c>
      <c r="T45" s="292">
        <f>'19I'!G$35</f>
        <v>7.132510586690044</v>
      </c>
      <c r="U45" s="292" t="str">
        <f>'19I'!H$35</f>
        <v>n.a.</v>
      </c>
      <c r="V45" s="292" t="str">
        <f>'19I'!I$35</f>
        <v>n.a.</v>
      </c>
      <c r="W45" s="292" t="str">
        <f>'19I'!J$35</f>
        <v>n.a.</v>
      </c>
      <c r="X45" s="292" t="str">
        <f>'19I'!K$35</f>
        <v>n.a.</v>
      </c>
      <c r="Y45" s="489"/>
      <c r="Z45" s="324" t="s">
        <v>389</v>
      </c>
      <c r="AA45" s="362">
        <f>'20I'!B$23</f>
        <v>1.3500620493370308</v>
      </c>
      <c r="AB45" s="362">
        <f>'20I'!C$23</f>
        <v>0</v>
      </c>
      <c r="AC45" s="253">
        <f>'20I'!D$23</f>
        <v>12.110067030588766</v>
      </c>
      <c r="AD45" s="253">
        <f>'20I'!E$23</f>
        <v>6.1091002238711889</v>
      </c>
      <c r="AE45" s="253" t="str">
        <f>'20I'!F$23</f>
        <v>n.a.</v>
      </c>
      <c r="AF45" s="253">
        <f>'20I'!G$23</f>
        <v>2.8229228709029108</v>
      </c>
      <c r="AG45" s="253" t="str">
        <f>'20I'!H$23</f>
        <v>n.a.</v>
      </c>
      <c r="AH45" s="253">
        <f>'20I'!I$23</f>
        <v>0</v>
      </c>
      <c r="AI45" s="253" t="str">
        <f>'20I'!J$23</f>
        <v>n.a.</v>
      </c>
      <c r="AJ45" s="253" t="str">
        <f>'20I'!K$23</f>
        <v>n.a.</v>
      </c>
      <c r="AK45" s="483"/>
      <c r="AL45" s="322" t="s">
        <v>389</v>
      </c>
      <c r="AM45" s="280">
        <f>'21I'!B$24</f>
        <v>5.0217608522496793</v>
      </c>
      <c r="AN45" s="280">
        <f>'21I'!C$24</f>
        <v>-8.3535934387833688</v>
      </c>
      <c r="AO45" s="280" t="str">
        <f>'21I'!D$24</f>
        <v>n.a.</v>
      </c>
      <c r="AP45" s="280" t="str">
        <f>'21I'!E$24</f>
        <v>n.a.</v>
      </c>
      <c r="AQ45" s="280">
        <f>'21I'!F$24</f>
        <v>-1.8658869234897901</v>
      </c>
      <c r="AR45" s="280">
        <f>'21I'!G$24</f>
        <v>12.91160994076186</v>
      </c>
      <c r="AS45" s="280" t="str">
        <f>'21I'!H$24</f>
        <v>n.a.</v>
      </c>
      <c r="AT45" s="280" t="str">
        <f>'21I'!I$24</f>
        <v>n.a.</v>
      </c>
    </row>
    <row r="46" spans="1:46">
      <c r="A46" s="488"/>
      <c r="B46" s="322" t="s">
        <v>390</v>
      </c>
      <c r="C46" s="71">
        <f>'18J'!L$24</f>
        <v>2.6490972602162266</v>
      </c>
      <c r="D46" s="71">
        <f>'18J'!M$24</f>
        <v>1.3042903604285394</v>
      </c>
      <c r="E46" s="71">
        <f>'18J'!N$24</f>
        <v>4.6222741556927183</v>
      </c>
      <c r="F46" s="71">
        <f>'18J'!O$24</f>
        <v>1.0752312361794747</v>
      </c>
      <c r="G46" s="71">
        <f>'18J'!P$24</f>
        <v>1.9656193992895865</v>
      </c>
      <c r="H46" s="71">
        <f>'18J'!Q$24</f>
        <v>0.42696890622428985</v>
      </c>
      <c r="I46" s="71">
        <f>'18J'!R$24</f>
        <v>0.44067190155376856</v>
      </c>
      <c r="J46" s="71">
        <f>'18J'!S$24</f>
        <v>-0.2315545879356562</v>
      </c>
      <c r="K46" s="71" t="str">
        <f>'18J'!T$24</f>
        <v>n.a.</v>
      </c>
      <c r="L46" s="71" t="str">
        <f>'18J'!U$24</f>
        <v>n.a.</v>
      </c>
      <c r="M46" s="489"/>
      <c r="N46" s="324" t="s">
        <v>390</v>
      </c>
      <c r="O46" s="292">
        <f>'19J'!B$35</f>
        <v>1.4476282012200414</v>
      </c>
      <c r="P46" s="292">
        <f>'19J'!C$35</f>
        <v>-1.1818610605966784</v>
      </c>
      <c r="Q46" s="292">
        <f>'19J'!D$35</f>
        <v>-3.1303933437444864</v>
      </c>
      <c r="R46" s="292">
        <f>'19J'!E$35</f>
        <v>-1.1364072270571679</v>
      </c>
      <c r="S46" s="292">
        <f>'19J'!F$35</f>
        <v>-1.1277259687848429</v>
      </c>
      <c r="T46" s="292">
        <f>'19J'!G$35</f>
        <v>-4.7002437813950637</v>
      </c>
      <c r="U46" s="292">
        <f>'19J'!H$35</f>
        <v>0.70937898927234677</v>
      </c>
      <c r="V46" s="292">
        <f>'19J'!I$35</f>
        <v>0.47723583597305552</v>
      </c>
      <c r="W46" s="292" t="str">
        <f>'19J'!J$35</f>
        <v>n.a.</v>
      </c>
      <c r="X46" s="292" t="str">
        <f>'19J'!K$35</f>
        <v>n.a.</v>
      </c>
      <c r="Y46" s="489"/>
      <c r="Z46" s="324" t="s">
        <v>390</v>
      </c>
      <c r="AA46" s="362">
        <f>'20J'!B$23</f>
        <v>1.1843244443459078</v>
      </c>
      <c r="AB46" s="362">
        <f>'20J'!C$23</f>
        <v>2.5158856943761743</v>
      </c>
      <c r="AC46" s="253">
        <f>'20J'!D$23</f>
        <v>8.0031991117170076</v>
      </c>
      <c r="AD46" s="253">
        <f>'20J'!E$23</f>
        <v>2.2370605813568423</v>
      </c>
      <c r="AE46" s="253">
        <f>'20J'!F$23</f>
        <v>3.1286277152863029</v>
      </c>
      <c r="AF46" s="253">
        <f>'20J'!G$23</f>
        <v>5.3800900349190828</v>
      </c>
      <c r="AG46" s="253">
        <f>'20J'!H$23</f>
        <v>-0.26681436268928271</v>
      </c>
      <c r="AH46" s="253">
        <f>'20J'!I$23</f>
        <v>-0.70542388831814629</v>
      </c>
      <c r="AI46" s="253">
        <f>'20J'!J$23</f>
        <v>0</v>
      </c>
      <c r="AJ46" s="253">
        <f>'20J'!K$23</f>
        <v>0</v>
      </c>
      <c r="AK46" s="483"/>
      <c r="AL46" s="322" t="s">
        <v>390</v>
      </c>
      <c r="AM46" s="280">
        <f>'21J'!B$24</f>
        <v>3.1625736061601684</v>
      </c>
      <c r="AN46" s="280">
        <f>'21J'!C$24</f>
        <v>-4.0762442339855038</v>
      </c>
      <c r="AO46" s="280">
        <f>'21J'!D$24</f>
        <v>-3.465790926854051</v>
      </c>
      <c r="AP46" s="280">
        <f>'21J'!E$24</f>
        <v>-3.292830767929289</v>
      </c>
      <c r="AQ46" s="280">
        <f>'21J'!F$24</f>
        <v>-0.49773510682684652</v>
      </c>
      <c r="AR46" s="280">
        <f>'21J'!G$24</f>
        <v>9.0681586852128682</v>
      </c>
      <c r="AS46" s="280">
        <f>'21J'!H$24</f>
        <v>4.7040548699090801</v>
      </c>
      <c r="AT46" s="280">
        <f>'21J'!I$24</f>
        <v>3.1655111035743477</v>
      </c>
    </row>
    <row r="47" spans="1:46">
      <c r="A47" s="488"/>
      <c r="B47" s="322" t="s">
        <v>391</v>
      </c>
      <c r="C47" s="71">
        <f>'18K'!L$24</f>
        <v>1.4778718401048829</v>
      </c>
      <c r="D47" s="71">
        <f>'18K'!M$24</f>
        <v>-1.7272391853609625</v>
      </c>
      <c r="E47" s="71">
        <f>'18K'!N$24</f>
        <v>-1.7168366289500692</v>
      </c>
      <c r="F47" s="71">
        <f>'18K'!O$24</f>
        <v>-4.7980048793916374E-2</v>
      </c>
      <c r="G47" s="71">
        <f>'18K'!P$24</f>
        <v>0.93443171880318587</v>
      </c>
      <c r="H47" s="71">
        <f>'18K'!Q$24</f>
        <v>-0.40990200712766045</v>
      </c>
      <c r="I47" s="71">
        <f>'18K'!R$24</f>
        <v>-2.1094423943011198</v>
      </c>
      <c r="J47" s="71">
        <f>'18K'!S$24</f>
        <v>-5.9294196491218365</v>
      </c>
      <c r="K47" s="71">
        <f>'18K'!T$24</f>
        <v>-5.6814488205160334</v>
      </c>
      <c r="L47" s="71">
        <f>'18K'!U$24</f>
        <v>-9.2005186451463707</v>
      </c>
      <c r="M47" s="489"/>
      <c r="N47" s="324" t="s">
        <v>391</v>
      </c>
      <c r="O47" s="292">
        <f>'19K'!B$35</f>
        <v>0.22928421182668579</v>
      </c>
      <c r="P47" s="292">
        <f>'19K'!C$35</f>
        <v>-4.3124978365132964</v>
      </c>
      <c r="Q47" s="292">
        <f>'19K'!D$35</f>
        <v>-4.2878847056955323</v>
      </c>
      <c r="R47" s="292">
        <f>'19K'!E$35</f>
        <v>-3.7566163406553166</v>
      </c>
      <c r="S47" s="292">
        <f>'19K'!F$35</f>
        <v>-2.1724967322711564</v>
      </c>
      <c r="T47" s="292">
        <f>'19K'!G$35</f>
        <v>-3.9876221011629243</v>
      </c>
      <c r="U47" s="292">
        <f>'19K'!H$35</f>
        <v>-7.1057037749431062</v>
      </c>
      <c r="V47" s="292">
        <f>'19K'!I$35</f>
        <v>-5.7752150609787556</v>
      </c>
      <c r="W47" s="292">
        <f>'19K'!J$35</f>
        <v>-5.7827593623378526</v>
      </c>
      <c r="X47" s="292">
        <f>'19K'!K$35</f>
        <v>-5.7291806228097153</v>
      </c>
      <c r="Y47" s="489"/>
      <c r="Z47" s="324" t="s">
        <v>391</v>
      </c>
      <c r="AA47" s="362">
        <f>'20K'!B$23</f>
        <v>1.2457313629411937</v>
      </c>
      <c r="AB47" s="362">
        <f>'20K'!C$23</f>
        <v>2.7017725331938358</v>
      </c>
      <c r="AC47" s="253">
        <f>'20K'!D$23</f>
        <v>2.6862305454641522</v>
      </c>
      <c r="AD47" s="253">
        <f>'20K'!E$23</f>
        <v>3.8533935018205456</v>
      </c>
      <c r="AE47" s="253">
        <f>'20K'!F$23</f>
        <v>3.1759253249788788</v>
      </c>
      <c r="AF47" s="253">
        <f>'20K'!G$23</f>
        <v>3.7263113072826037</v>
      </c>
      <c r="AG47" s="253">
        <f>'20K'!H$23</f>
        <v>5.3784371954737065</v>
      </c>
      <c r="AH47" s="253">
        <f>'20K'!I$23</f>
        <v>-0.16365607864521348</v>
      </c>
      <c r="AI47" s="253">
        <f>'20K'!J$23</f>
        <v>0.10752866581120735</v>
      </c>
      <c r="AJ47" s="253">
        <f>'20K'!K$23</f>
        <v>-3.6823038616513593</v>
      </c>
      <c r="AK47" s="483"/>
      <c r="AL47" s="322" t="s">
        <v>391</v>
      </c>
      <c r="AM47" s="280">
        <f>'21K'!B$24</f>
        <v>2.4371179230086248</v>
      </c>
      <c r="AN47" s="280">
        <f>'21K'!C$24</f>
        <v>-5.4647219879681135</v>
      </c>
      <c r="AO47" s="280">
        <f>'21K'!D$24</f>
        <v>-5.7499662654798112</v>
      </c>
      <c r="AP47" s="280">
        <f>'21K'!E$24</f>
        <v>-4.9637037214650181</v>
      </c>
      <c r="AQ47" s="280">
        <f>'21K'!F$24</f>
        <v>-0.93642431801402859</v>
      </c>
      <c r="AR47" s="280">
        <f>'21K'!G$24</f>
        <v>3.9645362427992659</v>
      </c>
      <c r="AS47" s="280">
        <f>'21K'!H$24</f>
        <v>6.0498505844008843</v>
      </c>
      <c r="AT47" s="280">
        <f>'21K'!I$24</f>
        <v>-1.0161548434363232</v>
      </c>
    </row>
    <row r="48" spans="1:46">
      <c r="A48" s="488" t="s">
        <v>15</v>
      </c>
      <c r="B48" s="347" t="s">
        <v>383</v>
      </c>
      <c r="C48" s="356">
        <f>'18A'!L25</f>
        <v>1.9939800172909639</v>
      </c>
      <c r="D48" s="356">
        <f>'18A'!M25</f>
        <v>-1.1800270534382817</v>
      </c>
      <c r="E48" s="356">
        <f>'18A'!N25</f>
        <v>-0.99897582071326596</v>
      </c>
      <c r="F48" s="356">
        <f>'18A'!O25</f>
        <v>0.30515893952336448</v>
      </c>
      <c r="G48" s="356">
        <f>'18A'!P25</f>
        <v>-0.4770547066810793</v>
      </c>
      <c r="H48" s="356">
        <f>'18A'!Q25</f>
        <v>1.9865246047678697</v>
      </c>
      <c r="I48" s="356">
        <f>'18A'!R25</f>
        <v>0.41182393865957234</v>
      </c>
      <c r="J48" s="356">
        <f>'18A'!S25</f>
        <v>-2.8067648508517284</v>
      </c>
      <c r="K48" s="356">
        <f>'18A'!T25</f>
        <v>-3.0387449246941034</v>
      </c>
      <c r="L48" s="356">
        <f>'18A'!U25</f>
        <v>-1.9312637063234162</v>
      </c>
      <c r="M48" s="488" t="s">
        <v>15</v>
      </c>
      <c r="N48" s="334" t="s">
        <v>383</v>
      </c>
      <c r="O48" s="292">
        <f>'19A'!B36</f>
        <v>1.0802579530982515</v>
      </c>
      <c r="P48" s="292">
        <f>'19A'!C36</f>
        <v>-4.0497040953830776</v>
      </c>
      <c r="Q48" s="292">
        <f>'19A'!D36</f>
        <v>-4.7967744929106271</v>
      </c>
      <c r="R48" s="292">
        <f>'19A'!E36</f>
        <v>-3.7604592911677948</v>
      </c>
      <c r="S48" s="292">
        <f>'19A'!F36</f>
        <v>-6.2338425588239321</v>
      </c>
      <c r="T48" s="292">
        <f>'19A'!G36</f>
        <v>-3.6943641634183622</v>
      </c>
      <c r="U48" s="292">
        <f>'19A'!H36</f>
        <v>-1.0405602415147541</v>
      </c>
      <c r="V48" s="292">
        <f>'19A'!I36</f>
        <v>-4.0107619870463846</v>
      </c>
      <c r="W48" s="292">
        <f>'19A'!J36</f>
        <v>-4.9756689431613594</v>
      </c>
      <c r="X48" s="292">
        <f>'19A'!K36</f>
        <v>-2.6126748254916343</v>
      </c>
      <c r="Y48" s="488" t="s">
        <v>15</v>
      </c>
      <c r="Z48" s="334" t="s">
        <v>383</v>
      </c>
      <c r="AA48" s="292">
        <f>'20A'!B24</f>
        <v>0.90395699684173714</v>
      </c>
      <c r="AB48" s="292">
        <f>'20A'!C24</f>
        <v>2.9907954059855246</v>
      </c>
      <c r="AC48" s="292">
        <f>'20A'!D24</f>
        <v>3.9891491616684371</v>
      </c>
      <c r="AD48" s="292">
        <f>'20A'!E24</f>
        <v>4.2244780063856346</v>
      </c>
      <c r="AE48" s="292">
        <f>'20A'!F24</f>
        <v>6.1395155877581598</v>
      </c>
      <c r="AF48" s="292">
        <f>'20A'!G24</f>
        <v>5.8988123787749869</v>
      </c>
      <c r="AG48" s="292">
        <f>'20A'!H24</f>
        <v>1.467656025255315</v>
      </c>
      <c r="AH48" s="292">
        <f>'20A'!I24</f>
        <v>1.2543042961047135</v>
      </c>
      <c r="AI48" s="292">
        <f>'20A'!J24</f>
        <v>2.0383453342162294</v>
      </c>
      <c r="AJ48" s="292">
        <f>'20A'!K24</f>
        <v>0.69969179043287699</v>
      </c>
      <c r="AK48" s="488" t="s">
        <v>15</v>
      </c>
      <c r="AL48" s="334" t="s">
        <v>383</v>
      </c>
      <c r="AM48" s="214">
        <f>'21A'!B25</f>
        <v>2.405999091406108</v>
      </c>
      <c r="AN48" s="214">
        <f>'21A'!C25</f>
        <v>-3.6196699960476142</v>
      </c>
      <c r="AO48" s="214">
        <f>'21A'!D25</f>
        <v>-2.7314429517958261</v>
      </c>
      <c r="AP48" s="214">
        <f>'21A'!E25</f>
        <v>-5.0998603507735556</v>
      </c>
      <c r="AQ48" s="214">
        <f>'21A'!F25</f>
        <v>-0.40233880609610306</v>
      </c>
      <c r="AR48" s="214">
        <f>'21A'!G25</f>
        <v>2.5312664342499014</v>
      </c>
      <c r="AS48" s="214">
        <f>'21A'!H25</f>
        <v>1.7811173349924214</v>
      </c>
      <c r="AT48" s="214">
        <f>'21A'!I25</f>
        <v>5.6954808604867901</v>
      </c>
    </row>
    <row r="49" spans="1:46">
      <c r="A49" s="488"/>
      <c r="B49" s="334" t="s">
        <v>384</v>
      </c>
      <c r="C49" s="296">
        <f>'18B'!L25</f>
        <v>2.609684146903235</v>
      </c>
      <c r="D49" s="296" t="str">
        <f>'18B'!M25</f>
        <v>n.a.</v>
      </c>
      <c r="E49" s="296">
        <f>'18B'!N25</f>
        <v>-3.0416091326230466</v>
      </c>
      <c r="F49" s="296">
        <f>'18B'!O25</f>
        <v>1.50243099170837</v>
      </c>
      <c r="G49" s="296" t="str">
        <f>'18B'!P25</f>
        <v>..</v>
      </c>
      <c r="H49" s="296" t="str">
        <f>'18B'!Q25</f>
        <v>n.a.</v>
      </c>
      <c r="I49" s="296" t="str">
        <f>'18B'!R25</f>
        <v>n.a.</v>
      </c>
      <c r="J49" s="296" t="str">
        <f>'18B'!S25</f>
        <v>n.a.</v>
      </c>
      <c r="K49" s="296" t="str">
        <f>'18B'!T25</f>
        <v>n.a.</v>
      </c>
      <c r="L49" s="296" t="str">
        <f>'18B'!U25</f>
        <v>n.a.</v>
      </c>
      <c r="M49" s="488"/>
      <c r="N49" s="334" t="s">
        <v>384</v>
      </c>
      <c r="O49" s="292">
        <f>'19B'!B$36</f>
        <v>1.0846160324601506</v>
      </c>
      <c r="P49" s="292" t="str">
        <f>'19B'!C36</f>
        <v>..</v>
      </c>
      <c r="Q49" s="292">
        <f>'19B'!D36</f>
        <v>-10.231036012900397</v>
      </c>
      <c r="R49" s="292">
        <f>'19B'!E36</f>
        <v>-6.60641935366999</v>
      </c>
      <c r="S49" s="292" t="str">
        <f>'19B'!F36</f>
        <v>..</v>
      </c>
      <c r="T49" s="292" t="str">
        <f>'19B'!G36</f>
        <v>..</v>
      </c>
      <c r="U49" s="292" t="str">
        <f>'19B'!H36</f>
        <v>..</v>
      </c>
      <c r="V49" s="292" t="str">
        <f>'19B'!I36</f>
        <v>..</v>
      </c>
      <c r="W49" s="292" t="str">
        <f>'19B'!J36</f>
        <v>..</v>
      </c>
      <c r="X49" s="292" t="str">
        <f>'19B'!K36</f>
        <v>..</v>
      </c>
      <c r="Y49" s="488"/>
      <c r="Z49" s="334" t="s">
        <v>384</v>
      </c>
      <c r="AA49" s="292">
        <f>'20B'!B$24</f>
        <v>1.50870446394471</v>
      </c>
      <c r="AB49" s="292" t="str">
        <f>'20B'!C$24</f>
        <v>..</v>
      </c>
      <c r="AC49" s="292">
        <f>'20B'!D$24</f>
        <v>8.0088112427258551</v>
      </c>
      <c r="AD49" s="292">
        <f>'20B'!E$24</f>
        <v>8.6824493602891017</v>
      </c>
      <c r="AE49" s="292" t="str">
        <f>'20B'!F$24</f>
        <v>..</v>
      </c>
      <c r="AF49" s="292" t="str">
        <f>'20B'!G$24</f>
        <v>..</v>
      </c>
      <c r="AG49" s="292" t="str">
        <f>'20B'!H$24</f>
        <v>..</v>
      </c>
      <c r="AH49" s="292" t="str">
        <f>'20B'!I$24</f>
        <v>..</v>
      </c>
      <c r="AI49" s="292" t="str">
        <f>'20B'!J$24</f>
        <v>..</v>
      </c>
      <c r="AJ49" s="292" t="str">
        <f>'20B'!K$24</f>
        <v>..</v>
      </c>
      <c r="AK49" s="488"/>
      <c r="AL49" s="334" t="s">
        <v>384</v>
      </c>
      <c r="AM49" s="214">
        <f>'21B'!B$25</f>
        <v>2.6183029292004445</v>
      </c>
      <c r="AN49" s="214" t="str">
        <f>'21B'!C$25</f>
        <v>x</v>
      </c>
      <c r="AO49" s="214" t="str">
        <f>'21B'!D$25</f>
        <v>x</v>
      </c>
      <c r="AP49" s="214" t="str">
        <f>'21B'!E$25</f>
        <v>x</v>
      </c>
      <c r="AQ49" s="214">
        <f>'21B'!F$25</f>
        <v>-8.3988743247442876E-3</v>
      </c>
      <c r="AR49" s="214" t="str">
        <f>'21B'!G$25</f>
        <v>x</v>
      </c>
      <c r="AS49" s="214" t="str">
        <f>'21B'!H$25</f>
        <v>x</v>
      </c>
      <c r="AT49" s="214" t="str">
        <f>'21B'!I$25</f>
        <v>x</v>
      </c>
    </row>
    <row r="50" spans="1:46">
      <c r="A50" s="488"/>
      <c r="B50" s="334" t="s">
        <v>385</v>
      </c>
      <c r="C50" s="296">
        <f>'18C'!L25</f>
        <v>1.9147291658199173</v>
      </c>
      <c r="D50" s="296" t="str">
        <f>'18C'!M25</f>
        <v>n.a.</v>
      </c>
      <c r="E50" s="296">
        <f>'18C'!N25</f>
        <v>-2.1501398041182895</v>
      </c>
      <c r="F50" s="296" t="str">
        <f>'18C'!O25</f>
        <v>n.a.</v>
      </c>
      <c r="G50" s="296" t="str">
        <f>'18C'!P25</f>
        <v>n.a.</v>
      </c>
      <c r="H50" s="296" t="str">
        <f>'18C'!Q25</f>
        <v>n.a.</v>
      </c>
      <c r="I50" s="296" t="str">
        <f>'18C'!R25</f>
        <v>n.a.</v>
      </c>
      <c r="J50" s="296" t="str">
        <f>'18C'!S25</f>
        <v>n.a.</v>
      </c>
      <c r="K50" s="296" t="str">
        <f>'18C'!T25</f>
        <v>n.a.</v>
      </c>
      <c r="L50" s="296" t="str">
        <f>'18C'!U25</f>
        <v>n.a.</v>
      </c>
      <c r="M50" s="488"/>
      <c r="N50" s="334" t="s">
        <v>385</v>
      </c>
      <c r="O50" s="292">
        <f>'19C'!B$36</f>
        <v>0.78634365129410799</v>
      </c>
      <c r="P50" s="292" t="str">
        <f>'19C'!C$36</f>
        <v>..</v>
      </c>
      <c r="Q50" s="292">
        <f>'19C'!D$36</f>
        <v>-10.114902680445814</v>
      </c>
      <c r="R50" s="292" t="str">
        <f>'19C'!E$36</f>
        <v>..</v>
      </c>
      <c r="S50" s="292" t="str">
        <f>'19C'!F$36</f>
        <v>..</v>
      </c>
      <c r="T50" s="292" t="str">
        <f>'19C'!G$36</f>
        <v>..</v>
      </c>
      <c r="U50" s="292" t="str">
        <f>'19C'!H$36</f>
        <v>..</v>
      </c>
      <c r="V50" s="292" t="str">
        <f>'19C'!I$36</f>
        <v>..</v>
      </c>
      <c r="W50" s="292" t="str">
        <f>'19C'!J$36</f>
        <v>..</v>
      </c>
      <c r="X50" s="292" t="str">
        <f>'19C'!K$36</f>
        <v>..</v>
      </c>
      <c r="Y50" s="488"/>
      <c r="Z50" s="334" t="s">
        <v>385</v>
      </c>
      <c r="AA50" s="292">
        <f>'20C'!B$24</f>
        <v>1.1195817544784159</v>
      </c>
      <c r="AB50" s="292" t="str">
        <f>'20C'!C$24</f>
        <v>..</v>
      </c>
      <c r="AC50" s="292">
        <f>'20C'!D$24</f>
        <v>8.8610493995591622</v>
      </c>
      <c r="AD50" s="292" t="str">
        <f>'20C'!E$24</f>
        <v>..</v>
      </c>
      <c r="AE50" s="292" t="str">
        <f>'20C'!F$24</f>
        <v>..</v>
      </c>
      <c r="AF50" s="292" t="str">
        <f>'20C'!G$24</f>
        <v>..</v>
      </c>
      <c r="AG50" s="292" t="str">
        <f>'20C'!H$24</f>
        <v>..</v>
      </c>
      <c r="AH50" s="292" t="str">
        <f>'20C'!I$24</f>
        <v>..</v>
      </c>
      <c r="AI50" s="292" t="str">
        <f>'20C'!J$24</f>
        <v>..</v>
      </c>
      <c r="AJ50" s="292" t="str">
        <f>'20C'!K$24</f>
        <v>..</v>
      </c>
      <c r="AK50" s="488"/>
      <c r="AL50" s="334" t="s">
        <v>385</v>
      </c>
      <c r="AM50" s="214">
        <f>'21C'!B$25</f>
        <v>1.960812657866251</v>
      </c>
      <c r="AN50" s="214" t="str">
        <f>'21C'!C$25</f>
        <v>x</v>
      </c>
      <c r="AO50" s="214" t="str">
        <f>'21C'!D$25</f>
        <v>x</v>
      </c>
      <c r="AP50" s="214" t="str">
        <f>'21C'!E$25</f>
        <v>x</v>
      </c>
      <c r="AQ50" s="214">
        <f>'21C'!F$25</f>
        <v>-4.5197258481011193E-2</v>
      </c>
      <c r="AR50" s="214" t="str">
        <f>'21C'!G$25</f>
        <v>x</v>
      </c>
      <c r="AS50" s="214" t="str">
        <f>'21C'!H$25</f>
        <v>x</v>
      </c>
      <c r="AT50" s="214" t="str">
        <f>'21C'!I$25</f>
        <v>x</v>
      </c>
    </row>
    <row r="51" spans="1:46">
      <c r="A51" s="488"/>
      <c r="B51" s="334" t="s">
        <v>386</v>
      </c>
      <c r="C51" s="296">
        <f>'18D'!L25</f>
        <v>1.5168383286644049</v>
      </c>
      <c r="D51" s="296" t="str">
        <f>'18D'!M25</f>
        <v>n.a.</v>
      </c>
      <c r="E51" s="296">
        <f>'18D'!N25</f>
        <v>-4.9110170881668918</v>
      </c>
      <c r="F51" s="296">
        <f>'18D'!O25</f>
        <v>0.24731465924274776</v>
      </c>
      <c r="G51" s="296" t="str">
        <f>'18D'!P25</f>
        <v>..</v>
      </c>
      <c r="H51" s="296" t="str">
        <f>'18D'!Q25</f>
        <v>..</v>
      </c>
      <c r="I51" s="296" t="str">
        <f>'18D'!R25</f>
        <v>..</v>
      </c>
      <c r="J51" s="296" t="str">
        <f>'18D'!S25</f>
        <v>..</v>
      </c>
      <c r="K51" s="296" t="str">
        <f>'18D'!T25</f>
        <v>..</v>
      </c>
      <c r="L51" s="296" t="str">
        <f>'18D'!U25</f>
        <v>..</v>
      </c>
      <c r="M51" s="488"/>
      <c r="N51" s="334" t="s">
        <v>386</v>
      </c>
      <c r="O51" s="292">
        <f>'19D'!B$36</f>
        <v>0.36101653447226933</v>
      </c>
      <c r="P51" s="292" t="str">
        <f>'19D'!C$36</f>
        <v>..</v>
      </c>
      <c r="Q51" s="292">
        <f>'19D'!D$36</f>
        <v>-7.3039858254104857</v>
      </c>
      <c r="R51" s="292">
        <f>'19D'!E$36</f>
        <v>-5.9705881917712533</v>
      </c>
      <c r="S51" s="292" t="str">
        <f>'19D'!F$36</f>
        <v>..</v>
      </c>
      <c r="T51" s="292" t="str">
        <f>'19D'!G$36</f>
        <v>..</v>
      </c>
      <c r="U51" s="292" t="str">
        <f>'19D'!H$36</f>
        <v>..</v>
      </c>
      <c r="V51" s="292" t="str">
        <f>'19D'!I$36</f>
        <v>..</v>
      </c>
      <c r="W51" s="292" t="str">
        <f>'19D'!J$36</f>
        <v>..</v>
      </c>
      <c r="X51" s="292" t="str">
        <f>'19D'!K$36</f>
        <v>..</v>
      </c>
      <c r="Y51" s="488"/>
      <c r="Z51" s="334" t="s">
        <v>386</v>
      </c>
      <c r="AA51" s="292">
        <f>'20D'!B$24</f>
        <v>1.1516640963826319</v>
      </c>
      <c r="AB51" s="292">
        <f>'20D'!C$24</f>
        <v>0</v>
      </c>
      <c r="AC51" s="292">
        <f>'20D'!D$24</f>
        <v>2.5815227963702281</v>
      </c>
      <c r="AD51" s="292">
        <f>'20D'!E$24</f>
        <v>6.6127212022715876</v>
      </c>
      <c r="AE51" s="292">
        <f>'20D'!F$24</f>
        <v>0</v>
      </c>
      <c r="AF51" s="292">
        <f>'20D'!G$24</f>
        <v>0</v>
      </c>
      <c r="AG51" s="292">
        <f>'20D'!H$24</f>
        <v>0</v>
      </c>
      <c r="AH51" s="292">
        <f>'20D'!I$24</f>
        <v>0</v>
      </c>
      <c r="AI51" s="292">
        <f>'20D'!J$24</f>
        <v>0</v>
      </c>
      <c r="AJ51" s="292">
        <f>'20D'!K$24</f>
        <v>0</v>
      </c>
      <c r="AK51" s="488"/>
      <c r="AL51" s="334" t="s">
        <v>386</v>
      </c>
      <c r="AM51" s="214">
        <f>'21D'!B$25</f>
        <v>0.86045551239264384</v>
      </c>
      <c r="AN51" s="214">
        <f>'21D'!C$25</f>
        <v>-0.17668617375866669</v>
      </c>
      <c r="AO51" s="214" t="str">
        <f>'21D'!D$25</f>
        <v>x</v>
      </c>
      <c r="AP51" s="214" t="str">
        <f>'21D'!E$25</f>
        <v>x</v>
      </c>
      <c r="AQ51" s="214">
        <f>'21D'!F$25</f>
        <v>0.65078311706725511</v>
      </c>
      <c r="AR51" s="214">
        <f>'21D'!G$25</f>
        <v>-4.7427106283498999</v>
      </c>
      <c r="AS51" s="214" t="str">
        <f>'21D'!H$25</f>
        <v>x</v>
      </c>
      <c r="AT51" s="214" t="str">
        <f>'21D'!I$25</f>
        <v>x</v>
      </c>
    </row>
    <row r="52" spans="1:46">
      <c r="A52" s="488"/>
      <c r="B52" s="334" t="s">
        <v>387</v>
      </c>
      <c r="C52" s="296">
        <f>'18E'!L25</f>
        <v>1.3649491508914702</v>
      </c>
      <c r="D52" s="296" t="str">
        <f>'18E'!M25</f>
        <v>..</v>
      </c>
      <c r="E52" s="296">
        <f>'18E'!N25</f>
        <v>1.1901526700561993</v>
      </c>
      <c r="F52" s="296">
        <f>'18E'!O25</f>
        <v>-1.4622933592876808</v>
      </c>
      <c r="G52" s="296" t="str">
        <f>'18E'!P25</f>
        <v>..</v>
      </c>
      <c r="H52" s="296" t="str">
        <f>'18E'!Q25</f>
        <v>..</v>
      </c>
      <c r="I52" s="296">
        <f>'18E'!R25</f>
        <v>1.9334082336217362</v>
      </c>
      <c r="J52" s="296" t="str">
        <f>'18E'!S25</f>
        <v>..</v>
      </c>
      <c r="K52" s="296" t="str">
        <f>'18E'!T25</f>
        <v>..</v>
      </c>
      <c r="L52" s="296" t="str">
        <f>'18E'!U25</f>
        <v>..</v>
      </c>
      <c r="M52" s="488"/>
      <c r="N52" s="334" t="s">
        <v>387</v>
      </c>
      <c r="O52" s="292">
        <f>'19E'!B$36</f>
        <v>0.11536498850110988</v>
      </c>
      <c r="P52" s="292" t="str">
        <f>'19E'!C$36</f>
        <v>..</v>
      </c>
      <c r="Q52" s="292">
        <f>'19E'!D$36</f>
        <v>-5.5466704761017338</v>
      </c>
      <c r="R52" s="292">
        <f>'19E'!E$36</f>
        <v>-1.2669414185307093</v>
      </c>
      <c r="S52" s="292" t="str">
        <f>'19E'!F$36</f>
        <v>..</v>
      </c>
      <c r="T52" s="292" t="str">
        <f>'19E'!G$36</f>
        <v>..</v>
      </c>
      <c r="U52" s="292">
        <f>'19E'!H$36</f>
        <v>4.4170898503232303</v>
      </c>
      <c r="V52" s="292" t="str">
        <f>'19E'!I$36</f>
        <v>..</v>
      </c>
      <c r="W52" s="292" t="str">
        <f>'19E'!J$36</f>
        <v>..</v>
      </c>
      <c r="X52" s="292" t="str">
        <f>'19E'!K$36</f>
        <v>..</v>
      </c>
      <c r="Y52" s="488"/>
      <c r="Z52" s="334" t="s">
        <v>387</v>
      </c>
      <c r="AA52" s="292">
        <f>'20E'!B$24</f>
        <v>1.2481442409303378</v>
      </c>
      <c r="AB52" s="292" t="str">
        <f>'20E'!C$24</f>
        <v>x</v>
      </c>
      <c r="AC52" s="292">
        <f>'20E'!D$24</f>
        <v>7.1324358602450344</v>
      </c>
      <c r="AD52" s="292">
        <f>'20E'!E$24</f>
        <v>-0.19785869450784643</v>
      </c>
      <c r="AE52" s="292" t="str">
        <f>'20E'!F$24</f>
        <v>x</v>
      </c>
      <c r="AF52" s="292" t="str">
        <f>'20E'!G$24</f>
        <v>x</v>
      </c>
      <c r="AG52" s="292" t="str">
        <f>'20E'!H$24</f>
        <v>x</v>
      </c>
      <c r="AH52" s="292" t="str">
        <f>'20E'!I$24</f>
        <v>x</v>
      </c>
      <c r="AI52" s="292" t="str">
        <f>'20E'!J$24</f>
        <v>x</v>
      </c>
      <c r="AJ52" s="292" t="str">
        <f>'20E'!K$24</f>
        <v>x</v>
      </c>
      <c r="AK52" s="488"/>
      <c r="AL52" s="334" t="s">
        <v>387</v>
      </c>
      <c r="AM52" s="214">
        <f>'21E'!B$25</f>
        <v>1.4422450434123268</v>
      </c>
      <c r="AN52" s="214">
        <f>'21E'!C$25</f>
        <v>-1.4051903558660483</v>
      </c>
      <c r="AO52" s="214" t="str">
        <f>'21E'!D$25</f>
        <v>x</v>
      </c>
      <c r="AP52" s="214" t="str">
        <f>'21E'!E$25</f>
        <v>x</v>
      </c>
      <c r="AQ52" s="214">
        <f>'21E'!F$25</f>
        <v>-7.6196945846151998E-2</v>
      </c>
      <c r="AR52" s="214">
        <f>'21E'!G$25</f>
        <v>2.6323323056151038</v>
      </c>
      <c r="AS52" s="214" t="str">
        <f>'21E'!H$25</f>
        <v>x</v>
      </c>
      <c r="AT52" s="214" t="str">
        <f>'21E'!I$25</f>
        <v>x</v>
      </c>
    </row>
    <row r="53" spans="1:46">
      <c r="A53" s="488"/>
      <c r="B53" s="334" t="s">
        <v>256</v>
      </c>
      <c r="C53" s="296">
        <f>'18F'!L25</f>
        <v>1.5482319043684134</v>
      </c>
      <c r="D53" s="296">
        <f>'18F'!M25</f>
        <v>-1.0558044506406739</v>
      </c>
      <c r="E53" s="296">
        <f>'18F'!N25</f>
        <v>0.4357437018724708</v>
      </c>
      <c r="F53" s="296">
        <f>'18F'!O25</f>
        <v>5.8335566253742144E-2</v>
      </c>
      <c r="G53" s="296">
        <f>'18F'!P25</f>
        <v>-2.0903288741836779</v>
      </c>
      <c r="H53" s="296">
        <f>'18F'!Q25</f>
        <v>2.4327147250865711</v>
      </c>
      <c r="I53" s="296">
        <f>'18F'!R25</f>
        <v>0.59023664686008726</v>
      </c>
      <c r="J53" s="296">
        <f>'18F'!S25</f>
        <v>-2.4362585327697306</v>
      </c>
      <c r="K53" s="296">
        <f>'18F'!T25</f>
        <v>-2.5387854339564808</v>
      </c>
      <c r="L53" s="296">
        <f>'18F'!U25</f>
        <v>-2.015465534661165</v>
      </c>
      <c r="M53" s="488"/>
      <c r="N53" s="334" t="s">
        <v>256</v>
      </c>
      <c r="O53" s="292">
        <f>'19F'!B$36</f>
        <v>0.77979576137880979</v>
      </c>
      <c r="P53" s="292">
        <f>'19F'!C$36</f>
        <v>-4.6095161912709575</v>
      </c>
      <c r="Q53" s="292">
        <f>'19F'!D$36</f>
        <v>-5.8741202395248271</v>
      </c>
      <c r="R53" s="292">
        <f>'19F'!E$36</f>
        <v>-4.4923411017426362</v>
      </c>
      <c r="S53" s="292">
        <f>'19F'!F$36</f>
        <v>-9.9443130825656034</v>
      </c>
      <c r="T53" s="292">
        <f>'19F'!G$36</f>
        <v>-2.8709701334041937</v>
      </c>
      <c r="U53" s="292">
        <f>'19F'!H$36</f>
        <v>-0.72517101706460751</v>
      </c>
      <c r="V53" s="292">
        <f>'19F'!I$36</f>
        <v>-4.1835831729424839</v>
      </c>
      <c r="W53" s="292">
        <f>'19F'!J$36</f>
        <v>-4.9088041513876579</v>
      </c>
      <c r="X53" s="292">
        <f>'19F'!K$36</f>
        <v>-3.0181038084284961</v>
      </c>
      <c r="Y53" s="488"/>
      <c r="Z53" s="360" t="s">
        <v>256</v>
      </c>
      <c r="AA53" s="292">
        <f>'20F'!B$24</f>
        <v>0.76249027613537468</v>
      </c>
      <c r="AB53" s="292">
        <f>'20F'!C$24</f>
        <v>3.7254363315275318</v>
      </c>
      <c r="AC53" s="292">
        <f>'20F'!D$24</f>
        <v>6.7036440535314767</v>
      </c>
      <c r="AD53" s="292">
        <f>'20F'!E$24</f>
        <v>4.7647243378084791</v>
      </c>
      <c r="AE53" s="292" t="str">
        <f>'20F'!F$24</f>
        <v>x</v>
      </c>
      <c r="AF53" s="292" t="str">
        <f>'20F'!G$24</f>
        <v>x</v>
      </c>
      <c r="AG53" s="292" t="str">
        <f>'20F'!H$24</f>
        <v>x</v>
      </c>
      <c r="AH53" s="292">
        <f>'20F'!I$24</f>
        <v>1.8236171817263447</v>
      </c>
      <c r="AI53" s="292">
        <f>'20F'!J$24</f>
        <v>2.4923639841529788</v>
      </c>
      <c r="AJ53" s="292">
        <f>'20F'!K$24</f>
        <v>1.0338406580407522</v>
      </c>
      <c r="AK53" s="488"/>
      <c r="AL53" s="334" t="s">
        <v>256</v>
      </c>
      <c r="AM53" s="214">
        <f>'21F'!B$25</f>
        <v>1.7586644218834602</v>
      </c>
      <c r="AN53" s="214">
        <f>'21F'!C$25</f>
        <v>-4.1618891610738284</v>
      </c>
      <c r="AO53" s="214">
        <f>'21F'!D$25</f>
        <v>-2.4653210850579588</v>
      </c>
      <c r="AP53" s="214">
        <f>'21F'!E$25</f>
        <v>-5.4129455056586622</v>
      </c>
      <c r="AQ53" s="214">
        <f>'21F'!F$25</f>
        <v>-0.20679567554326983</v>
      </c>
      <c r="AR53" s="214">
        <f>'21F'!G$25</f>
        <v>4.797290788289299</v>
      </c>
      <c r="AS53" s="214">
        <f>'21F'!H$25</f>
        <v>2.5874454905547406</v>
      </c>
      <c r="AT53" s="214">
        <f>'21F'!I$25</f>
        <v>3.1470342202769563</v>
      </c>
    </row>
    <row r="54" spans="1:46">
      <c r="A54" s="488"/>
      <c r="B54" s="334" t="s">
        <v>257</v>
      </c>
      <c r="C54" s="71">
        <f>'18G'!L25</f>
        <v>1.5348311673264448</v>
      </c>
      <c r="D54" s="71">
        <f>'18G'!M25</f>
        <v>-3.7899131594418267</v>
      </c>
      <c r="E54" s="71">
        <f>'18G'!N25</f>
        <v>-5.8311042050008695</v>
      </c>
      <c r="F54" s="71">
        <f>'18G'!O25</f>
        <v>-2.4481181081041581</v>
      </c>
      <c r="G54" s="71">
        <f>'18G'!P25</f>
        <v>-4.526029754980188</v>
      </c>
      <c r="H54" s="71">
        <f>'18G'!Q25</f>
        <v>1.2404385553899111E-2</v>
      </c>
      <c r="I54" s="71">
        <f>'18G'!R25</f>
        <v>-3.6213266354027107</v>
      </c>
      <c r="J54" s="71">
        <f>'18G'!S25</f>
        <v>-4.0121031777337723</v>
      </c>
      <c r="K54" s="71">
        <f>'18G'!T25</f>
        <v>-7.1420241897041103</v>
      </c>
      <c r="L54" s="71">
        <f>'18G'!U25</f>
        <v>-1.3635625679184638</v>
      </c>
      <c r="M54" s="488"/>
      <c r="N54" s="334" t="s">
        <v>257</v>
      </c>
      <c r="O54" s="292">
        <f>'19G'!B$36</f>
        <v>0.88894455531263183</v>
      </c>
      <c r="P54" s="292">
        <f>'19G'!C$36</f>
        <v>-4.702873187315304</v>
      </c>
      <c r="Q54" s="292">
        <f>'19G'!D$36</f>
        <v>-6.3849563359691501</v>
      </c>
      <c r="R54" s="292">
        <f>'19G'!E$36</f>
        <v>-4.925557008698922</v>
      </c>
      <c r="S54" s="292">
        <f>'19G'!F$36</f>
        <v>-9.3904201578608131</v>
      </c>
      <c r="T54" s="292">
        <f>'19G'!G$36</f>
        <v>-5.8098678095353513</v>
      </c>
      <c r="U54" s="292">
        <f>'19G'!H$36</f>
        <v>-3.1510091943228291</v>
      </c>
      <c r="V54" s="292">
        <f>'19G'!I$36</f>
        <v>-4.0378375235581743</v>
      </c>
      <c r="W54" s="292">
        <f>'19G'!J$36</f>
        <v>-6.6289941216900017</v>
      </c>
      <c r="X54" s="292">
        <f>'19G'!K$36</f>
        <v>-2.4668886248600974</v>
      </c>
      <c r="Y54" s="488"/>
      <c r="Z54" s="334" t="s">
        <v>257</v>
      </c>
      <c r="AA54" s="292">
        <f>'20G'!B$24</f>
        <v>0.64019562783679262</v>
      </c>
      <c r="AB54" s="292">
        <f>'20G'!C$24</f>
        <v>0.95801422184320639</v>
      </c>
      <c r="AC54" s="292">
        <f>'20G'!D$24</f>
        <v>0.59162727409065585</v>
      </c>
      <c r="AD54" s="292">
        <f>'20G'!E$24</f>
        <v>2.6057884986204316</v>
      </c>
      <c r="AE54" s="292" t="str">
        <f>'20G'!F$24</f>
        <v>x</v>
      </c>
      <c r="AF54" s="292" t="str">
        <f>'20G'!G$24</f>
        <v>x</v>
      </c>
      <c r="AG54" s="292" t="str">
        <f>'20G'!H$24</f>
        <v>x</v>
      </c>
      <c r="AH54" s="292">
        <f>'20G'!I$24</f>
        <v>2.6817179980409556E-2</v>
      </c>
      <c r="AI54" s="292">
        <f>'20G'!J$24</f>
        <v>-0.54945329461562054</v>
      </c>
      <c r="AJ54" s="292">
        <f>'20G'!K$24</f>
        <v>1.1312322978172196</v>
      </c>
      <c r="AK54" s="488"/>
      <c r="AL54" s="334" t="s">
        <v>257</v>
      </c>
      <c r="AM54" s="214">
        <f>'21G'!B$25</f>
        <v>1.6636576888794607</v>
      </c>
      <c r="AN54" s="214">
        <f>'21G'!C$25</f>
        <v>-3.1311792374827285</v>
      </c>
      <c r="AO54" s="214">
        <f>'21G'!D$25</f>
        <v>-2.7411186895520245</v>
      </c>
      <c r="AP54" s="214">
        <f>'21G'!E$25</f>
        <v>-5.4320345461284836</v>
      </c>
      <c r="AQ54" s="214">
        <f>'21G'!F$25</f>
        <v>-0.12671836178397289</v>
      </c>
      <c r="AR54" s="214">
        <f>'21G'!G$25</f>
        <v>-2.7871971045639654</v>
      </c>
      <c r="AS54" s="214">
        <f>'21G'!H$25</f>
        <v>0.30125843264905416</v>
      </c>
      <c r="AT54" s="214">
        <f>'21G'!I$25</f>
        <v>1.5014929861077775</v>
      </c>
    </row>
    <row r="55" spans="1:46">
      <c r="A55" s="488"/>
      <c r="B55" s="340" t="s">
        <v>388</v>
      </c>
      <c r="C55" s="356">
        <f>'18H'!L25</f>
        <v>2.1995373093207204</v>
      </c>
      <c r="D55" s="356" t="str">
        <f>'18H'!M25</f>
        <v>..</v>
      </c>
      <c r="E55" s="356">
        <f>'18H'!N25</f>
        <v>-4.9644486074892358</v>
      </c>
      <c r="F55" s="356">
        <f>'18H'!O25</f>
        <v>-1.3150243480129276</v>
      </c>
      <c r="G55" s="356">
        <f>'18H'!P25</f>
        <v>6.6638276434663357</v>
      </c>
      <c r="H55" s="356" t="str">
        <f>'18H'!Q25</f>
        <v>..</v>
      </c>
      <c r="I55" s="356" t="str">
        <f>'18H'!R25</f>
        <v>..</v>
      </c>
      <c r="J55" s="356" t="str">
        <f>'18H'!S25</f>
        <v>..</v>
      </c>
      <c r="K55" s="356" t="str">
        <f>'18H'!T25</f>
        <v>..</v>
      </c>
      <c r="L55" s="356" t="str">
        <f>'18H'!U25</f>
        <v>..</v>
      </c>
      <c r="M55" s="488"/>
      <c r="N55" s="335" t="s">
        <v>388</v>
      </c>
      <c r="O55" s="292">
        <f>'19H'!B$36</f>
        <v>0.69984482048595087</v>
      </c>
      <c r="P55" s="292" t="str">
        <f>'19H'!C$36</f>
        <v>..</v>
      </c>
      <c r="Q55" s="292">
        <f>'19H'!D$36</f>
        <v>-4.1634572827204064</v>
      </c>
      <c r="R55" s="292">
        <f>'19H'!E$36</f>
        <v>-4.4799653407736955</v>
      </c>
      <c r="S55" s="292" t="str">
        <f>'19H'!F$36</f>
        <v>..</v>
      </c>
      <c r="T55" s="292">
        <f>'19H'!G$36</f>
        <v>-3.7256472446461797</v>
      </c>
      <c r="U55" s="292" t="str">
        <f>'19H'!H$36</f>
        <v>..</v>
      </c>
      <c r="V55" s="292" t="str">
        <f>'19H'!I$36</f>
        <v>..</v>
      </c>
      <c r="W55" s="292" t="str">
        <f>'19H'!J$36</f>
        <v>..</v>
      </c>
      <c r="X55" s="292" t="str">
        <f>'19H'!K$36</f>
        <v>..</v>
      </c>
      <c r="Y55" s="488"/>
      <c r="Z55" s="335" t="s">
        <v>388</v>
      </c>
      <c r="AA55" s="292">
        <f>'20H'!B$24</f>
        <v>1.4892699105030438</v>
      </c>
      <c r="AB55" s="292" t="str">
        <f>'20H'!C$24</f>
        <v>x</v>
      </c>
      <c r="AC55" s="292">
        <f>'20H'!D$24</f>
        <v>-0.83578904461503178</v>
      </c>
      <c r="AD55" s="292" t="str">
        <f>'20H'!E$24</f>
        <v>x</v>
      </c>
      <c r="AE55" s="292" t="str">
        <f>'20H'!F$24</f>
        <v>x</v>
      </c>
      <c r="AF55" s="292" t="str">
        <f>'20H'!G$24</f>
        <v>x</v>
      </c>
      <c r="AG55" s="292" t="str">
        <f>'20H'!H$24</f>
        <v>x</v>
      </c>
      <c r="AH55" s="292" t="str">
        <f>'20H'!I$24</f>
        <v>x</v>
      </c>
      <c r="AI55" s="292" t="str">
        <f>'20H'!J$24</f>
        <v>x</v>
      </c>
      <c r="AJ55" s="292" t="str">
        <f>'20H'!K$24</f>
        <v>x</v>
      </c>
      <c r="AK55" s="488"/>
      <c r="AL55" s="335" t="s">
        <v>388</v>
      </c>
      <c r="AM55" s="214">
        <f>'21H'!B$25</f>
        <v>2.0563381306857531</v>
      </c>
      <c r="AN55" s="214">
        <f>'21H'!C$25</f>
        <v>-6.1335042455176065</v>
      </c>
      <c r="AO55" s="214" t="str">
        <f>'21H'!D$25</f>
        <v>x</v>
      </c>
      <c r="AP55" s="214" t="str">
        <f>'21H'!E$25</f>
        <v>x</v>
      </c>
      <c r="AQ55" s="214">
        <f>'21H'!F$25</f>
        <v>0.14031385140587105</v>
      </c>
      <c r="AR55" s="214">
        <f>'21H'!G$25</f>
        <v>1.2454450638981651</v>
      </c>
      <c r="AS55" s="214" t="str">
        <f>'21H'!H$25</f>
        <v>x</v>
      </c>
      <c r="AT55" s="214" t="str">
        <f>'21H'!I$25</f>
        <v>x</v>
      </c>
    </row>
    <row r="56" spans="1:46">
      <c r="A56" s="488"/>
      <c r="B56" s="340" t="s">
        <v>389</v>
      </c>
      <c r="C56" s="356">
        <f>'18I'!L25</f>
        <v>2.3041325989850092</v>
      </c>
      <c r="D56" s="356" t="str">
        <f>'18I'!M25</f>
        <v>..</v>
      </c>
      <c r="E56" s="356">
        <f>'18I'!N25</f>
        <v>-10.867428285683566</v>
      </c>
      <c r="F56" s="356">
        <f>'18I'!O25</f>
        <v>5.7372805035329488</v>
      </c>
      <c r="G56" s="356" t="str">
        <f>'18I'!P25</f>
        <v>..</v>
      </c>
      <c r="H56" s="356">
        <f>'18I'!Q25</f>
        <v>13.99858518637811</v>
      </c>
      <c r="I56" s="356" t="str">
        <f>'18I'!R25</f>
        <v>..</v>
      </c>
      <c r="J56" s="356" t="str">
        <f>'18I'!S25</f>
        <v>..</v>
      </c>
      <c r="K56" s="356" t="str">
        <f>'18I'!T25</f>
        <v>..</v>
      </c>
      <c r="L56" s="356" t="str">
        <f>'18I'!U25</f>
        <v>..</v>
      </c>
      <c r="M56" s="488"/>
      <c r="N56" s="334" t="s">
        <v>389</v>
      </c>
      <c r="O56" s="292">
        <f>'19I'!B$36</f>
        <v>1.081461317637511</v>
      </c>
      <c r="P56" s="292" t="str">
        <f>'19I'!C$36</f>
        <v>..</v>
      </c>
      <c r="Q56" s="292">
        <f>'19I'!D$36</f>
        <v>-9.4661300992242126</v>
      </c>
      <c r="R56" s="292">
        <f>'19I'!E$36</f>
        <v>-2.3336630053316987</v>
      </c>
      <c r="S56" s="292" t="str">
        <f>'19I'!F$36</f>
        <v>..</v>
      </c>
      <c r="T56" s="292">
        <f>'19I'!G$36</f>
        <v>0.25676307527053854</v>
      </c>
      <c r="U56" s="292" t="str">
        <f>'19I'!H$36</f>
        <v>..</v>
      </c>
      <c r="V56" s="292" t="str">
        <f>'19I'!I$36</f>
        <v>..</v>
      </c>
      <c r="W56" s="292" t="str">
        <f>'19I'!J$36</f>
        <v>..</v>
      </c>
      <c r="X56" s="292" t="str">
        <f>'19I'!K$36</f>
        <v>..</v>
      </c>
      <c r="Y56" s="488"/>
      <c r="Z56" s="334" t="s">
        <v>389</v>
      </c>
      <c r="AA56" s="292">
        <f>'20I'!B$24</f>
        <v>1.209590033038177</v>
      </c>
      <c r="AB56" s="292" t="str">
        <f>'20I'!C$24</f>
        <v>x</v>
      </c>
      <c r="AC56" s="292">
        <f>'20I'!D$24</f>
        <v>-1.5478165110970776</v>
      </c>
      <c r="AD56" s="292">
        <f>'20I'!E$24</f>
        <v>8.2637925791209312</v>
      </c>
      <c r="AE56" s="292" t="str">
        <f>'20I'!F$24</f>
        <v>x</v>
      </c>
      <c r="AF56" s="292" t="str">
        <f>'20I'!G$24</f>
        <v>x</v>
      </c>
      <c r="AG56" s="292" t="str">
        <f>'20I'!H$24</f>
        <v>x</v>
      </c>
      <c r="AH56" s="292" t="str">
        <f>'20I'!I$24</f>
        <v>x</v>
      </c>
      <c r="AI56" s="292" t="str">
        <f>'20I'!J$24</f>
        <v>x</v>
      </c>
      <c r="AJ56" s="292" t="str">
        <f>'20I'!K$24</f>
        <v>x</v>
      </c>
      <c r="AK56" s="488"/>
      <c r="AL56" s="334" t="s">
        <v>389</v>
      </c>
      <c r="AM56" s="214">
        <f>'21I'!B$25</f>
        <v>3.0122270752673819</v>
      </c>
      <c r="AN56" s="214">
        <f>'21I'!C$25</f>
        <v>-5.4883430002348188</v>
      </c>
      <c r="AO56" s="214" t="str">
        <f>'21I'!D$25</f>
        <v>x</v>
      </c>
      <c r="AP56" s="214" t="str">
        <f>'21I'!E$25</f>
        <v>x</v>
      </c>
      <c r="AQ56" s="214">
        <f>'21I'!F$25</f>
        <v>-0.68738876576757146</v>
      </c>
      <c r="AR56" s="214">
        <f>'21I'!G$25</f>
        <v>-5.691451675069148</v>
      </c>
      <c r="AS56" s="214" t="str">
        <f>'21I'!H$25</f>
        <v>x</v>
      </c>
      <c r="AT56" s="214" t="str">
        <f>'21I'!I$25</f>
        <v>x</v>
      </c>
    </row>
    <row r="57" spans="1:46">
      <c r="A57" s="488"/>
      <c r="B57" s="340" t="s">
        <v>390</v>
      </c>
      <c r="C57" s="356">
        <f>'18J'!L25</f>
        <v>3.1769727534243453</v>
      </c>
      <c r="D57" s="356">
        <f>'18J'!M25</f>
        <v>2.1094511555590945</v>
      </c>
      <c r="E57" s="356">
        <f>'18J'!N25</f>
        <v>2.6059299876409758</v>
      </c>
      <c r="F57" s="356">
        <f>'18J'!O25</f>
        <v>2.6272802575876941</v>
      </c>
      <c r="G57" s="356">
        <f>'18J'!P25</f>
        <v>1.8427369184365716</v>
      </c>
      <c r="H57" s="356">
        <f>'18J'!Q25</f>
        <v>0.54360538321320817</v>
      </c>
      <c r="I57" s="356">
        <f>'18J'!R25</f>
        <v>6.1366899979267586</v>
      </c>
      <c r="J57" s="356">
        <f>'18J'!S25</f>
        <v>0.7288850412472403</v>
      </c>
      <c r="K57" s="356" t="str">
        <f>'18J'!T25</f>
        <v>..</v>
      </c>
      <c r="L57" s="356" t="str">
        <f>'18J'!U25</f>
        <v>..</v>
      </c>
      <c r="M57" s="488"/>
      <c r="N57" s="334" t="s">
        <v>390</v>
      </c>
      <c r="O57" s="292">
        <f>'19J'!B$36</f>
        <v>2.524972845218465</v>
      </c>
      <c r="P57" s="292">
        <f>'19J'!C$36</f>
        <v>-0.85155068151337998</v>
      </c>
      <c r="Q57" s="292">
        <f>'19J'!D$36</f>
        <v>-2.448160895141227</v>
      </c>
      <c r="R57" s="292">
        <f>'19J'!E$36</f>
        <v>-5.9779385215841252E-2</v>
      </c>
      <c r="S57" s="292">
        <f>'19J'!F$36</f>
        <v>-0.95723967674661292</v>
      </c>
      <c r="T57" s="292">
        <f>'19J'!G$36</f>
        <v>-3.7235797682202643</v>
      </c>
      <c r="U57" s="292">
        <f>'19J'!H$36</f>
        <v>3.2973551705713033</v>
      </c>
      <c r="V57" s="292">
        <f>'19J'!I$36</f>
        <v>-2.1201004882342112</v>
      </c>
      <c r="W57" s="292" t="str">
        <f>'19J'!J$36</f>
        <v>..</v>
      </c>
      <c r="X57" s="292" t="str">
        <f>'19J'!K$36</f>
        <v>..</v>
      </c>
      <c r="Y57" s="488"/>
      <c r="Z57" s="334" t="s">
        <v>390</v>
      </c>
      <c r="AA57" s="292">
        <f>'20J'!B$24</f>
        <v>0.63594253196261885</v>
      </c>
      <c r="AB57" s="292" t="str">
        <f>'20J'!C$24</f>
        <v>x</v>
      </c>
      <c r="AC57" s="292">
        <f>'20J'!D$24</f>
        <v>5.1809283445179766</v>
      </c>
      <c r="AD57" s="292">
        <f>'20J'!E$24</f>
        <v>2.6886669113536543</v>
      </c>
      <c r="AE57" s="292" t="str">
        <f>'20J'!F$24</f>
        <v>x</v>
      </c>
      <c r="AF57" s="292" t="str">
        <f>'20J'!G$24</f>
        <v>x</v>
      </c>
      <c r="AG57" s="292" t="str">
        <f>'20J'!H$24</f>
        <v>x</v>
      </c>
      <c r="AH57" s="292" t="str">
        <f>'20J'!I$24</f>
        <v>x</v>
      </c>
      <c r="AI57" s="292" t="str">
        <f>'20J'!J$24</f>
        <v>x</v>
      </c>
      <c r="AJ57" s="292" t="str">
        <f>'20J'!K$24</f>
        <v>x</v>
      </c>
      <c r="AK57" s="488"/>
      <c r="AL57" s="334" t="s">
        <v>390</v>
      </c>
      <c r="AM57" s="214">
        <f>'21J'!B$25</f>
        <v>4.4527811826803099</v>
      </c>
      <c r="AN57" s="214">
        <f>'21J'!C$25</f>
        <v>-1.7708711977075353</v>
      </c>
      <c r="AO57" s="214">
        <f>'21J'!D$25</f>
        <v>-3.0953884328140502</v>
      </c>
      <c r="AP57" s="214">
        <f>'21J'!E$25</f>
        <v>-2.7416110142102657</v>
      </c>
      <c r="AQ57" s="214">
        <f>'21J'!F$25</f>
        <v>-1.2214212152232506</v>
      </c>
      <c r="AR57" s="214">
        <f>'21J'!G$25</f>
        <v>4.4557059995490311</v>
      </c>
      <c r="AS57" s="214">
        <f>'21J'!H$25</f>
        <v>5.9054657955407208</v>
      </c>
      <c r="AT57" s="214">
        <f>'21J'!I$25</f>
        <v>3.5683256649095441</v>
      </c>
    </row>
    <row r="58" spans="1:46">
      <c r="A58" s="488"/>
      <c r="B58" s="340" t="s">
        <v>391</v>
      </c>
      <c r="C58" s="356">
        <f>'18K'!L25</f>
        <v>2.3781787695474677</v>
      </c>
      <c r="D58" s="356">
        <f>'18K'!M25</f>
        <v>-8.1217633653651866E-2</v>
      </c>
      <c r="E58" s="356">
        <f>'18K'!N25</f>
        <v>-0.19464810565263946</v>
      </c>
      <c r="F58" s="356">
        <f>'18K'!O25</f>
        <v>0.9644575956911039</v>
      </c>
      <c r="G58" s="356">
        <f>'18K'!P25</f>
        <v>0.48438677145377085</v>
      </c>
      <c r="H58" s="356">
        <f>'18K'!Q25</f>
        <v>3.4388335534266012</v>
      </c>
      <c r="I58" s="356">
        <f>'18K'!R25</f>
        <v>1.3885916071831428</v>
      </c>
      <c r="J58" s="356">
        <f>'18K'!S25</f>
        <v>-2.4531582820269793</v>
      </c>
      <c r="K58" s="356" t="str">
        <f>'18K'!T25</f>
        <v>..</v>
      </c>
      <c r="L58" s="356" t="str">
        <f>'18K'!U25</f>
        <v>..</v>
      </c>
      <c r="M58" s="488"/>
      <c r="N58" s="334" t="s">
        <v>391</v>
      </c>
      <c r="O58" s="292">
        <f>'19K'!B$36</f>
        <v>1.1978876531526961</v>
      </c>
      <c r="P58" s="292">
        <f>'19K'!C$36</f>
        <v>-3.4881518845879533</v>
      </c>
      <c r="Q58" s="292">
        <f>'19K'!D$36</f>
        <v>-3.2383665005713658</v>
      </c>
      <c r="R58" s="292">
        <f>'19K'!E$36</f>
        <v>-3.6501046174434615</v>
      </c>
      <c r="S58" s="292">
        <f>'19K'!F$36</f>
        <v>-4.437654781974576</v>
      </c>
      <c r="T58" s="292">
        <f>'19K'!G$36</f>
        <v>-3.234129248769757</v>
      </c>
      <c r="U58" s="292">
        <f>'19K'!H$36</f>
        <v>-1.3930039843328079</v>
      </c>
      <c r="V58" s="292">
        <f>'19K'!I$36</f>
        <v>-3.4348938427903208</v>
      </c>
      <c r="W58" s="292" t="str">
        <f>'19K'!J$36</f>
        <v>..</v>
      </c>
      <c r="X58" s="292" t="str">
        <f>'19K'!K$36</f>
        <v>..</v>
      </c>
      <c r="Y58" s="488"/>
      <c r="Z58" s="334" t="s">
        <v>391</v>
      </c>
      <c r="AA58" s="292">
        <f>'20K'!B$24</f>
        <v>1.1663199141469294</v>
      </c>
      <c r="AB58" s="292">
        <f>'20K'!C$24</f>
        <v>3.5300683982967263</v>
      </c>
      <c r="AC58" s="292">
        <f>'20K'!D$24</f>
        <v>3.1455839311938627</v>
      </c>
      <c r="AD58" s="292">
        <f>'20K'!E$24</f>
        <v>4.7893795782678161</v>
      </c>
      <c r="AE58" s="292" t="str">
        <f>'20K'!F$24</f>
        <v>x</v>
      </c>
      <c r="AF58" s="292" t="str">
        <f>'20K'!G$24</f>
        <v>x</v>
      </c>
      <c r="AG58" s="292" t="str">
        <f>'20K'!H$24</f>
        <v>x</v>
      </c>
      <c r="AH58" s="292">
        <f>'20K'!I$24</f>
        <v>1.0166566369896213</v>
      </c>
      <c r="AI58" s="292" t="str">
        <f>'20K'!J$24</f>
        <v>x</v>
      </c>
      <c r="AJ58" s="292" t="str">
        <f>'20K'!K$24</f>
        <v>x</v>
      </c>
      <c r="AK58" s="488"/>
      <c r="AL58" s="334" t="s">
        <v>391</v>
      </c>
      <c r="AM58" s="214">
        <f>'21K'!B$25</f>
        <v>2.3989010364497076</v>
      </c>
      <c r="AN58" s="214">
        <f>'21K'!C$25</f>
        <v>-3.9094984228190577</v>
      </c>
      <c r="AO58" s="214">
        <f>'21K'!D$25</f>
        <v>-2.1926175449466401</v>
      </c>
      <c r="AP58" s="214">
        <f>'21K'!E$25</f>
        <v>-5.5127064205508063</v>
      </c>
      <c r="AQ58" s="214">
        <f>'21K'!F$25</f>
        <v>-2.0236805954465531E-2</v>
      </c>
      <c r="AR58" s="214">
        <f>'21K'!G$25</f>
        <v>3.8659911814307835</v>
      </c>
      <c r="AS58" s="214">
        <f>'21K'!H$25</f>
        <v>3.2278495358860626</v>
      </c>
      <c r="AT58" s="214">
        <f>'21K'!I$25</f>
        <v>3.2380524646430153</v>
      </c>
    </row>
  </sheetData>
  <mergeCells count="26">
    <mergeCell ref="A48:A58"/>
    <mergeCell ref="M48:M58"/>
    <mergeCell ref="Y48:Y58"/>
    <mergeCell ref="AK48:AK58"/>
    <mergeCell ref="A4:A14"/>
    <mergeCell ref="A15:A25"/>
    <mergeCell ref="M15:M25"/>
    <mergeCell ref="Y15:Y25"/>
    <mergeCell ref="AK15:AK25"/>
    <mergeCell ref="A26:A36"/>
    <mergeCell ref="M26:M36"/>
    <mergeCell ref="Y26:Y36"/>
    <mergeCell ref="AK26:AK36"/>
    <mergeCell ref="A37:A47"/>
    <mergeCell ref="M37:M47"/>
    <mergeCell ref="Y37:Y47"/>
    <mergeCell ref="AK37:AK47"/>
    <mergeCell ref="A1:AT1"/>
    <mergeCell ref="A3:L3"/>
    <mergeCell ref="M3:X3"/>
    <mergeCell ref="Y3:AJ3"/>
    <mergeCell ref="AM3:AP3"/>
    <mergeCell ref="AQ3:AT3"/>
    <mergeCell ref="M4:M14"/>
    <mergeCell ref="Y4:Y14"/>
    <mergeCell ref="AK4:AK14"/>
  </mergeCells>
  <printOptions gridLines="1"/>
  <pageMargins left="0.7" right="0.7" top="0.75" bottom="0.75" header="0.3" footer="0.3"/>
  <pageSetup scale="71" fitToWidth="4" fitToHeight="0" orientation="portrait" horizontalDpi="0" verticalDpi="0" r:id="rId1"/>
  <colBreaks count="3" manualBreakCount="3">
    <brk id="12" max="46" man="1"/>
    <brk id="24" max="46" man="1"/>
    <brk id="36" max="46" man="1"/>
  </colBreaks>
</worksheet>
</file>

<file path=xl/worksheets/sheet136.xml><?xml version="1.0" encoding="utf-8"?>
<worksheet xmlns="http://schemas.openxmlformats.org/spreadsheetml/2006/main" xmlns:r="http://schemas.openxmlformats.org/officeDocument/2006/relationships">
  <dimension ref="A1:U39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C19" sqref="C19"/>
    </sheetView>
  </sheetViews>
  <sheetFormatPr defaultRowHeight="15" outlineLevelRow="1"/>
  <cols>
    <col min="1" max="1" width="13.57031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555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393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64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64" t="s">
        <v>223</v>
      </c>
      <c r="N3" s="264" t="s">
        <v>20</v>
      </c>
      <c r="O3" s="264" t="s">
        <v>4</v>
      </c>
      <c r="P3" s="281" t="s">
        <v>36</v>
      </c>
      <c r="Q3" s="281" t="s">
        <v>37</v>
      </c>
      <c r="R3" s="281" t="s">
        <v>38</v>
      </c>
      <c r="S3" s="264" t="s">
        <v>5</v>
      </c>
      <c r="T3" s="264" t="s">
        <v>6</v>
      </c>
      <c r="U3" s="264" t="s">
        <v>7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81" t="s">
        <v>10</v>
      </c>
      <c r="C5" s="81" t="s">
        <v>10</v>
      </c>
      <c r="D5" s="81" t="s">
        <v>10</v>
      </c>
      <c r="E5" s="81" t="s">
        <v>10</v>
      </c>
      <c r="F5" s="81" t="s">
        <v>10</v>
      </c>
      <c r="G5" s="81" t="s">
        <v>10</v>
      </c>
      <c r="H5" s="81" t="s">
        <v>10</v>
      </c>
      <c r="I5" s="81" t="s">
        <v>10</v>
      </c>
      <c r="J5" s="81" t="s">
        <v>10</v>
      </c>
      <c r="K5" s="81" t="s">
        <v>10</v>
      </c>
      <c r="L5" s="129">
        <v>1236822</v>
      </c>
      <c r="M5" s="169">
        <f>N5+O5+S5</f>
        <v>23217</v>
      </c>
      <c r="N5" s="129">
        <v>4405</v>
      </c>
      <c r="O5" s="129">
        <v>8687</v>
      </c>
      <c r="P5" s="129">
        <v>4181</v>
      </c>
      <c r="Q5" s="129">
        <v>1637</v>
      </c>
      <c r="R5" s="129">
        <v>2879</v>
      </c>
      <c r="S5" s="129">
        <v>10125</v>
      </c>
      <c r="T5" s="129">
        <v>6379</v>
      </c>
      <c r="U5" s="129">
        <v>3501</v>
      </c>
    </row>
    <row r="6" spans="1:21" s="332" customFormat="1" outlineLevel="1">
      <c r="A6" s="331">
        <v>2001</v>
      </c>
      <c r="B6" s="81" t="s">
        <v>10</v>
      </c>
      <c r="C6" s="81" t="s">
        <v>10</v>
      </c>
      <c r="D6" s="81" t="s">
        <v>10</v>
      </c>
      <c r="E6" s="81" t="s">
        <v>10</v>
      </c>
      <c r="F6" s="81" t="s">
        <v>10</v>
      </c>
      <c r="G6" s="81" t="s">
        <v>10</v>
      </c>
      <c r="H6" s="81" t="s">
        <v>10</v>
      </c>
      <c r="I6" s="81" t="s">
        <v>10</v>
      </c>
      <c r="J6" s="81" t="s">
        <v>10</v>
      </c>
      <c r="K6" s="81" t="s">
        <v>10</v>
      </c>
      <c r="L6" s="129">
        <v>1254236</v>
      </c>
      <c r="M6" s="169">
        <f t="shared" ref="M6:M11" si="0">N6+O6+S6</f>
        <v>22545</v>
      </c>
      <c r="N6" s="129">
        <v>4437</v>
      </c>
      <c r="O6" s="129">
        <v>8310</v>
      </c>
      <c r="P6" s="129">
        <v>3847</v>
      </c>
      <c r="Q6" s="129">
        <v>1636</v>
      </c>
      <c r="R6" s="129">
        <v>2912</v>
      </c>
      <c r="S6" s="129">
        <v>9798</v>
      </c>
      <c r="T6" s="129">
        <v>5937</v>
      </c>
      <c r="U6" s="129">
        <v>3863</v>
      </c>
    </row>
    <row r="7" spans="1:21" s="332" customFormat="1" outlineLevel="1">
      <c r="A7" s="331">
        <v>2002</v>
      </c>
      <c r="B7" s="81" t="s">
        <v>10</v>
      </c>
      <c r="C7" s="81" t="s">
        <v>10</v>
      </c>
      <c r="D7" s="81" t="s">
        <v>10</v>
      </c>
      <c r="E7" s="81" t="s">
        <v>10</v>
      </c>
      <c r="F7" s="81" t="s">
        <v>10</v>
      </c>
      <c r="G7" s="81" t="s">
        <v>10</v>
      </c>
      <c r="H7" s="81" t="s">
        <v>10</v>
      </c>
      <c r="I7" s="81" t="s">
        <v>10</v>
      </c>
      <c r="J7" s="81" t="s">
        <v>10</v>
      </c>
      <c r="K7" s="81" t="s">
        <v>10</v>
      </c>
      <c r="L7" s="129">
        <v>1287248</v>
      </c>
      <c r="M7" s="169">
        <f t="shared" si="0"/>
        <v>24117</v>
      </c>
      <c r="N7" s="129">
        <v>4606</v>
      </c>
      <c r="O7" s="129">
        <v>9262</v>
      </c>
      <c r="P7" s="129">
        <v>4264</v>
      </c>
      <c r="Q7" s="129">
        <v>1880</v>
      </c>
      <c r="R7" s="129">
        <v>3209</v>
      </c>
      <c r="S7" s="129">
        <v>10249</v>
      </c>
      <c r="T7" s="129">
        <v>6191</v>
      </c>
      <c r="U7" s="129">
        <v>4071</v>
      </c>
    </row>
    <row r="8" spans="1:21" s="332" customFormat="1" outlineLevel="1">
      <c r="A8" s="331">
        <v>2003</v>
      </c>
      <c r="B8" s="81" t="s">
        <v>10</v>
      </c>
      <c r="C8" s="81" t="s">
        <v>10</v>
      </c>
      <c r="D8" s="81" t="s">
        <v>10</v>
      </c>
      <c r="E8" s="81" t="s">
        <v>10</v>
      </c>
      <c r="F8" s="81" t="s">
        <v>10</v>
      </c>
      <c r="G8" s="81" t="s">
        <v>10</v>
      </c>
      <c r="H8" s="81" t="s">
        <v>10</v>
      </c>
      <c r="I8" s="81" t="s">
        <v>10</v>
      </c>
      <c r="J8" s="81" t="s">
        <v>10</v>
      </c>
      <c r="K8" s="81" t="s">
        <v>10</v>
      </c>
      <c r="L8" s="129">
        <v>1314512</v>
      </c>
      <c r="M8" s="169">
        <f t="shared" si="0"/>
        <v>24157</v>
      </c>
      <c r="N8" s="129">
        <v>4499</v>
      </c>
      <c r="O8" s="129">
        <v>9382</v>
      </c>
      <c r="P8" s="129">
        <v>4223</v>
      </c>
      <c r="Q8" s="129">
        <v>1981</v>
      </c>
      <c r="R8" s="129">
        <v>3274</v>
      </c>
      <c r="S8" s="129">
        <v>10276</v>
      </c>
      <c r="T8" s="129">
        <v>6142</v>
      </c>
      <c r="U8" s="129">
        <v>4174</v>
      </c>
    </row>
    <row r="9" spans="1:21" s="332" customFormat="1" outlineLevel="1">
      <c r="A9" s="331">
        <v>2004</v>
      </c>
      <c r="B9" s="81" t="s">
        <v>10</v>
      </c>
      <c r="C9" s="81" t="s">
        <v>10</v>
      </c>
      <c r="D9" s="81" t="s">
        <v>10</v>
      </c>
      <c r="E9" s="81" t="s">
        <v>10</v>
      </c>
      <c r="F9" s="81" t="s">
        <v>10</v>
      </c>
      <c r="G9" s="81" t="s">
        <v>10</v>
      </c>
      <c r="H9" s="81" t="s">
        <v>10</v>
      </c>
      <c r="I9" s="81" t="s">
        <v>10</v>
      </c>
      <c r="J9" s="81" t="s">
        <v>10</v>
      </c>
      <c r="K9" s="81" t="s">
        <v>10</v>
      </c>
      <c r="L9" s="129">
        <v>1355222</v>
      </c>
      <c r="M9" s="169">
        <f t="shared" si="0"/>
        <v>24983</v>
      </c>
      <c r="N9" s="129">
        <v>4800</v>
      </c>
      <c r="O9" s="129">
        <v>9814</v>
      </c>
      <c r="P9" s="129">
        <v>4324</v>
      </c>
      <c r="Q9" s="129">
        <v>2099</v>
      </c>
      <c r="R9" s="129">
        <v>3520</v>
      </c>
      <c r="S9" s="129">
        <v>10369</v>
      </c>
      <c r="T9" s="129">
        <v>6301</v>
      </c>
      <c r="U9" s="129">
        <v>4082</v>
      </c>
    </row>
    <row r="10" spans="1:21" s="332" customFormat="1" outlineLevel="1">
      <c r="A10" s="331">
        <v>2005</v>
      </c>
      <c r="B10" s="81" t="s">
        <v>10</v>
      </c>
      <c r="C10" s="81" t="s">
        <v>10</v>
      </c>
      <c r="D10" s="81" t="s">
        <v>10</v>
      </c>
      <c r="E10" s="81" t="s">
        <v>10</v>
      </c>
      <c r="F10" s="81" t="s">
        <v>10</v>
      </c>
      <c r="G10" s="81" t="s">
        <v>10</v>
      </c>
      <c r="H10" s="81" t="s">
        <v>10</v>
      </c>
      <c r="I10" s="81" t="s">
        <v>10</v>
      </c>
      <c r="J10" s="81" t="s">
        <v>10</v>
      </c>
      <c r="K10" s="81" t="s">
        <v>10</v>
      </c>
      <c r="L10" s="129">
        <v>1395920</v>
      </c>
      <c r="M10" s="169">
        <f t="shared" si="0"/>
        <v>25766</v>
      </c>
      <c r="N10" s="129">
        <v>4826</v>
      </c>
      <c r="O10" s="129">
        <v>10580</v>
      </c>
      <c r="P10" s="129">
        <v>4869</v>
      </c>
      <c r="Q10" s="129">
        <v>2373</v>
      </c>
      <c r="R10" s="129">
        <v>3315</v>
      </c>
      <c r="S10" s="129">
        <v>10360</v>
      </c>
      <c r="T10" s="129">
        <v>6377</v>
      </c>
      <c r="U10" s="129">
        <v>3988</v>
      </c>
    </row>
    <row r="11" spans="1:21" s="332" customFormat="1" outlineLevel="1">
      <c r="A11" s="331">
        <v>2006</v>
      </c>
      <c r="B11" s="81" t="s">
        <v>10</v>
      </c>
      <c r="C11" s="81" t="s">
        <v>10</v>
      </c>
      <c r="D11" s="81" t="s">
        <v>10</v>
      </c>
      <c r="E11" s="81" t="s">
        <v>10</v>
      </c>
      <c r="F11" s="81" t="s">
        <v>10</v>
      </c>
      <c r="G11" s="81" t="s">
        <v>10</v>
      </c>
      <c r="H11" s="81" t="s">
        <v>10</v>
      </c>
      <c r="I11" s="81" t="s">
        <v>10</v>
      </c>
      <c r="J11" s="81" t="s">
        <v>10</v>
      </c>
      <c r="K11" s="81" t="s">
        <v>10</v>
      </c>
      <c r="L11" s="129">
        <v>1434935</v>
      </c>
      <c r="M11" s="169">
        <f t="shared" si="0"/>
        <v>24482</v>
      </c>
      <c r="N11" s="129">
        <v>4608</v>
      </c>
      <c r="O11" s="129">
        <v>10499</v>
      </c>
      <c r="P11" s="129">
        <v>4715</v>
      </c>
      <c r="Q11" s="129">
        <v>2368</v>
      </c>
      <c r="R11" s="129">
        <v>3408</v>
      </c>
      <c r="S11" s="129">
        <v>9375</v>
      </c>
      <c r="T11" s="129">
        <v>5755</v>
      </c>
      <c r="U11" s="129">
        <v>3629</v>
      </c>
    </row>
    <row r="12" spans="1:21">
      <c r="A12" s="263">
        <v>2007</v>
      </c>
      <c r="B12" s="408">
        <v>1466692</v>
      </c>
      <c r="C12" s="81">
        <f>D12+E12+I12</f>
        <v>23107</v>
      </c>
      <c r="D12" s="408">
        <v>4207</v>
      </c>
      <c r="E12" s="408">
        <v>9628</v>
      </c>
      <c r="F12" s="408">
        <v>4121</v>
      </c>
      <c r="G12" s="408">
        <v>2124</v>
      </c>
      <c r="H12" s="408">
        <v>3384</v>
      </c>
      <c r="I12" s="408">
        <v>9272</v>
      </c>
      <c r="J12" s="408">
        <v>5819</v>
      </c>
      <c r="K12" s="408">
        <v>3453</v>
      </c>
      <c r="L12" s="129">
        <v>1466691</v>
      </c>
      <c r="M12" s="169">
        <f>N12+O12+S12</f>
        <v>23107</v>
      </c>
      <c r="N12" s="129">
        <v>4207</v>
      </c>
      <c r="O12" s="129">
        <v>9628</v>
      </c>
      <c r="P12" s="129">
        <v>4121</v>
      </c>
      <c r="Q12" s="129">
        <v>2124</v>
      </c>
      <c r="R12" s="129">
        <v>3384</v>
      </c>
      <c r="S12" s="129">
        <v>9272</v>
      </c>
      <c r="T12" s="129">
        <v>5819</v>
      </c>
      <c r="U12" s="129">
        <v>3453</v>
      </c>
    </row>
    <row r="13" spans="1:21">
      <c r="A13" s="263">
        <v>2008</v>
      </c>
      <c r="B13" s="408">
        <v>1551684</v>
      </c>
      <c r="C13" s="81">
        <f t="shared" ref="C13:C15" si="1">D13+E13+I13</f>
        <v>20638</v>
      </c>
      <c r="D13" s="408">
        <v>3883</v>
      </c>
      <c r="E13" s="408">
        <v>7943</v>
      </c>
      <c r="F13" s="408">
        <v>3157</v>
      </c>
      <c r="G13" s="408">
        <v>1663</v>
      </c>
      <c r="H13" s="408">
        <v>3123</v>
      </c>
      <c r="I13" s="408">
        <v>8812</v>
      </c>
      <c r="J13" s="408">
        <v>5452</v>
      </c>
      <c r="K13" s="408">
        <v>3360</v>
      </c>
      <c r="L13" s="129">
        <v>1482081</v>
      </c>
      <c r="M13" s="169">
        <f t="shared" ref="M13:M18" si="2">N13+O13+S13</f>
        <v>21232</v>
      </c>
      <c r="N13" s="129">
        <v>3944</v>
      </c>
      <c r="O13" s="129">
        <v>8650</v>
      </c>
      <c r="P13" s="129">
        <v>3676</v>
      </c>
      <c r="Q13" s="129">
        <v>1831</v>
      </c>
      <c r="R13" s="129">
        <v>3139</v>
      </c>
      <c r="S13" s="129">
        <v>8638</v>
      </c>
      <c r="T13" s="129">
        <v>5360</v>
      </c>
      <c r="U13" s="129">
        <v>3278</v>
      </c>
    </row>
    <row r="14" spans="1:21">
      <c r="A14" s="263">
        <v>2009</v>
      </c>
      <c r="B14" s="408">
        <v>1473183</v>
      </c>
      <c r="C14" s="81">
        <f t="shared" si="1"/>
        <v>17121</v>
      </c>
      <c r="D14" s="408">
        <v>3302</v>
      </c>
      <c r="E14" s="408">
        <v>6110</v>
      </c>
      <c r="F14" s="408">
        <v>2233</v>
      </c>
      <c r="G14" s="408">
        <v>1307</v>
      </c>
      <c r="H14" s="408">
        <v>2570</v>
      </c>
      <c r="I14" s="408">
        <v>7709</v>
      </c>
      <c r="J14" s="408">
        <v>4583</v>
      </c>
      <c r="K14" s="408">
        <v>3126</v>
      </c>
      <c r="L14" s="129">
        <v>1438301</v>
      </c>
      <c r="M14" s="169">
        <f t="shared" si="2"/>
        <v>17353</v>
      </c>
      <c r="N14" s="129">
        <v>3101</v>
      </c>
      <c r="O14" s="129">
        <v>7187</v>
      </c>
      <c r="P14" s="129">
        <v>2993</v>
      </c>
      <c r="Q14" s="129">
        <v>1637</v>
      </c>
      <c r="R14" s="129">
        <v>2559</v>
      </c>
      <c r="S14" s="129">
        <v>7065</v>
      </c>
      <c r="T14" s="129">
        <v>4043</v>
      </c>
      <c r="U14" s="129">
        <v>3041</v>
      </c>
    </row>
    <row r="15" spans="1:21">
      <c r="A15" s="263">
        <v>2010</v>
      </c>
      <c r="B15" s="408">
        <v>1564105</v>
      </c>
      <c r="C15" s="81">
        <f t="shared" si="1"/>
        <v>18752</v>
      </c>
      <c r="D15" s="408">
        <v>3424</v>
      </c>
      <c r="E15" s="408">
        <v>6809</v>
      </c>
      <c r="F15" s="408">
        <v>2867</v>
      </c>
      <c r="G15" s="408">
        <v>1464</v>
      </c>
      <c r="H15" s="408">
        <v>2479</v>
      </c>
      <c r="I15" s="408">
        <v>8519</v>
      </c>
      <c r="J15" s="408">
        <v>5356</v>
      </c>
      <c r="K15" s="408">
        <v>3164</v>
      </c>
      <c r="L15" s="129">
        <v>1489226</v>
      </c>
      <c r="M15" s="169">
        <f t="shared" si="2"/>
        <v>18840</v>
      </c>
      <c r="N15" s="129">
        <v>3563</v>
      </c>
      <c r="O15" s="129">
        <v>7571</v>
      </c>
      <c r="P15" s="129">
        <v>3392</v>
      </c>
      <c r="Q15" s="129">
        <v>1789</v>
      </c>
      <c r="R15" s="129">
        <v>2455</v>
      </c>
      <c r="S15" s="129">
        <v>7706</v>
      </c>
      <c r="T15" s="129">
        <v>4694</v>
      </c>
      <c r="U15" s="129">
        <v>3007</v>
      </c>
    </row>
    <row r="16" spans="1:21">
      <c r="A16" s="263">
        <v>2011</v>
      </c>
      <c r="B16" s="408">
        <v>1667007</v>
      </c>
      <c r="C16" s="81">
        <f>D16+E16+I16</f>
        <v>18400</v>
      </c>
      <c r="D16" s="408">
        <v>3747</v>
      </c>
      <c r="E16" s="408">
        <v>6525</v>
      </c>
      <c r="F16" s="408">
        <v>2617</v>
      </c>
      <c r="G16" s="408">
        <v>1239</v>
      </c>
      <c r="H16" s="408">
        <v>2670</v>
      </c>
      <c r="I16" s="408">
        <v>8128</v>
      </c>
      <c r="J16" s="408">
        <v>5155</v>
      </c>
      <c r="K16" s="408">
        <v>2973</v>
      </c>
      <c r="L16" s="129">
        <v>1534440</v>
      </c>
      <c r="M16" s="169">
        <f t="shared" si="2"/>
        <v>19116</v>
      </c>
      <c r="N16" s="129">
        <v>3765</v>
      </c>
      <c r="O16" s="129">
        <v>7827</v>
      </c>
      <c r="P16" s="129">
        <v>3501</v>
      </c>
      <c r="Q16" s="129">
        <v>1764</v>
      </c>
      <c r="R16" s="129">
        <v>2605</v>
      </c>
      <c r="S16" s="129">
        <v>7524</v>
      </c>
      <c r="T16" s="129">
        <v>4614</v>
      </c>
      <c r="U16" s="129">
        <v>2903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129">
        <v>1565595</v>
      </c>
      <c r="M17" s="169">
        <f t="shared" si="2"/>
        <v>19222</v>
      </c>
      <c r="N17" s="129">
        <v>3703</v>
      </c>
      <c r="O17" s="129">
        <v>8424</v>
      </c>
      <c r="P17" s="129">
        <v>3723</v>
      </c>
      <c r="Q17" s="129">
        <v>1903</v>
      </c>
      <c r="R17" s="129">
        <v>2834</v>
      </c>
      <c r="S17" s="129">
        <v>7095</v>
      </c>
      <c r="T17" s="129">
        <v>4217</v>
      </c>
      <c r="U17" s="129">
        <v>2884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129">
        <v>1598734</v>
      </c>
      <c r="M18" s="169">
        <f t="shared" si="2"/>
        <v>19897</v>
      </c>
      <c r="N18" s="129">
        <v>3866</v>
      </c>
      <c r="O18" s="129">
        <v>9038</v>
      </c>
      <c r="P18" s="129">
        <v>3929</v>
      </c>
      <c r="Q18" s="129">
        <v>2114</v>
      </c>
      <c r="R18" s="129">
        <v>3037</v>
      </c>
      <c r="S18" s="129">
        <v>6993</v>
      </c>
      <c r="T18" s="129">
        <v>4271</v>
      </c>
      <c r="U18" s="129">
        <v>2717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45" customFormat="1">
      <c r="A21" s="342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2">
        <f t="shared" ref="L21:U21" si="3">((L12/L5)^(1/7)-1)*100</f>
        <v>2.4650881265007474</v>
      </c>
      <c r="M21" s="282">
        <f t="shared" si="3"/>
        <v>-6.7822233605374649E-2</v>
      </c>
      <c r="N21" s="282">
        <f t="shared" si="3"/>
        <v>-0.65485292811244822</v>
      </c>
      <c r="O21" s="282">
        <f t="shared" si="3"/>
        <v>1.4801018198947524</v>
      </c>
      <c r="P21" s="282">
        <f t="shared" si="3"/>
        <v>-0.20628123318964242</v>
      </c>
      <c r="Q21" s="282">
        <f t="shared" si="3"/>
        <v>3.7905889071234267</v>
      </c>
      <c r="R21" s="282">
        <f t="shared" si="3"/>
        <v>2.3356507651097091</v>
      </c>
      <c r="S21" s="282">
        <f t="shared" si="3"/>
        <v>-1.2493938354723233</v>
      </c>
      <c r="T21" s="282">
        <f t="shared" si="3"/>
        <v>-1.3040359401811918</v>
      </c>
      <c r="U21" s="282">
        <f t="shared" si="3"/>
        <v>-0.19702313360658863</v>
      </c>
    </row>
    <row r="22" spans="1:21">
      <c r="A22" s="260" t="s">
        <v>368</v>
      </c>
      <c r="B22" s="81" t="s">
        <v>10</v>
      </c>
      <c r="C22" s="81" t="s">
        <v>10</v>
      </c>
      <c r="D22" s="81" t="s">
        <v>10</v>
      </c>
      <c r="E22" s="81" t="s">
        <v>10</v>
      </c>
      <c r="F22" s="81" t="s">
        <v>10</v>
      </c>
      <c r="G22" s="81" t="s">
        <v>10</v>
      </c>
      <c r="H22" s="81" t="s">
        <v>10</v>
      </c>
      <c r="I22" s="81" t="s">
        <v>10</v>
      </c>
      <c r="J22" s="81" t="s">
        <v>10</v>
      </c>
      <c r="K22" s="81" t="s">
        <v>10</v>
      </c>
      <c r="L22" s="282">
        <f t="shared" ref="L22:U22" si="4">((L15/L12)^(1/3)-1)*100</f>
        <v>0.50954977414190417</v>
      </c>
      <c r="M22" s="282">
        <f t="shared" si="4"/>
        <v>-6.5787276120487519</v>
      </c>
      <c r="N22" s="282">
        <f t="shared" si="4"/>
        <v>-5.387662983334307</v>
      </c>
      <c r="O22" s="282">
        <f t="shared" si="4"/>
        <v>-7.6991455245429163</v>
      </c>
      <c r="P22" s="282">
        <f t="shared" si="4"/>
        <v>-6.2831369864975066</v>
      </c>
      <c r="Q22" s="282">
        <f t="shared" si="4"/>
        <v>-5.5608775809060536</v>
      </c>
      <c r="R22" s="282">
        <f t="shared" si="4"/>
        <v>-10.145386450104111</v>
      </c>
      <c r="S22" s="282">
        <f t="shared" si="4"/>
        <v>-5.9803722763784979</v>
      </c>
      <c r="T22" s="282">
        <f t="shared" si="4"/>
        <v>-6.911026208158888</v>
      </c>
      <c r="U22" s="282">
        <f t="shared" si="4"/>
        <v>-4.5053700972392363</v>
      </c>
    </row>
    <row r="23" spans="1:21">
      <c r="A23" s="260" t="s">
        <v>392</v>
      </c>
      <c r="B23" s="81" t="s">
        <v>10</v>
      </c>
      <c r="C23" s="81" t="s">
        <v>10</v>
      </c>
      <c r="D23" s="81" t="s">
        <v>10</v>
      </c>
      <c r="E23" s="81" t="s">
        <v>10</v>
      </c>
      <c r="F23" s="81" t="s">
        <v>10</v>
      </c>
      <c r="G23" s="81" t="s">
        <v>10</v>
      </c>
      <c r="H23" s="81" t="s">
        <v>10</v>
      </c>
      <c r="I23" s="81" t="s">
        <v>10</v>
      </c>
      <c r="J23" s="81" t="s">
        <v>10</v>
      </c>
      <c r="K23" s="81" t="s">
        <v>10</v>
      </c>
      <c r="L23" s="282">
        <f t="shared" ref="L23:U23" si="5">((L18/L15)^(1/3)-1)*100</f>
        <v>2.393377128539953</v>
      </c>
      <c r="M23" s="282">
        <f t="shared" si="5"/>
        <v>1.836211373498986</v>
      </c>
      <c r="N23" s="282">
        <f t="shared" si="5"/>
        <v>2.7579289068297541</v>
      </c>
      <c r="O23" s="282">
        <f t="shared" si="5"/>
        <v>6.0815109619314356</v>
      </c>
      <c r="P23" s="282">
        <f t="shared" si="5"/>
        <v>5.0208176182522823</v>
      </c>
      <c r="Q23" s="282">
        <f t="shared" si="5"/>
        <v>5.7218808346446437</v>
      </c>
      <c r="R23" s="282">
        <f t="shared" si="5"/>
        <v>7.3489411694834583</v>
      </c>
      <c r="S23" s="282">
        <f t="shared" si="5"/>
        <v>-3.1845114826713261</v>
      </c>
      <c r="T23" s="282">
        <f t="shared" si="5"/>
        <v>-3.0988728621857309</v>
      </c>
      <c r="U23" s="282">
        <f t="shared" si="5"/>
        <v>-3.3239858119934795</v>
      </c>
    </row>
    <row r="24" spans="1:21">
      <c r="A24" s="260" t="s">
        <v>69</v>
      </c>
      <c r="B24" s="81" t="s">
        <v>10</v>
      </c>
      <c r="C24" s="81" t="s">
        <v>10</v>
      </c>
      <c r="D24" s="81" t="s">
        <v>10</v>
      </c>
      <c r="E24" s="81" t="s">
        <v>10</v>
      </c>
      <c r="F24" s="81" t="s">
        <v>10</v>
      </c>
      <c r="G24" s="81" t="s">
        <v>10</v>
      </c>
      <c r="H24" s="81" t="s">
        <v>10</v>
      </c>
      <c r="I24" s="81" t="s">
        <v>10</v>
      </c>
      <c r="J24" s="81" t="s">
        <v>10</v>
      </c>
      <c r="K24" s="81" t="s">
        <v>10</v>
      </c>
      <c r="L24" s="192">
        <f t="shared" ref="L24:U24" si="6">IFERROR(((L18/L12)^(1/6)-1)*100,"n.a.")</f>
        <v>1.4470908160676199</v>
      </c>
      <c r="M24" s="192">
        <f t="shared" si="6"/>
        <v>-2.4619641284456262</v>
      </c>
      <c r="N24" s="192">
        <f t="shared" si="6"/>
        <v>-1.3989462486959425</v>
      </c>
      <c r="O24" s="192">
        <f t="shared" si="6"/>
        <v>-1.0484254504566248</v>
      </c>
      <c r="P24" s="192">
        <f t="shared" si="6"/>
        <v>-0.7920286554765954</v>
      </c>
      <c r="Q24" s="192">
        <f t="shared" si="6"/>
        <v>-7.8622675025807887E-2</v>
      </c>
      <c r="R24" s="192">
        <f t="shared" si="6"/>
        <v>-1.786978339048928</v>
      </c>
      <c r="S24" s="192">
        <f t="shared" si="6"/>
        <v>-4.5926827319843655</v>
      </c>
      <c r="T24" s="192">
        <f t="shared" si="6"/>
        <v>-5.0240741843920915</v>
      </c>
      <c r="U24" s="192">
        <f t="shared" si="6"/>
        <v>-3.9164936351835045</v>
      </c>
    </row>
    <row r="25" spans="1:21" s="345" customFormat="1">
      <c r="A25" s="342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 t="shared" ref="L25:U25" si="7">((L18/L5)^(1/13)-1)*100</f>
        <v>1.9939800172909639</v>
      </c>
      <c r="M25" s="192">
        <f t="shared" si="7"/>
        <v>-1.1800270534382817</v>
      </c>
      <c r="N25" s="192">
        <f t="shared" si="7"/>
        <v>-0.99897582071326596</v>
      </c>
      <c r="O25" s="192">
        <f t="shared" si="7"/>
        <v>0.30515893952336448</v>
      </c>
      <c r="P25" s="192">
        <f t="shared" si="7"/>
        <v>-0.4770547066810793</v>
      </c>
      <c r="Q25" s="192">
        <f t="shared" si="7"/>
        <v>1.9865246047678697</v>
      </c>
      <c r="R25" s="192">
        <f t="shared" si="7"/>
        <v>0.41182393865957234</v>
      </c>
      <c r="S25" s="192">
        <f t="shared" si="7"/>
        <v>-2.8067648508517284</v>
      </c>
      <c r="T25" s="192">
        <f t="shared" si="7"/>
        <v>-3.0387449246941034</v>
      </c>
      <c r="U25" s="192">
        <f t="shared" si="7"/>
        <v>-1.9312637063234162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30" spans="1:2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204"/>
      <c r="B31" s="204"/>
      <c r="C31" s="204"/>
      <c r="D31" s="204"/>
      <c r="E31" s="204"/>
      <c r="F31" s="204"/>
      <c r="G31" s="346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</row>
    <row r="32" spans="1:21" ht="30" customHeight="1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83"/>
      <c r="N32" s="204"/>
      <c r="O32" s="204"/>
      <c r="P32" s="204"/>
      <c r="Q32" s="204"/>
      <c r="R32" s="204"/>
      <c r="S32" s="204"/>
      <c r="T32" s="204"/>
      <c r="U32" s="204"/>
    </row>
    <row r="33" spans="1:21" ht="30" customHeight="1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83"/>
      <c r="N33" s="204"/>
      <c r="O33" s="204"/>
      <c r="P33" s="204"/>
      <c r="Q33" s="204"/>
      <c r="R33" s="204"/>
      <c r="S33" s="204"/>
      <c r="T33" s="204"/>
      <c r="U33" s="204"/>
    </row>
    <row r="34" spans="1:21">
      <c r="M34" s="283"/>
    </row>
    <row r="35" spans="1:21">
      <c r="M35" s="283"/>
    </row>
    <row r="36" spans="1:21">
      <c r="M36" s="283"/>
    </row>
    <row r="37" spans="1:21">
      <c r="M37" s="283"/>
    </row>
    <row r="38" spans="1:21">
      <c r="M38" s="283"/>
    </row>
    <row r="39" spans="1:21">
      <c r="M39" s="283"/>
    </row>
  </sheetData>
  <mergeCells count="5">
    <mergeCell ref="A30:U30"/>
    <mergeCell ref="A1:U1"/>
    <mergeCell ref="B2:K2"/>
    <mergeCell ref="L2:U2"/>
    <mergeCell ref="A20:U20"/>
  </mergeCells>
  <printOptions gridLines="1"/>
  <pageMargins left="0.7" right="0.7" top="0.75" bottom="0.75" header="0.3" footer="0.3"/>
  <pageSetup scale="53" orientation="landscape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U33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A20" sqref="A20:U20"/>
    </sheetView>
  </sheetViews>
  <sheetFormatPr defaultRowHeight="15" outlineLevelRow="1"/>
  <cols>
    <col min="1" max="1" width="13.57031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556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393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64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64" t="s">
        <v>223</v>
      </c>
      <c r="N3" s="264" t="s">
        <v>20</v>
      </c>
      <c r="O3" s="264" t="s">
        <v>4</v>
      </c>
      <c r="P3" s="281" t="s">
        <v>36</v>
      </c>
      <c r="Q3" s="281" t="s">
        <v>37</v>
      </c>
      <c r="R3" s="281" t="s">
        <v>38</v>
      </c>
      <c r="S3" s="264" t="s">
        <v>5</v>
      </c>
      <c r="T3" s="264" t="s">
        <v>6</v>
      </c>
      <c r="U3" s="264" t="s">
        <v>7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81" t="s">
        <v>10</v>
      </c>
      <c r="C5" s="81" t="s">
        <v>10</v>
      </c>
      <c r="D5" s="81" t="s">
        <v>10</v>
      </c>
      <c r="E5" s="81" t="s">
        <v>10</v>
      </c>
      <c r="F5" s="81" t="s">
        <v>10</v>
      </c>
      <c r="G5" s="81" t="s">
        <v>10</v>
      </c>
      <c r="H5" s="81" t="s">
        <v>10</v>
      </c>
      <c r="I5" s="81" t="s">
        <v>10</v>
      </c>
      <c r="J5" s="81" t="s">
        <v>10</v>
      </c>
      <c r="K5" s="81" t="s">
        <v>10</v>
      </c>
      <c r="L5" s="129">
        <v>19829.5</v>
      </c>
      <c r="M5" s="169" t="s">
        <v>10</v>
      </c>
      <c r="N5" s="129">
        <v>101.9</v>
      </c>
      <c r="O5" s="129">
        <v>20.100000000000001</v>
      </c>
      <c r="P5" s="129" t="s">
        <v>9</v>
      </c>
      <c r="Q5" s="129" t="s">
        <v>9</v>
      </c>
      <c r="R5" s="129" t="s">
        <v>9</v>
      </c>
      <c r="S5" s="129" t="s">
        <v>9</v>
      </c>
      <c r="T5" s="129" t="s">
        <v>9</v>
      </c>
      <c r="U5" s="129">
        <v>10.3</v>
      </c>
    </row>
    <row r="6" spans="1:21" s="332" customFormat="1" outlineLevel="1">
      <c r="A6" s="331">
        <v>2001</v>
      </c>
      <c r="B6" s="81" t="s">
        <v>10</v>
      </c>
      <c r="C6" s="81" t="s">
        <v>10</v>
      </c>
      <c r="D6" s="81" t="s">
        <v>10</v>
      </c>
      <c r="E6" s="81" t="s">
        <v>10</v>
      </c>
      <c r="F6" s="81" t="s">
        <v>10</v>
      </c>
      <c r="G6" s="81" t="s">
        <v>10</v>
      </c>
      <c r="H6" s="81" t="s">
        <v>10</v>
      </c>
      <c r="I6" s="81" t="s">
        <v>10</v>
      </c>
      <c r="J6" s="81" t="s">
        <v>10</v>
      </c>
      <c r="K6" s="81" t="s">
        <v>10</v>
      </c>
      <c r="L6" s="129">
        <v>19929.3</v>
      </c>
      <c r="M6" s="169" t="s">
        <v>10</v>
      </c>
      <c r="N6" s="129">
        <v>91</v>
      </c>
      <c r="O6" s="129" t="s">
        <v>9</v>
      </c>
      <c r="P6" s="129" t="s">
        <v>9</v>
      </c>
      <c r="Q6" s="129" t="s">
        <v>9</v>
      </c>
      <c r="R6" s="129" t="s">
        <v>9</v>
      </c>
      <c r="S6" s="129" t="s">
        <v>9</v>
      </c>
      <c r="T6" s="129" t="s">
        <v>9</v>
      </c>
      <c r="U6" s="129">
        <v>10.8</v>
      </c>
    </row>
    <row r="7" spans="1:21" s="332" customFormat="1" outlineLevel="1">
      <c r="A7" s="331">
        <v>2002</v>
      </c>
      <c r="B7" s="81" t="s">
        <v>10</v>
      </c>
      <c r="C7" s="81" t="s">
        <v>10</v>
      </c>
      <c r="D7" s="81" t="s">
        <v>10</v>
      </c>
      <c r="E7" s="81" t="s">
        <v>10</v>
      </c>
      <c r="F7" s="81" t="s">
        <v>10</v>
      </c>
      <c r="G7" s="81" t="s">
        <v>10</v>
      </c>
      <c r="H7" s="81" t="s">
        <v>10</v>
      </c>
      <c r="I7" s="81" t="s">
        <v>10</v>
      </c>
      <c r="J7" s="81" t="s">
        <v>10</v>
      </c>
      <c r="K7" s="81" t="s">
        <v>10</v>
      </c>
      <c r="L7" s="129">
        <v>22996.2</v>
      </c>
      <c r="M7" s="169" t="s">
        <v>10</v>
      </c>
      <c r="N7" s="129">
        <v>96.6</v>
      </c>
      <c r="O7" s="129">
        <v>26.4</v>
      </c>
      <c r="P7" s="129" t="s">
        <v>9</v>
      </c>
      <c r="Q7" s="129" t="s">
        <v>9</v>
      </c>
      <c r="R7" s="129" t="s">
        <v>9</v>
      </c>
      <c r="S7" s="129" t="s">
        <v>9</v>
      </c>
      <c r="T7" s="129" t="s">
        <v>9</v>
      </c>
      <c r="U7" s="129" t="s">
        <v>9</v>
      </c>
    </row>
    <row r="8" spans="1:21" s="332" customFormat="1" outlineLevel="1">
      <c r="A8" s="331">
        <v>2003</v>
      </c>
      <c r="B8" s="81" t="s">
        <v>10</v>
      </c>
      <c r="C8" s="81" t="s">
        <v>10</v>
      </c>
      <c r="D8" s="81" t="s">
        <v>10</v>
      </c>
      <c r="E8" s="81" t="s">
        <v>10</v>
      </c>
      <c r="F8" s="81" t="s">
        <v>10</v>
      </c>
      <c r="G8" s="81" t="s">
        <v>10</v>
      </c>
      <c r="H8" s="81" t="s">
        <v>10</v>
      </c>
      <c r="I8" s="81" t="s">
        <v>10</v>
      </c>
      <c r="J8" s="81" t="s">
        <v>10</v>
      </c>
      <c r="K8" s="81" t="s">
        <v>10</v>
      </c>
      <c r="L8" s="129">
        <v>24455</v>
      </c>
      <c r="M8" s="169">
        <f t="shared" ref="M8:M9" si="0">N8+O8+S8</f>
        <v>274.60000000000002</v>
      </c>
      <c r="N8" s="129">
        <v>108.2</v>
      </c>
      <c r="O8" s="129">
        <v>27.7</v>
      </c>
      <c r="P8" s="129" t="s">
        <v>9</v>
      </c>
      <c r="Q8" s="129">
        <v>2.1</v>
      </c>
      <c r="R8" s="129" t="s">
        <v>9</v>
      </c>
      <c r="S8" s="129">
        <v>138.69999999999999</v>
      </c>
      <c r="T8" s="129" t="s">
        <v>9</v>
      </c>
      <c r="U8" s="129" t="s">
        <v>9</v>
      </c>
    </row>
    <row r="9" spans="1:21" s="332" customFormat="1" outlineLevel="1">
      <c r="A9" s="331">
        <v>2004</v>
      </c>
      <c r="B9" s="81" t="s">
        <v>10</v>
      </c>
      <c r="C9" s="81" t="s">
        <v>10</v>
      </c>
      <c r="D9" s="81" t="s">
        <v>10</v>
      </c>
      <c r="E9" s="81" t="s">
        <v>10</v>
      </c>
      <c r="F9" s="81" t="s">
        <v>10</v>
      </c>
      <c r="G9" s="81" t="s">
        <v>10</v>
      </c>
      <c r="H9" s="81" t="s">
        <v>10</v>
      </c>
      <c r="I9" s="81" t="s">
        <v>10</v>
      </c>
      <c r="J9" s="81" t="s">
        <v>10</v>
      </c>
      <c r="K9" s="81" t="s">
        <v>10</v>
      </c>
      <c r="L9" s="129">
        <v>24204.1</v>
      </c>
      <c r="M9" s="169">
        <f t="shared" si="0"/>
        <v>251.5</v>
      </c>
      <c r="N9" s="129">
        <v>97.3</v>
      </c>
      <c r="O9" s="129">
        <v>16.5</v>
      </c>
      <c r="P9" s="129" t="s">
        <v>9</v>
      </c>
      <c r="Q9" s="129" t="s">
        <v>9</v>
      </c>
      <c r="R9" s="129" t="s">
        <v>9</v>
      </c>
      <c r="S9" s="129">
        <v>137.69999999999999</v>
      </c>
      <c r="T9" s="129" t="s">
        <v>9</v>
      </c>
      <c r="U9" s="129" t="s">
        <v>9</v>
      </c>
    </row>
    <row r="10" spans="1:21" s="332" customFormat="1" outlineLevel="1">
      <c r="A10" s="331">
        <v>2005</v>
      </c>
      <c r="B10" s="81" t="s">
        <v>10</v>
      </c>
      <c r="C10" s="81" t="s">
        <v>10</v>
      </c>
      <c r="D10" s="81" t="s">
        <v>10</v>
      </c>
      <c r="E10" s="81" t="s">
        <v>10</v>
      </c>
      <c r="F10" s="81" t="s">
        <v>10</v>
      </c>
      <c r="G10" s="81" t="s">
        <v>10</v>
      </c>
      <c r="H10" s="81" t="s">
        <v>10</v>
      </c>
      <c r="I10" s="81" t="s">
        <v>10</v>
      </c>
      <c r="J10" s="81" t="s">
        <v>10</v>
      </c>
      <c r="K10" s="81" t="s">
        <v>10</v>
      </c>
      <c r="L10" s="129">
        <v>24758.799999999999</v>
      </c>
      <c r="M10" s="169" t="s">
        <v>10</v>
      </c>
      <c r="N10" s="129">
        <v>83.8</v>
      </c>
      <c r="O10" s="129">
        <v>18.100000000000001</v>
      </c>
      <c r="P10" s="129" t="s">
        <v>9</v>
      </c>
      <c r="Q10" s="129" t="s">
        <v>9</v>
      </c>
      <c r="R10" s="129">
        <v>5.8</v>
      </c>
      <c r="S10" s="129" t="s">
        <v>9</v>
      </c>
      <c r="T10" s="129" t="s">
        <v>9</v>
      </c>
      <c r="U10" s="129" t="s">
        <v>9</v>
      </c>
    </row>
    <row r="11" spans="1:21" s="332" customFormat="1" outlineLevel="1">
      <c r="A11" s="331">
        <v>2006</v>
      </c>
      <c r="B11" s="81" t="s">
        <v>10</v>
      </c>
      <c r="C11" s="81" t="s">
        <v>10</v>
      </c>
      <c r="D11" s="81" t="s">
        <v>10</v>
      </c>
      <c r="E11" s="81" t="s">
        <v>10</v>
      </c>
      <c r="F11" s="81" t="s">
        <v>10</v>
      </c>
      <c r="G11" s="81" t="s">
        <v>10</v>
      </c>
      <c r="H11" s="81" t="s">
        <v>10</v>
      </c>
      <c r="I11" s="81" t="s">
        <v>10</v>
      </c>
      <c r="J11" s="81" t="s">
        <v>10</v>
      </c>
      <c r="K11" s="81" t="s">
        <v>10</v>
      </c>
      <c r="L11" s="129">
        <v>25604.7</v>
      </c>
      <c r="M11" s="169" t="s">
        <v>10</v>
      </c>
      <c r="N11" s="129">
        <v>99.3</v>
      </c>
      <c r="O11" s="129">
        <v>17.7</v>
      </c>
      <c r="P11" s="129">
        <v>8.9</v>
      </c>
      <c r="Q11" s="129" t="s">
        <v>9</v>
      </c>
      <c r="R11" s="129" t="s">
        <v>9</v>
      </c>
      <c r="S11" s="129" t="s">
        <v>9</v>
      </c>
      <c r="T11" s="129" t="s">
        <v>9</v>
      </c>
      <c r="U11" s="129" t="s">
        <v>9</v>
      </c>
    </row>
    <row r="12" spans="1:21">
      <c r="A12" s="263">
        <v>2007</v>
      </c>
      <c r="B12" s="81">
        <v>27998.5</v>
      </c>
      <c r="C12" s="81" t="s">
        <v>10</v>
      </c>
      <c r="D12" s="81">
        <v>82.2</v>
      </c>
      <c r="E12" s="81">
        <v>15.5</v>
      </c>
      <c r="F12" s="81">
        <v>6.9</v>
      </c>
      <c r="G12" s="81" t="s">
        <v>9</v>
      </c>
      <c r="H12" s="81" t="s">
        <v>9</v>
      </c>
      <c r="I12" s="81" t="s">
        <v>9</v>
      </c>
      <c r="J12" s="81" t="s">
        <v>9</v>
      </c>
      <c r="K12" s="81" t="s">
        <v>9</v>
      </c>
      <c r="L12" s="81">
        <v>27998.5</v>
      </c>
      <c r="M12" s="169" t="s">
        <v>10</v>
      </c>
      <c r="N12" s="81">
        <v>82.2</v>
      </c>
      <c r="O12" s="81">
        <v>15.5</v>
      </c>
      <c r="P12" s="81">
        <v>6.9</v>
      </c>
      <c r="Q12" s="81" t="s">
        <v>9</v>
      </c>
      <c r="R12" s="81" t="s">
        <v>9</v>
      </c>
      <c r="S12" s="81" t="s">
        <v>9</v>
      </c>
      <c r="T12" s="81" t="s">
        <v>9</v>
      </c>
      <c r="U12" s="81" t="s">
        <v>9</v>
      </c>
    </row>
    <row r="13" spans="1:21">
      <c r="A13" s="263">
        <v>2008</v>
      </c>
      <c r="B13" s="81">
        <v>29741.1</v>
      </c>
      <c r="C13" s="81" t="s">
        <v>10</v>
      </c>
      <c r="D13" s="81">
        <v>78.2</v>
      </c>
      <c r="E13" s="81">
        <v>15.6</v>
      </c>
      <c r="F13" s="81">
        <v>5</v>
      </c>
      <c r="G13" s="81" t="s">
        <v>9</v>
      </c>
      <c r="H13" s="81" t="s">
        <v>9</v>
      </c>
      <c r="I13" s="81" t="s">
        <v>9</v>
      </c>
      <c r="J13" s="81" t="s">
        <v>9</v>
      </c>
      <c r="K13" s="81" t="s">
        <v>9</v>
      </c>
      <c r="L13" s="81">
        <v>27711.9</v>
      </c>
      <c r="M13" s="169" t="s">
        <v>10</v>
      </c>
      <c r="N13" s="81">
        <v>89</v>
      </c>
      <c r="O13" s="81">
        <v>16.3</v>
      </c>
      <c r="P13" s="81">
        <v>5.9</v>
      </c>
      <c r="Q13" s="81" t="s">
        <v>9</v>
      </c>
      <c r="R13" s="81" t="s">
        <v>9</v>
      </c>
      <c r="S13" s="81" t="s">
        <v>9</v>
      </c>
      <c r="T13" s="81" t="s">
        <v>9</v>
      </c>
      <c r="U13" s="81" t="s">
        <v>9</v>
      </c>
    </row>
    <row r="14" spans="1:21">
      <c r="A14" s="263">
        <v>2009</v>
      </c>
      <c r="B14" s="81">
        <v>23225.3</v>
      </c>
      <c r="C14" s="81" t="s">
        <v>10</v>
      </c>
      <c r="D14" s="81">
        <v>51.6</v>
      </c>
      <c r="E14" s="81">
        <v>21</v>
      </c>
      <c r="F14" s="81">
        <v>7.6</v>
      </c>
      <c r="G14" s="81" t="s">
        <v>9</v>
      </c>
      <c r="H14" s="81" t="s">
        <v>9</v>
      </c>
      <c r="I14" s="81" t="s">
        <v>9</v>
      </c>
      <c r="J14" s="81" t="s">
        <v>9</v>
      </c>
      <c r="K14" s="81" t="s">
        <v>9</v>
      </c>
      <c r="L14" s="81">
        <v>24867.8</v>
      </c>
      <c r="M14" s="169" t="s">
        <v>10</v>
      </c>
      <c r="N14" s="81">
        <v>90.8</v>
      </c>
      <c r="O14" s="81">
        <v>17.7</v>
      </c>
      <c r="P14" s="81">
        <v>5.2</v>
      </c>
      <c r="Q14" s="81" t="s">
        <v>9</v>
      </c>
      <c r="R14" s="81" t="s">
        <v>9</v>
      </c>
      <c r="S14" s="81" t="s">
        <v>9</v>
      </c>
      <c r="T14" s="81" t="s">
        <v>9</v>
      </c>
      <c r="U14" s="81" t="s">
        <v>9</v>
      </c>
    </row>
    <row r="15" spans="1:21">
      <c r="A15" s="263">
        <v>2010</v>
      </c>
      <c r="B15" s="81">
        <v>27176</v>
      </c>
      <c r="C15" s="81" t="s">
        <v>10</v>
      </c>
      <c r="D15" s="81">
        <v>43.6</v>
      </c>
      <c r="E15" s="81">
        <v>24.6</v>
      </c>
      <c r="F15" s="81">
        <v>6.8</v>
      </c>
      <c r="G15" s="81" t="s">
        <v>9</v>
      </c>
      <c r="H15" s="81" t="s">
        <v>9</v>
      </c>
      <c r="I15" s="81" t="s">
        <v>9</v>
      </c>
      <c r="J15" s="81" t="s">
        <v>9</v>
      </c>
      <c r="K15" s="81" t="s">
        <v>9</v>
      </c>
      <c r="L15" s="81">
        <v>26271.8</v>
      </c>
      <c r="M15" s="169" t="s">
        <v>10</v>
      </c>
      <c r="N15" s="81">
        <v>73.3</v>
      </c>
      <c r="O15" s="81">
        <v>22.3</v>
      </c>
      <c r="P15" s="81">
        <v>6.3</v>
      </c>
      <c r="Q15" s="81" t="s">
        <v>9</v>
      </c>
      <c r="R15" s="81" t="s">
        <v>9</v>
      </c>
      <c r="S15" s="81" t="s">
        <v>9</v>
      </c>
      <c r="T15" s="81" t="s">
        <v>9</v>
      </c>
      <c r="U15" s="81" t="s">
        <v>9</v>
      </c>
    </row>
    <row r="16" spans="1:21">
      <c r="A16" s="263">
        <v>2011</v>
      </c>
      <c r="B16" s="81">
        <v>31550.5</v>
      </c>
      <c r="C16" s="81" t="s">
        <v>10</v>
      </c>
      <c r="D16" s="81">
        <v>43.9</v>
      </c>
      <c r="E16" s="81">
        <v>23.3</v>
      </c>
      <c r="F16" s="81">
        <v>8.1</v>
      </c>
      <c r="G16" s="81">
        <v>7.3</v>
      </c>
      <c r="H16" s="81">
        <v>7.8</v>
      </c>
      <c r="I16" s="81" t="s">
        <v>9</v>
      </c>
      <c r="J16" s="81" t="s">
        <v>9</v>
      </c>
      <c r="K16" s="81" t="s">
        <v>9</v>
      </c>
      <c r="L16" s="81">
        <v>27094.5</v>
      </c>
      <c r="M16" s="169" t="s">
        <v>10</v>
      </c>
      <c r="N16" s="81">
        <v>71.099999999999994</v>
      </c>
      <c r="O16" s="81">
        <v>21.5</v>
      </c>
      <c r="P16" s="81">
        <v>8.4</v>
      </c>
      <c r="Q16" s="81">
        <v>6.9</v>
      </c>
      <c r="R16" s="81">
        <v>6.6</v>
      </c>
      <c r="S16" s="81" t="s">
        <v>9</v>
      </c>
      <c r="T16" s="81" t="s">
        <v>9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25838.3</v>
      </c>
      <c r="M17" s="169" t="s">
        <v>10</v>
      </c>
      <c r="N17" s="81">
        <v>69.3</v>
      </c>
      <c r="O17" s="81">
        <v>21.8</v>
      </c>
      <c r="P17" s="81">
        <v>6.9</v>
      </c>
      <c r="Q17" s="81">
        <v>7.9</v>
      </c>
      <c r="R17" s="81">
        <v>7.2</v>
      </c>
      <c r="S17" s="81" t="s">
        <v>9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27717.9</v>
      </c>
      <c r="M18" s="169" t="s">
        <v>10</v>
      </c>
      <c r="N18" s="81">
        <v>68.2</v>
      </c>
      <c r="O18" s="81">
        <v>24.4</v>
      </c>
      <c r="P18" s="81">
        <v>7.8</v>
      </c>
      <c r="Q18" s="81">
        <v>8.9</v>
      </c>
      <c r="R18" s="81">
        <v>8</v>
      </c>
      <c r="S18" s="81" t="s">
        <v>9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2">
        <f>((L12/L5)^(1/7)-1)*100</f>
        <v>5.0517486513284693</v>
      </c>
      <c r="M21" s="284" t="s">
        <v>10</v>
      </c>
      <c r="N21" s="282">
        <f t="shared" ref="N21:O21" si="1">((N12/N5)^(1/7)-1)*100</f>
        <v>-3.0224762555718043</v>
      </c>
      <c r="O21" s="282">
        <f t="shared" si="1"/>
        <v>-3.6444976143520824</v>
      </c>
      <c r="P21" s="284" t="s">
        <v>10</v>
      </c>
      <c r="Q21" s="284" t="s">
        <v>10</v>
      </c>
      <c r="R21" s="284" t="s">
        <v>10</v>
      </c>
      <c r="S21" s="284" t="s">
        <v>10</v>
      </c>
      <c r="T21" s="284" t="s">
        <v>10</v>
      </c>
      <c r="U21" s="284" t="s">
        <v>10</v>
      </c>
    </row>
    <row r="22" spans="1:21">
      <c r="A22" s="260" t="s">
        <v>368</v>
      </c>
      <c r="B22" s="284">
        <f>((B15/B12)^(1/3)-1)*100</f>
        <v>-0.98896744877629006</v>
      </c>
      <c r="C22" s="284" t="s">
        <v>10</v>
      </c>
      <c r="D22" s="284">
        <f t="shared" ref="D22:P22" si="2">((D15/D12)^(1/3)-1)*100</f>
        <v>-19.052229713128931</v>
      </c>
      <c r="E22" s="284">
        <f t="shared" si="2"/>
        <v>16.645450022316545</v>
      </c>
      <c r="F22" s="284">
        <f t="shared" si="2"/>
        <v>-0.4854445381655581</v>
      </c>
      <c r="G22" s="284" t="s">
        <v>10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2"/>
        <v>-2.0994748428629029</v>
      </c>
      <c r="M22" s="284" t="s">
        <v>10</v>
      </c>
      <c r="N22" s="284">
        <f t="shared" si="2"/>
        <v>-3.747787979827033</v>
      </c>
      <c r="O22" s="284">
        <f t="shared" si="2"/>
        <v>12.890584496441381</v>
      </c>
      <c r="P22" s="284">
        <f t="shared" si="2"/>
        <v>-2.9868768149935887</v>
      </c>
      <c r="Q22" s="284" t="s">
        <v>10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P23" si="3">((L18/L15)^(1/3)-1)*100</f>
        <v>1.8021221760582629</v>
      </c>
      <c r="M23" s="284" t="s">
        <v>10</v>
      </c>
      <c r="N23" s="284">
        <f t="shared" si="3"/>
        <v>-2.375205355874066</v>
      </c>
      <c r="O23" s="284">
        <f t="shared" si="3"/>
        <v>3.0453315899644062</v>
      </c>
      <c r="P23" s="284">
        <f t="shared" si="3"/>
        <v>7.3786693294802586</v>
      </c>
      <c r="Q23" s="284" t="s">
        <v>10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5" si="4">IFERROR(((C18/C12)^(1/6)-1)*100,"n.a.")</f>
        <v>n.a.</v>
      </c>
      <c r="D24" s="192" t="str">
        <f t="shared" si="4"/>
        <v>n.a.</v>
      </c>
      <c r="E24" s="192" t="str">
        <f t="shared" si="4"/>
        <v>n.a.</v>
      </c>
      <c r="F24" s="192" t="str">
        <f t="shared" si="4"/>
        <v>n.a.</v>
      </c>
      <c r="G24" s="192" t="str">
        <f t="shared" si="4"/>
        <v>n.a.</v>
      </c>
      <c r="H24" s="192" t="str">
        <f t="shared" si="4"/>
        <v>n.a.</v>
      </c>
      <c r="I24" s="192" t="str">
        <f t="shared" si="4"/>
        <v>n.a.</v>
      </c>
      <c r="J24" s="192" t="str">
        <f t="shared" si="4"/>
        <v>n.a.</v>
      </c>
      <c r="K24" s="192" t="str">
        <f t="shared" si="4"/>
        <v>n.a.</v>
      </c>
      <c r="L24" s="192">
        <f t="shared" si="4"/>
        <v>-0.16773455867519216</v>
      </c>
      <c r="M24" s="192" t="str">
        <f t="shared" si="4"/>
        <v>n.a.</v>
      </c>
      <c r="N24" s="192">
        <f t="shared" si="4"/>
        <v>-3.063926051689847</v>
      </c>
      <c r="O24" s="192">
        <f t="shared" si="4"/>
        <v>7.8556800211314615</v>
      </c>
      <c r="P24" s="192">
        <f t="shared" si="4"/>
        <v>2.0643918078334433</v>
      </c>
      <c r="Q24" s="192" t="str">
        <f t="shared" si="4"/>
        <v>n.a.</v>
      </c>
      <c r="R24" s="192" t="str">
        <f t="shared" si="4"/>
        <v>n.a.</v>
      </c>
      <c r="S24" s="192" t="str">
        <f t="shared" si="4"/>
        <v>n.a.</v>
      </c>
      <c r="T24" s="192" t="str">
        <f t="shared" si="4"/>
        <v>n.a.</v>
      </c>
      <c r="U24" s="192" t="str">
        <f t="shared" si="4"/>
        <v>n.a.</v>
      </c>
    </row>
    <row r="25" spans="1:21" s="336" customFormat="1">
      <c r="A25" s="337" t="s">
        <v>15</v>
      </c>
      <c r="B25" s="192" t="s">
        <v>10</v>
      </c>
      <c r="C25" s="192" t="str">
        <f t="shared" si="4"/>
        <v>n.a.</v>
      </c>
      <c r="D25" s="192" t="s">
        <v>10</v>
      </c>
      <c r="E25" s="192" t="s">
        <v>10</v>
      </c>
      <c r="F25" s="192" t="s">
        <v>10</v>
      </c>
      <c r="G25" s="192" t="str">
        <f t="shared" si="4"/>
        <v>n.a.</v>
      </c>
      <c r="H25" s="192" t="str">
        <f t="shared" si="4"/>
        <v>n.a.</v>
      </c>
      <c r="I25" s="192" t="str">
        <f t="shared" si="4"/>
        <v>n.a.</v>
      </c>
      <c r="J25" s="192" t="str">
        <f t="shared" si="4"/>
        <v>n.a.</v>
      </c>
      <c r="K25" s="192" t="str">
        <f t="shared" si="4"/>
        <v>n.a.</v>
      </c>
      <c r="L25" s="192">
        <f>((L18/L5)^(1/13)-1)*100</f>
        <v>2.609684146903235</v>
      </c>
      <c r="M25" s="192" t="str">
        <f t="shared" si="4"/>
        <v>n.a.</v>
      </c>
      <c r="N25" s="192">
        <f t="shared" ref="N25:O25" si="5">((N18/N5)^(1/13)-1)*100</f>
        <v>-3.0416091326230466</v>
      </c>
      <c r="O25" s="192">
        <f t="shared" si="5"/>
        <v>1.50243099170837</v>
      </c>
      <c r="P25" s="192" t="s">
        <v>10</v>
      </c>
      <c r="Q25" s="192" t="str">
        <f t="shared" si="4"/>
        <v>n.a.</v>
      </c>
      <c r="R25" s="192" t="str">
        <f t="shared" si="4"/>
        <v>n.a.</v>
      </c>
      <c r="S25" s="192" t="str">
        <f t="shared" si="4"/>
        <v>n.a.</v>
      </c>
      <c r="T25" s="192" t="str">
        <f t="shared" si="4"/>
        <v>n.a.</v>
      </c>
      <c r="U25" s="192" t="str">
        <f t="shared" si="4"/>
        <v>n.a.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30" spans="1:2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</row>
    <row r="32" spans="1:21" ht="30" customHeight="1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</row>
    <row r="33" spans="1:21" ht="30" customHeight="1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</row>
  </sheetData>
  <mergeCells count="5">
    <mergeCell ref="A30:U30"/>
    <mergeCell ref="A1:U1"/>
    <mergeCell ref="B2:K2"/>
    <mergeCell ref="L2:U2"/>
    <mergeCell ref="A20:U20"/>
  </mergeCells>
  <printOptions gridLines="1"/>
  <pageMargins left="0.7" right="0.7" top="0.75" bottom="0.75" header="0.3" footer="0.3"/>
  <pageSetup scale="53" orientation="landscape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U33"/>
  <sheetViews>
    <sheetView view="pageBreakPreview" zoomScale="85" zoomScaleNormal="70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G29" sqref="G29"/>
    </sheetView>
  </sheetViews>
  <sheetFormatPr defaultRowHeight="15" outlineLevelRow="1"/>
  <cols>
    <col min="1" max="1" width="12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557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64" t="s">
        <v>5</v>
      </c>
      <c r="J3" s="264" t="s">
        <v>6</v>
      </c>
      <c r="K3" s="264" t="s">
        <v>7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64" t="s">
        <v>5</v>
      </c>
      <c r="T3" s="264" t="s">
        <v>6</v>
      </c>
      <c r="U3" s="264" t="s">
        <v>7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3583.1</v>
      </c>
      <c r="M5" s="169" t="s">
        <v>10</v>
      </c>
      <c r="N5" s="129">
        <v>6.5</v>
      </c>
      <c r="O5" s="129" t="s">
        <v>9</v>
      </c>
      <c r="P5" s="129" t="s">
        <v>9</v>
      </c>
      <c r="Q5" s="129" t="s">
        <v>9</v>
      </c>
      <c r="R5" s="129" t="s">
        <v>9</v>
      </c>
      <c r="S5" s="129" t="s">
        <v>9</v>
      </c>
      <c r="T5" s="129">
        <v>0.4</v>
      </c>
      <c r="U5" s="129" t="s">
        <v>9</v>
      </c>
    </row>
    <row r="6" spans="1:21" s="332" customFormat="1" outlineLevel="1">
      <c r="A6" s="33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3576.1</v>
      </c>
      <c r="M6" s="169" t="s">
        <v>10</v>
      </c>
      <c r="N6" s="129">
        <v>5.3</v>
      </c>
      <c r="O6" s="129">
        <v>13.2</v>
      </c>
      <c r="P6" s="129" t="s">
        <v>9</v>
      </c>
      <c r="Q6" s="129" t="s">
        <v>9</v>
      </c>
      <c r="R6" s="129" t="s">
        <v>9</v>
      </c>
      <c r="S6" s="129" t="s">
        <v>9</v>
      </c>
      <c r="T6" s="129">
        <v>0.4</v>
      </c>
      <c r="U6" s="129" t="s">
        <v>9</v>
      </c>
    </row>
    <row r="7" spans="1:21" s="332" customFormat="1" outlineLevel="1">
      <c r="A7" s="33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3740.1</v>
      </c>
      <c r="M7" s="169" t="s">
        <v>10</v>
      </c>
      <c r="N7" s="129">
        <v>5.7</v>
      </c>
      <c r="O7" s="129" t="s">
        <v>9</v>
      </c>
      <c r="P7" s="129" t="s">
        <v>9</v>
      </c>
      <c r="Q7" s="129">
        <v>1.4</v>
      </c>
      <c r="R7" s="129" t="s">
        <v>9</v>
      </c>
      <c r="S7" s="129" t="s">
        <v>9</v>
      </c>
      <c r="T7" s="129" t="s">
        <v>9</v>
      </c>
      <c r="U7" s="129" t="s">
        <v>9</v>
      </c>
    </row>
    <row r="8" spans="1:21" s="332" customFormat="1" outlineLevel="1">
      <c r="A8" s="33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3821.3</v>
      </c>
      <c r="M8" s="169">
        <f t="shared" ref="M8:M9" si="0">N8+O8+S8</f>
        <v>31.799999999999997</v>
      </c>
      <c r="N8" s="129">
        <v>7.2</v>
      </c>
      <c r="O8" s="129">
        <v>15.5</v>
      </c>
      <c r="P8" s="129">
        <v>5.3</v>
      </c>
      <c r="Q8" s="129" t="s">
        <v>9</v>
      </c>
      <c r="R8" s="129" t="s">
        <v>9</v>
      </c>
      <c r="S8" s="129">
        <v>9.1</v>
      </c>
      <c r="T8" s="129">
        <v>0</v>
      </c>
      <c r="U8" s="129">
        <v>9.1999999999999993</v>
      </c>
    </row>
    <row r="9" spans="1:21" s="332" customFormat="1" outlineLevel="1">
      <c r="A9" s="33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3930.6</v>
      </c>
      <c r="M9" s="169">
        <f t="shared" si="0"/>
        <v>32.200000000000003</v>
      </c>
      <c r="N9" s="129">
        <v>7.4</v>
      </c>
      <c r="O9" s="129">
        <v>15.7</v>
      </c>
      <c r="P9" s="129" t="s">
        <v>9</v>
      </c>
      <c r="Q9" s="129" t="s">
        <v>9</v>
      </c>
      <c r="R9" s="129" t="s">
        <v>9</v>
      </c>
      <c r="S9" s="129">
        <v>9.1</v>
      </c>
      <c r="T9" s="129">
        <v>0</v>
      </c>
      <c r="U9" s="129">
        <v>9.1999999999999993</v>
      </c>
    </row>
    <row r="10" spans="1:21" s="332" customFormat="1" outlineLevel="1">
      <c r="A10" s="33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3977.9</v>
      </c>
      <c r="M10" s="169" t="s">
        <v>10</v>
      </c>
      <c r="N10" s="129">
        <v>6.5</v>
      </c>
      <c r="O10" s="129">
        <v>16.7</v>
      </c>
      <c r="P10" s="129" t="s">
        <v>9</v>
      </c>
      <c r="Q10" s="129" t="s">
        <v>9</v>
      </c>
      <c r="R10" s="129" t="s">
        <v>9</v>
      </c>
      <c r="S10" s="129" t="s">
        <v>9</v>
      </c>
      <c r="T10" s="129">
        <v>0</v>
      </c>
      <c r="U10" s="129" t="s">
        <v>9</v>
      </c>
    </row>
    <row r="11" spans="1:21" s="332" customFormat="1" outlineLevel="1">
      <c r="A11" s="33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4128.3</v>
      </c>
      <c r="M11" s="169" t="s">
        <v>10</v>
      </c>
      <c r="N11" s="129">
        <v>5.8</v>
      </c>
      <c r="O11" s="129" t="s">
        <v>9</v>
      </c>
      <c r="P11" s="129" t="s">
        <v>9</v>
      </c>
      <c r="Q11" s="129" t="s">
        <v>9</v>
      </c>
      <c r="R11" s="129" t="s">
        <v>9</v>
      </c>
      <c r="S11" s="129" t="s">
        <v>9</v>
      </c>
      <c r="T11" s="129">
        <v>0</v>
      </c>
      <c r="U11" s="129" t="s">
        <v>9</v>
      </c>
    </row>
    <row r="12" spans="1:21">
      <c r="A12" s="263">
        <v>2007</v>
      </c>
      <c r="B12" s="81">
        <v>4216.7</v>
      </c>
      <c r="C12" s="81" t="s">
        <v>10</v>
      </c>
      <c r="D12" s="81">
        <v>5.7</v>
      </c>
      <c r="E12" s="81" t="s">
        <v>9</v>
      </c>
      <c r="F12" s="81">
        <v>2.2000000000000002</v>
      </c>
      <c r="G12" s="81" t="s">
        <v>9</v>
      </c>
      <c r="H12" s="81" t="s">
        <v>9</v>
      </c>
      <c r="I12" s="81" t="s">
        <v>9</v>
      </c>
      <c r="J12" s="81">
        <v>0</v>
      </c>
      <c r="K12" s="81" t="s">
        <v>9</v>
      </c>
      <c r="L12" s="81">
        <v>4216.7</v>
      </c>
      <c r="M12" s="169" t="s">
        <v>10</v>
      </c>
      <c r="N12" s="81">
        <v>5.7</v>
      </c>
      <c r="O12" s="81" t="s">
        <v>9</v>
      </c>
      <c r="P12" s="81">
        <v>2.2000000000000002</v>
      </c>
      <c r="Q12" s="81" t="s">
        <v>9</v>
      </c>
      <c r="R12" s="81" t="s">
        <v>9</v>
      </c>
      <c r="S12" s="81" t="s">
        <v>9</v>
      </c>
      <c r="T12" s="81">
        <v>0</v>
      </c>
      <c r="U12" s="81" t="s">
        <v>9</v>
      </c>
    </row>
    <row r="13" spans="1:21">
      <c r="A13" s="263">
        <v>2008</v>
      </c>
      <c r="B13" s="81">
        <v>4365.8999999999996</v>
      </c>
      <c r="C13" s="81" t="s">
        <v>10</v>
      </c>
      <c r="D13" s="81">
        <v>4.5</v>
      </c>
      <c r="E13" s="81" t="s">
        <v>9</v>
      </c>
      <c r="F13" s="81" t="s">
        <v>9</v>
      </c>
      <c r="G13" s="81" t="s">
        <v>9</v>
      </c>
      <c r="H13" s="81" t="s">
        <v>9</v>
      </c>
      <c r="I13" s="81" t="s">
        <v>9</v>
      </c>
      <c r="J13" s="81">
        <v>0</v>
      </c>
      <c r="K13" s="81" t="s">
        <v>9</v>
      </c>
      <c r="L13" s="81">
        <v>4254.5</v>
      </c>
      <c r="M13" s="169" t="s">
        <v>10</v>
      </c>
      <c r="N13" s="81">
        <v>4</v>
      </c>
      <c r="O13" s="81" t="s">
        <v>9</v>
      </c>
      <c r="P13" s="81" t="s">
        <v>9</v>
      </c>
      <c r="Q13" s="81" t="s">
        <v>9</v>
      </c>
      <c r="R13" s="81" t="s">
        <v>9</v>
      </c>
      <c r="S13" s="81" t="s">
        <v>9</v>
      </c>
      <c r="T13" s="81">
        <v>0</v>
      </c>
      <c r="U13" s="81" t="s">
        <v>9</v>
      </c>
    </row>
    <row r="14" spans="1:21">
      <c r="A14" s="263">
        <v>2009</v>
      </c>
      <c r="B14" s="81">
        <v>4570.1000000000004</v>
      </c>
      <c r="C14" s="81" t="s">
        <v>10</v>
      </c>
      <c r="D14" s="81">
        <v>2.8</v>
      </c>
      <c r="E14" s="81" t="s">
        <v>9</v>
      </c>
      <c r="F14" s="81" t="s">
        <v>9</v>
      </c>
      <c r="G14" s="81" t="s">
        <v>9</v>
      </c>
      <c r="H14" s="81" t="s">
        <v>9</v>
      </c>
      <c r="I14" s="81" t="s">
        <v>9</v>
      </c>
      <c r="J14" s="81">
        <v>0</v>
      </c>
      <c r="K14" s="81" t="s">
        <v>9</v>
      </c>
      <c r="L14" s="81">
        <v>4273.3</v>
      </c>
      <c r="M14" s="169" t="s">
        <v>10</v>
      </c>
      <c r="N14" s="81">
        <v>3.2</v>
      </c>
      <c r="O14" s="81" t="s">
        <v>9</v>
      </c>
      <c r="P14" s="81" t="s">
        <v>9</v>
      </c>
      <c r="Q14" s="81" t="s">
        <v>9</v>
      </c>
      <c r="R14" s="81" t="s">
        <v>9</v>
      </c>
      <c r="S14" s="81" t="s">
        <v>9</v>
      </c>
      <c r="T14" s="81">
        <v>0</v>
      </c>
      <c r="U14" s="81" t="s">
        <v>9</v>
      </c>
    </row>
    <row r="15" spans="1:21">
      <c r="A15" s="263">
        <v>2010</v>
      </c>
      <c r="B15" s="81">
        <v>4824.3</v>
      </c>
      <c r="C15" s="81" t="s">
        <v>10</v>
      </c>
      <c r="D15" s="81">
        <v>3</v>
      </c>
      <c r="E15" s="81" t="s">
        <v>9</v>
      </c>
      <c r="F15" s="81" t="s">
        <v>9</v>
      </c>
      <c r="G15" s="81" t="s">
        <v>9</v>
      </c>
      <c r="H15" s="81" t="s">
        <v>9</v>
      </c>
      <c r="I15" s="81" t="s">
        <v>9</v>
      </c>
      <c r="J15" s="81">
        <v>0</v>
      </c>
      <c r="K15" s="81" t="s">
        <v>9</v>
      </c>
      <c r="L15" s="81">
        <v>4359.6000000000004</v>
      </c>
      <c r="M15" s="169" t="s">
        <v>10</v>
      </c>
      <c r="N15" s="81">
        <v>3.4</v>
      </c>
      <c r="O15" s="81" t="s">
        <v>9</v>
      </c>
      <c r="P15" s="81" t="s">
        <v>9</v>
      </c>
      <c r="Q15" s="81" t="s">
        <v>9</v>
      </c>
      <c r="R15" s="81" t="s">
        <v>9</v>
      </c>
      <c r="S15" s="81" t="s">
        <v>9</v>
      </c>
      <c r="T15" s="81">
        <v>0</v>
      </c>
      <c r="U15" s="81" t="s">
        <v>9</v>
      </c>
    </row>
    <row r="16" spans="1:21" ht="18" customHeight="1">
      <c r="A16" s="263">
        <v>2011</v>
      </c>
      <c r="B16" s="81">
        <v>5023.8</v>
      </c>
      <c r="C16" s="81" t="s">
        <v>10</v>
      </c>
      <c r="D16" s="81">
        <v>3.4</v>
      </c>
      <c r="E16" s="81" t="s">
        <v>9</v>
      </c>
      <c r="F16" s="81" t="s">
        <v>9</v>
      </c>
      <c r="G16" s="81" t="s">
        <v>9</v>
      </c>
      <c r="H16" s="81" t="s">
        <v>9</v>
      </c>
      <c r="I16" s="81" t="s">
        <v>9</v>
      </c>
      <c r="J16" s="81">
        <v>0</v>
      </c>
      <c r="K16" s="81" t="s">
        <v>9</v>
      </c>
      <c r="L16" s="81">
        <v>4437.5</v>
      </c>
      <c r="M16" s="169" t="s">
        <v>10</v>
      </c>
      <c r="N16" s="81">
        <v>3.7</v>
      </c>
      <c r="O16" s="81" t="s">
        <v>9</v>
      </c>
      <c r="P16" s="81" t="s">
        <v>9</v>
      </c>
      <c r="Q16" s="81" t="s">
        <v>9</v>
      </c>
      <c r="R16" s="81" t="s">
        <v>9</v>
      </c>
      <c r="S16" s="81" t="s">
        <v>9</v>
      </c>
      <c r="T16" s="81">
        <v>0</v>
      </c>
      <c r="U16" s="81" t="s">
        <v>9</v>
      </c>
    </row>
    <row r="17" spans="1:21" ht="18" customHeight="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4486.8</v>
      </c>
      <c r="M17" s="169" t="s">
        <v>10</v>
      </c>
      <c r="N17" s="81">
        <v>3.7</v>
      </c>
      <c r="O17" s="81" t="s">
        <v>9</v>
      </c>
      <c r="P17" s="81" t="s">
        <v>9</v>
      </c>
      <c r="Q17" s="81" t="s">
        <v>9</v>
      </c>
      <c r="R17" s="81" t="s">
        <v>9</v>
      </c>
      <c r="S17" s="81" t="s">
        <v>9</v>
      </c>
      <c r="T17" s="81">
        <v>0</v>
      </c>
      <c r="U17" s="81" t="s">
        <v>9</v>
      </c>
    </row>
    <row r="18" spans="1:21" ht="18" customHeight="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4585</v>
      </c>
      <c r="M18" s="169" t="s">
        <v>10</v>
      </c>
      <c r="N18" s="81">
        <v>4.9000000000000004</v>
      </c>
      <c r="O18" s="81" t="s">
        <v>9</v>
      </c>
      <c r="P18" s="81" t="s">
        <v>9</v>
      </c>
      <c r="Q18" s="81" t="s">
        <v>9</v>
      </c>
      <c r="R18" s="81" t="s">
        <v>9</v>
      </c>
      <c r="S18" s="81" t="s">
        <v>9</v>
      </c>
      <c r="T18" s="81">
        <v>0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2">
        <f>((L12/L5)^(1/7)-1)*100</f>
        <v>2.3533279098396642</v>
      </c>
      <c r="M21" s="284" t="s">
        <v>10</v>
      </c>
      <c r="N21" s="282">
        <f t="shared" ref="N21" si="1">((N12/N5)^(1/7)-1)*100</f>
        <v>-1.8587369970430423</v>
      </c>
      <c r="O21" s="284" t="s">
        <v>10</v>
      </c>
      <c r="P21" s="284" t="s">
        <v>10</v>
      </c>
      <c r="Q21" s="284" t="s">
        <v>10</v>
      </c>
      <c r="R21" s="284" t="s">
        <v>10</v>
      </c>
      <c r="S21" s="284" t="s">
        <v>10</v>
      </c>
      <c r="T21" s="284" t="s">
        <v>10</v>
      </c>
      <c r="U21" s="284" t="s">
        <v>10</v>
      </c>
    </row>
    <row r="22" spans="1:21">
      <c r="A22" s="260" t="s">
        <v>368</v>
      </c>
      <c r="B22" s="284">
        <f>((B15/B12)^(1/3)-1)*100</f>
        <v>4.5892866497954765</v>
      </c>
      <c r="C22" s="284" t="s">
        <v>10</v>
      </c>
      <c r="D22" s="284">
        <f t="shared" ref="D22:N22" si="2">((D15/D12)^(1/3)-1)*100</f>
        <v>-19.261229243214949</v>
      </c>
      <c r="E22" s="284" t="s">
        <v>10</v>
      </c>
      <c r="F22" s="284" t="s">
        <v>10</v>
      </c>
      <c r="G22" s="284" t="s">
        <v>10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2"/>
        <v>1.1171095324873148</v>
      </c>
      <c r="M22" s="284" t="s">
        <v>10</v>
      </c>
      <c r="N22" s="284">
        <f t="shared" si="2"/>
        <v>-15.821466831615883</v>
      </c>
      <c r="O22" s="284" t="s">
        <v>10</v>
      </c>
      <c r="P22" s="284" t="s">
        <v>10</v>
      </c>
      <c r="Q22" s="284" t="s">
        <v>10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N23" si="3">((L18/L15)^(1/3)-1)*100</f>
        <v>1.6945234152045519</v>
      </c>
      <c r="M23" s="284" t="s">
        <v>10</v>
      </c>
      <c r="N23" s="284">
        <f t="shared" si="3"/>
        <v>12.955067905975316</v>
      </c>
      <c r="O23" s="284" t="s">
        <v>10</v>
      </c>
      <c r="P23" s="284" t="s">
        <v>10</v>
      </c>
      <c r="Q23" s="284" t="s">
        <v>10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5" si="4">IFERROR(((C18/C12)^(1/6)-1)*100,"n.a.")</f>
        <v>n.a.</v>
      </c>
      <c r="D24" s="192" t="str">
        <f t="shared" si="4"/>
        <v>n.a.</v>
      </c>
      <c r="E24" s="192" t="str">
        <f t="shared" si="4"/>
        <v>n.a.</v>
      </c>
      <c r="F24" s="192" t="str">
        <f t="shared" si="4"/>
        <v>n.a.</v>
      </c>
      <c r="G24" s="192" t="str">
        <f t="shared" si="4"/>
        <v>n.a.</v>
      </c>
      <c r="H24" s="192" t="str">
        <f t="shared" si="4"/>
        <v>n.a.</v>
      </c>
      <c r="I24" s="192" t="str">
        <f t="shared" si="4"/>
        <v>n.a.</v>
      </c>
      <c r="J24" s="192" t="str">
        <f t="shared" si="4"/>
        <v>n.a.</v>
      </c>
      <c r="K24" s="192" t="str">
        <f t="shared" si="4"/>
        <v>n.a.</v>
      </c>
      <c r="L24" s="192">
        <f t="shared" si="4"/>
        <v>1.4054054921597059</v>
      </c>
      <c r="M24" s="192" t="str">
        <f t="shared" si="4"/>
        <v>n.a.</v>
      </c>
      <c r="N24" s="192">
        <f t="shared" si="4"/>
        <v>-2.4890163609236127</v>
      </c>
      <c r="O24" s="192" t="str">
        <f t="shared" si="4"/>
        <v>n.a.</v>
      </c>
      <c r="P24" s="192" t="str">
        <f t="shared" si="4"/>
        <v>n.a.</v>
      </c>
      <c r="Q24" s="192" t="str">
        <f t="shared" si="4"/>
        <v>n.a.</v>
      </c>
      <c r="R24" s="192" t="str">
        <f t="shared" si="4"/>
        <v>n.a.</v>
      </c>
      <c r="S24" s="192" t="str">
        <f t="shared" si="4"/>
        <v>n.a.</v>
      </c>
      <c r="T24" s="192" t="str">
        <f t="shared" si="4"/>
        <v>n.a.</v>
      </c>
      <c r="U24" s="192" t="str">
        <f t="shared" si="4"/>
        <v>n.a.</v>
      </c>
    </row>
    <row r="25" spans="1:21" s="339" customFormat="1">
      <c r="A25" s="341" t="s">
        <v>15</v>
      </c>
      <c r="B25" s="192" t="s">
        <v>10</v>
      </c>
      <c r="C25" s="192" t="str">
        <f t="shared" si="4"/>
        <v>n.a.</v>
      </c>
      <c r="D25" s="192" t="s">
        <v>10</v>
      </c>
      <c r="E25" s="192" t="str">
        <f t="shared" si="4"/>
        <v>n.a.</v>
      </c>
      <c r="F25" s="192" t="str">
        <f t="shared" si="4"/>
        <v>n.a.</v>
      </c>
      <c r="G25" s="192" t="str">
        <f t="shared" si="4"/>
        <v>n.a.</v>
      </c>
      <c r="H25" s="192" t="str">
        <f t="shared" si="4"/>
        <v>n.a.</v>
      </c>
      <c r="I25" s="192" t="str">
        <f t="shared" si="4"/>
        <v>n.a.</v>
      </c>
      <c r="J25" s="192" t="str">
        <f t="shared" si="4"/>
        <v>n.a.</v>
      </c>
      <c r="K25" s="192" t="str">
        <f t="shared" si="4"/>
        <v>n.a.</v>
      </c>
      <c r="L25" s="192">
        <f t="shared" ref="L25:N25" si="5">((L18/L5)^(1/13)-1)*100</f>
        <v>1.9147291658199173</v>
      </c>
      <c r="M25" s="192" t="str">
        <f t="shared" si="4"/>
        <v>n.a.</v>
      </c>
      <c r="N25" s="192">
        <f t="shared" si="5"/>
        <v>-2.1501398041182895</v>
      </c>
      <c r="O25" s="192" t="str">
        <f t="shared" si="4"/>
        <v>n.a.</v>
      </c>
      <c r="P25" s="192" t="str">
        <f t="shared" si="4"/>
        <v>n.a.</v>
      </c>
      <c r="Q25" s="192" t="str">
        <f t="shared" si="4"/>
        <v>n.a.</v>
      </c>
      <c r="R25" s="192" t="str">
        <f t="shared" si="4"/>
        <v>n.a.</v>
      </c>
      <c r="S25" s="192" t="str">
        <f t="shared" si="4"/>
        <v>n.a.</v>
      </c>
      <c r="T25" s="192" t="str">
        <f t="shared" si="4"/>
        <v>n.a.</v>
      </c>
      <c r="U25" s="192" t="str">
        <f t="shared" si="4"/>
        <v>n.a.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30" spans="1:2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3" spans="1:21" ht="30" customHeight="1">
      <c r="A33" s="490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</row>
  </sheetData>
  <mergeCells count="8">
    <mergeCell ref="A33:U33"/>
    <mergeCell ref="A1:U1"/>
    <mergeCell ref="B2:K2"/>
    <mergeCell ref="L2:U2"/>
    <mergeCell ref="A20:U20"/>
    <mergeCell ref="A30:U30"/>
    <mergeCell ref="A31:U31"/>
    <mergeCell ref="A32:U32"/>
  </mergeCells>
  <printOptions gridLines="1"/>
  <pageMargins left="0.7" right="0.7" top="0.75" bottom="0.75" header="0.3" footer="0.3"/>
  <pageSetup scale="57" orientation="landscape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U32"/>
  <sheetViews>
    <sheetView view="pageBreakPreview" zoomScale="85" zoomScaleNormal="70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sqref="A1:U1"/>
    </sheetView>
  </sheetViews>
  <sheetFormatPr defaultRowHeight="15" outlineLevelRow="1"/>
  <cols>
    <col min="1" max="1" width="12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560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27102</v>
      </c>
      <c r="M5" s="169">
        <f>N5+O5+S5</f>
        <v>402.5</v>
      </c>
      <c r="N5" s="129">
        <v>96.8</v>
      </c>
      <c r="O5" s="129">
        <v>137.9</v>
      </c>
      <c r="P5" s="129">
        <v>115.7</v>
      </c>
      <c r="Q5" s="129" t="s">
        <v>9</v>
      </c>
      <c r="R5" s="129" t="s">
        <v>9</v>
      </c>
      <c r="S5" s="129">
        <v>167.8</v>
      </c>
      <c r="T5" s="129" t="s">
        <v>9</v>
      </c>
      <c r="U5" s="129" t="s">
        <v>9</v>
      </c>
    </row>
    <row r="6" spans="1:21" s="332" customFormat="1" outlineLevel="1">
      <c r="A6" s="33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28036.7</v>
      </c>
      <c r="M6" s="169">
        <f t="shared" ref="M6:M8" si="0">N6+O6+S6</f>
        <v>460.20000000000005</v>
      </c>
      <c r="N6" s="129">
        <v>111.8</v>
      </c>
      <c r="O6" s="129">
        <v>132.30000000000001</v>
      </c>
      <c r="P6" s="129">
        <v>96.9</v>
      </c>
      <c r="Q6" s="129" t="s">
        <v>9</v>
      </c>
      <c r="R6" s="129" t="s">
        <v>9</v>
      </c>
      <c r="S6" s="129">
        <v>216.1</v>
      </c>
      <c r="T6" s="129" t="s">
        <v>9</v>
      </c>
      <c r="U6" s="129" t="s">
        <v>9</v>
      </c>
    </row>
    <row r="7" spans="1:21" s="332" customFormat="1" outlineLevel="1">
      <c r="A7" s="33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29154</v>
      </c>
      <c r="M7" s="169">
        <f t="shared" si="0"/>
        <v>495.6</v>
      </c>
      <c r="N7" s="129">
        <v>121.9</v>
      </c>
      <c r="O7" s="129">
        <v>180.2</v>
      </c>
      <c r="P7" s="129">
        <v>125.7</v>
      </c>
      <c r="Q7" s="129" t="s">
        <v>9</v>
      </c>
      <c r="R7" s="129" t="s">
        <v>9</v>
      </c>
      <c r="S7" s="129">
        <v>193.5</v>
      </c>
      <c r="T7" s="129" t="s">
        <v>9</v>
      </c>
      <c r="U7" s="129" t="s">
        <v>9</v>
      </c>
    </row>
    <row r="8" spans="1:21" s="332" customFormat="1" outlineLevel="1">
      <c r="A8" s="33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29650.1</v>
      </c>
      <c r="M8" s="169">
        <f t="shared" si="0"/>
        <v>478.2</v>
      </c>
      <c r="N8" s="129">
        <v>112.2</v>
      </c>
      <c r="O8" s="129">
        <v>184.7</v>
      </c>
      <c r="P8" s="129" t="s">
        <v>9</v>
      </c>
      <c r="Q8" s="129" t="s">
        <v>9</v>
      </c>
      <c r="R8" s="129" t="s">
        <v>9</v>
      </c>
      <c r="S8" s="129">
        <v>181.3</v>
      </c>
      <c r="T8" s="129" t="s">
        <v>9</v>
      </c>
      <c r="U8" s="129" t="s">
        <v>9</v>
      </c>
    </row>
    <row r="9" spans="1:21" s="332" customFormat="1" outlineLevel="1">
      <c r="A9" s="33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29993.9</v>
      </c>
      <c r="M9" s="169" t="s">
        <v>10</v>
      </c>
      <c r="N9" s="129">
        <v>104.5</v>
      </c>
      <c r="O9" s="129">
        <v>188.6</v>
      </c>
      <c r="P9" s="129" t="s">
        <v>9</v>
      </c>
      <c r="Q9" s="129" t="s">
        <v>9</v>
      </c>
      <c r="R9" s="129" t="s">
        <v>9</v>
      </c>
      <c r="S9" s="129" t="s">
        <v>9</v>
      </c>
      <c r="T9" s="129" t="s">
        <v>9</v>
      </c>
      <c r="U9" s="129" t="s">
        <v>9</v>
      </c>
    </row>
    <row r="10" spans="1:21" s="332" customFormat="1" outlineLevel="1">
      <c r="A10" s="33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30410.3</v>
      </c>
      <c r="M10" s="169" t="s">
        <v>10</v>
      </c>
      <c r="N10" s="129">
        <v>102.8</v>
      </c>
      <c r="O10" s="129">
        <v>191.4</v>
      </c>
      <c r="P10" s="129" t="s">
        <v>9</v>
      </c>
      <c r="Q10" s="129" t="s">
        <v>9</v>
      </c>
      <c r="R10" s="129" t="s">
        <v>9</v>
      </c>
      <c r="S10" s="129" t="s">
        <v>9</v>
      </c>
      <c r="T10" s="129" t="s">
        <v>9</v>
      </c>
      <c r="U10" s="129" t="s">
        <v>9</v>
      </c>
    </row>
    <row r="11" spans="1:21" s="332" customFormat="1" outlineLevel="1">
      <c r="A11" s="33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30606.400000000001</v>
      </c>
      <c r="M11" s="169" t="s">
        <v>10</v>
      </c>
      <c r="N11" s="129">
        <v>89.5</v>
      </c>
      <c r="O11" s="129">
        <v>176.4</v>
      </c>
      <c r="P11" s="129" t="s">
        <v>9</v>
      </c>
      <c r="Q11" s="129" t="s">
        <v>9</v>
      </c>
      <c r="R11" s="129">
        <v>32.799999999999997</v>
      </c>
      <c r="S11" s="129" t="s">
        <v>9</v>
      </c>
      <c r="T11" s="129" t="s">
        <v>9</v>
      </c>
      <c r="U11" s="129" t="s">
        <v>9</v>
      </c>
    </row>
    <row r="12" spans="1:21">
      <c r="A12" s="263">
        <v>2007</v>
      </c>
      <c r="B12" s="81">
        <v>31110.5</v>
      </c>
      <c r="C12" s="81" t="s">
        <v>10</v>
      </c>
      <c r="D12" s="81">
        <v>83.4</v>
      </c>
      <c r="E12" s="81">
        <v>164.7</v>
      </c>
      <c r="F12" s="81">
        <v>95.5</v>
      </c>
      <c r="G12" s="81">
        <v>40.799999999999997</v>
      </c>
      <c r="H12" s="81">
        <v>28.4</v>
      </c>
      <c r="I12" s="81" t="s">
        <v>9</v>
      </c>
      <c r="J12" s="81" t="s">
        <v>9</v>
      </c>
      <c r="K12" s="81" t="s">
        <v>9</v>
      </c>
      <c r="L12" s="81">
        <v>31110.5</v>
      </c>
      <c r="M12" s="169" t="s">
        <v>10</v>
      </c>
      <c r="N12" s="81">
        <v>83.4</v>
      </c>
      <c r="O12" s="81">
        <v>164.7</v>
      </c>
      <c r="P12" s="81">
        <v>95.5</v>
      </c>
      <c r="Q12" s="81">
        <v>40.799999999999997</v>
      </c>
      <c r="R12" s="81">
        <v>28.4</v>
      </c>
      <c r="S12" s="81" t="s">
        <v>9</v>
      </c>
      <c r="T12" s="81" t="s">
        <v>9</v>
      </c>
      <c r="U12" s="81" t="s">
        <v>9</v>
      </c>
    </row>
    <row r="13" spans="1:21">
      <c r="A13" s="263">
        <v>2008</v>
      </c>
      <c r="B13" s="81">
        <v>32712.799999999999</v>
      </c>
      <c r="C13" s="81" t="s">
        <v>10</v>
      </c>
      <c r="D13" s="81">
        <v>76.3</v>
      </c>
      <c r="E13" s="81">
        <v>158.9</v>
      </c>
      <c r="F13" s="81">
        <v>87.8</v>
      </c>
      <c r="G13" s="81">
        <v>41.5</v>
      </c>
      <c r="H13" s="81">
        <v>29.6</v>
      </c>
      <c r="I13" s="81" t="s">
        <v>9</v>
      </c>
      <c r="J13" s="81" t="s">
        <v>9</v>
      </c>
      <c r="K13" s="81" t="s">
        <v>9</v>
      </c>
      <c r="L13" s="81">
        <v>31765.4</v>
      </c>
      <c r="M13" s="169" t="s">
        <v>10</v>
      </c>
      <c r="N13" s="81">
        <v>86.6</v>
      </c>
      <c r="O13" s="81">
        <v>164.8</v>
      </c>
      <c r="P13" s="81">
        <v>93.2</v>
      </c>
      <c r="Q13" s="81">
        <v>43</v>
      </c>
      <c r="R13" s="81">
        <v>28.6</v>
      </c>
      <c r="S13" s="81" t="s">
        <v>9</v>
      </c>
      <c r="T13" s="81" t="s">
        <v>9</v>
      </c>
      <c r="U13" s="81" t="s">
        <v>9</v>
      </c>
    </row>
    <row r="14" spans="1:21">
      <c r="A14" s="263">
        <v>2009</v>
      </c>
      <c r="B14" s="81">
        <v>32351.599999999999</v>
      </c>
      <c r="C14" s="81" t="s">
        <v>10</v>
      </c>
      <c r="D14" s="81">
        <v>77.599999999999994</v>
      </c>
      <c r="E14" s="81">
        <v>155.5</v>
      </c>
      <c r="F14" s="81">
        <v>95.1</v>
      </c>
      <c r="G14" s="81">
        <v>34</v>
      </c>
      <c r="H14" s="81">
        <v>26.3</v>
      </c>
      <c r="I14" s="81" t="s">
        <v>9</v>
      </c>
      <c r="J14" s="81" t="s">
        <v>9</v>
      </c>
      <c r="K14" s="81" t="s">
        <v>9</v>
      </c>
      <c r="L14" s="81">
        <v>31806.6</v>
      </c>
      <c r="M14" s="169" t="s">
        <v>10</v>
      </c>
      <c r="N14" s="81">
        <v>69.2</v>
      </c>
      <c r="O14" s="81">
        <v>154</v>
      </c>
      <c r="P14" s="81">
        <v>87.9</v>
      </c>
      <c r="Q14" s="81">
        <v>38.5</v>
      </c>
      <c r="R14" s="81">
        <v>27.4</v>
      </c>
      <c r="S14" s="81" t="s">
        <v>9</v>
      </c>
      <c r="T14" s="81" t="s">
        <v>9</v>
      </c>
      <c r="U14" s="81" t="s">
        <v>9</v>
      </c>
    </row>
    <row r="15" spans="1:21">
      <c r="A15" s="263">
        <v>2010</v>
      </c>
      <c r="B15" s="81">
        <v>33854.1</v>
      </c>
      <c r="C15" s="81" t="s">
        <v>10</v>
      </c>
      <c r="D15" s="81">
        <v>85.2</v>
      </c>
      <c r="E15" s="81">
        <v>153.69999999999999</v>
      </c>
      <c r="F15" s="81" t="s">
        <v>9</v>
      </c>
      <c r="G15" s="81">
        <v>37.799999999999997</v>
      </c>
      <c r="H15" s="81" t="s">
        <v>9</v>
      </c>
      <c r="I15" s="81" t="s">
        <v>9</v>
      </c>
      <c r="J15" s="81" t="s">
        <v>9</v>
      </c>
      <c r="K15" s="81" t="s">
        <v>9</v>
      </c>
      <c r="L15" s="81">
        <v>32698</v>
      </c>
      <c r="M15" s="169" t="s">
        <v>10</v>
      </c>
      <c r="N15" s="81">
        <v>79.099999999999994</v>
      </c>
      <c r="O15" s="81">
        <v>172.1</v>
      </c>
      <c r="P15" s="81" t="s">
        <v>9</v>
      </c>
      <c r="Q15" s="81">
        <v>39.5</v>
      </c>
      <c r="R15" s="81" t="s">
        <v>9</v>
      </c>
      <c r="S15" s="81" t="s">
        <v>9</v>
      </c>
      <c r="T15" s="81" t="s">
        <v>9</v>
      </c>
      <c r="U15" s="81" t="s">
        <v>9</v>
      </c>
    </row>
    <row r="16" spans="1:21">
      <c r="A16" s="263">
        <v>2011</v>
      </c>
      <c r="B16" s="81">
        <v>35005</v>
      </c>
      <c r="C16" s="81" t="s">
        <v>10</v>
      </c>
      <c r="D16" s="81">
        <v>80.400000000000006</v>
      </c>
      <c r="E16" s="81">
        <v>105</v>
      </c>
      <c r="F16" s="81" t="s">
        <v>9</v>
      </c>
      <c r="G16" s="81" t="s">
        <v>9</v>
      </c>
      <c r="H16" s="81" t="s">
        <v>9</v>
      </c>
      <c r="I16" s="81" t="s">
        <v>9</v>
      </c>
      <c r="J16" s="81" t="s">
        <v>9</v>
      </c>
      <c r="K16" s="81" t="s">
        <v>9</v>
      </c>
      <c r="L16" s="81">
        <v>32849.4</v>
      </c>
      <c r="M16" s="169" t="s">
        <v>10</v>
      </c>
      <c r="N16" s="81">
        <v>70.5</v>
      </c>
      <c r="O16" s="81">
        <v>165.5</v>
      </c>
      <c r="P16" s="81" t="s">
        <v>9</v>
      </c>
      <c r="Q16" s="81" t="s">
        <v>9</v>
      </c>
      <c r="R16" s="81" t="s">
        <v>9</v>
      </c>
      <c r="S16" s="81" t="s">
        <v>9</v>
      </c>
      <c r="T16" s="81" t="s">
        <v>9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32822.800000000003</v>
      </c>
      <c r="M17" s="169" t="s">
        <v>10</v>
      </c>
      <c r="N17" s="81">
        <v>50.5</v>
      </c>
      <c r="O17" s="81">
        <v>150.5</v>
      </c>
      <c r="P17" s="81" t="s">
        <v>9</v>
      </c>
      <c r="Q17" s="81">
        <v>33.6</v>
      </c>
      <c r="R17" s="81" t="s">
        <v>9</v>
      </c>
      <c r="S17" s="81" t="s">
        <v>9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32960.699999999997</v>
      </c>
      <c r="M18" s="169" t="s">
        <v>10</v>
      </c>
      <c r="N18" s="81">
        <v>50.3</v>
      </c>
      <c r="O18" s="81">
        <v>142.4</v>
      </c>
      <c r="P18" s="81" t="s">
        <v>9</v>
      </c>
      <c r="Q18" s="81">
        <v>32.299999999999997</v>
      </c>
      <c r="R18" s="81" t="s">
        <v>9</v>
      </c>
      <c r="S18" s="81" t="s">
        <v>9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1.990084126662417</v>
      </c>
      <c r="M21" s="284" t="s">
        <v>10</v>
      </c>
      <c r="N21" s="284">
        <f t="shared" ref="N21:P21" si="1">((N12/N5)^(1/7)-1)*100</f>
        <v>-2.1060588401010549</v>
      </c>
      <c r="O21" s="284">
        <f t="shared" si="1"/>
        <v>2.5695561375751019</v>
      </c>
      <c r="P21" s="284">
        <f t="shared" si="1"/>
        <v>-2.703836451410413</v>
      </c>
      <c r="Q21" s="284" t="s">
        <v>10</v>
      </c>
      <c r="R21" s="284" t="s">
        <v>10</v>
      </c>
      <c r="S21" s="284" t="s">
        <v>10</v>
      </c>
      <c r="T21" s="284" t="s">
        <v>10</v>
      </c>
      <c r="U21" s="284" t="s">
        <v>10</v>
      </c>
    </row>
    <row r="22" spans="1:21">
      <c r="A22" s="260" t="s">
        <v>368</v>
      </c>
      <c r="B22" s="284">
        <f>((B15/B12)^(1/3)-1)*100</f>
        <v>2.8572148894030258</v>
      </c>
      <c r="C22" s="284" t="s">
        <v>10</v>
      </c>
      <c r="D22" s="284">
        <f t="shared" ref="D22:Q22" si="2">((D15/D12)^(1/3)-1)*100</f>
        <v>0.71430992479355471</v>
      </c>
      <c r="E22" s="284">
        <f t="shared" si="2"/>
        <v>-2.2777578814971333</v>
      </c>
      <c r="F22" s="284" t="s">
        <v>10</v>
      </c>
      <c r="G22" s="284">
        <f t="shared" si="2"/>
        <v>-2.5136345785992775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2"/>
        <v>1.6727880422296781</v>
      </c>
      <c r="M22" s="284" t="s">
        <v>10</v>
      </c>
      <c r="N22" s="284">
        <f t="shared" si="2"/>
        <v>-1.7490380909452652</v>
      </c>
      <c r="O22" s="284">
        <f t="shared" si="2"/>
        <v>1.4757859547664731</v>
      </c>
      <c r="P22" s="284" t="s">
        <v>10</v>
      </c>
      <c r="Q22" s="284">
        <f t="shared" si="2"/>
        <v>-1.0735759100724884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Q23" si="3">((L18/L15)^(1/3)-1)*100</f>
        <v>0.2670903432975047</v>
      </c>
      <c r="M23" s="284" t="s">
        <v>10</v>
      </c>
      <c r="N23" s="284">
        <f t="shared" si="3"/>
        <v>-14.006854742775044</v>
      </c>
      <c r="O23" s="284">
        <f t="shared" si="3"/>
        <v>-6.1192883626133066</v>
      </c>
      <c r="P23" s="284" t="s">
        <v>10</v>
      </c>
      <c r="Q23" s="284">
        <f t="shared" si="3"/>
        <v>-6.4877567011156767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5" si="4">IFERROR(((C18/C12)^(1/6)-1)*100,"n.a.")</f>
        <v>n.a.</v>
      </c>
      <c r="D24" s="192" t="str">
        <f t="shared" si="4"/>
        <v>n.a.</v>
      </c>
      <c r="E24" s="192" t="str">
        <f t="shared" si="4"/>
        <v>n.a.</v>
      </c>
      <c r="F24" s="192" t="str">
        <f t="shared" si="4"/>
        <v>n.a.</v>
      </c>
      <c r="G24" s="192" t="str">
        <f t="shared" si="4"/>
        <v>n.a.</v>
      </c>
      <c r="H24" s="192" t="str">
        <f t="shared" si="4"/>
        <v>n.a.</v>
      </c>
      <c r="I24" s="192" t="str">
        <f t="shared" si="4"/>
        <v>n.a.</v>
      </c>
      <c r="J24" s="192" t="str">
        <f t="shared" si="4"/>
        <v>n.a.</v>
      </c>
      <c r="K24" s="192" t="str">
        <f t="shared" si="4"/>
        <v>n.a.</v>
      </c>
      <c r="L24" s="192">
        <f t="shared" si="4"/>
        <v>0.96749290779276631</v>
      </c>
      <c r="M24" s="192" t="str">
        <f t="shared" si="4"/>
        <v>n.a.</v>
      </c>
      <c r="N24" s="192">
        <f t="shared" si="4"/>
        <v>-8.082051594329954</v>
      </c>
      <c r="O24" s="192">
        <f t="shared" si="4"/>
        <v>-2.3955994875405007</v>
      </c>
      <c r="P24" s="192" t="str">
        <f t="shared" si="4"/>
        <v>n.a.</v>
      </c>
      <c r="Q24" s="192">
        <f t="shared" si="4"/>
        <v>-3.8187552680570058</v>
      </c>
      <c r="R24" s="192" t="str">
        <f t="shared" si="4"/>
        <v>n.a.</v>
      </c>
      <c r="S24" s="192" t="str">
        <f t="shared" si="4"/>
        <v>n.a.</v>
      </c>
      <c r="T24" s="192" t="str">
        <f t="shared" si="4"/>
        <v>n.a.</v>
      </c>
      <c r="U24" s="192" t="str">
        <f t="shared" si="4"/>
        <v>n.a.</v>
      </c>
    </row>
    <row r="25" spans="1:21" s="339" customFormat="1">
      <c r="A25" s="341" t="s">
        <v>15</v>
      </c>
      <c r="B25" s="192" t="s">
        <v>10</v>
      </c>
      <c r="C25" s="192" t="s">
        <v>10</v>
      </c>
      <c r="D25" s="192" t="s">
        <v>10</v>
      </c>
      <c r="E25" s="192" t="s">
        <v>10</v>
      </c>
      <c r="F25" s="192" t="s">
        <v>10</v>
      </c>
      <c r="G25" s="192" t="s">
        <v>10</v>
      </c>
      <c r="H25" s="192" t="s">
        <v>10</v>
      </c>
      <c r="I25" s="192" t="s">
        <v>10</v>
      </c>
      <c r="J25" s="192" t="s">
        <v>10</v>
      </c>
      <c r="K25" s="192" t="s">
        <v>10</v>
      </c>
      <c r="L25" s="192">
        <f t="shared" ref="L25:O25" si="5">((L18/L5)^(1/13)-1)*100</f>
        <v>1.5168383286644049</v>
      </c>
      <c r="M25" s="192" t="str">
        <f t="shared" si="4"/>
        <v>n.a.</v>
      </c>
      <c r="N25" s="192">
        <f t="shared" si="5"/>
        <v>-4.9110170881668918</v>
      </c>
      <c r="O25" s="192">
        <f t="shared" si="5"/>
        <v>0.24731465924274776</v>
      </c>
      <c r="P25" s="192" t="s">
        <v>10</v>
      </c>
      <c r="Q25" s="192" t="s">
        <v>10</v>
      </c>
      <c r="R25" s="192" t="s">
        <v>10</v>
      </c>
      <c r="S25" s="192" t="s">
        <v>10</v>
      </c>
      <c r="T25" s="192" t="s">
        <v>10</v>
      </c>
      <c r="U25" s="192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9" spans="1:2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ht="30" customHeight="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</sheetData>
  <mergeCells count="8">
    <mergeCell ref="A31:U31"/>
    <mergeCell ref="A32:U32"/>
    <mergeCell ref="A1:U1"/>
    <mergeCell ref="B2:K2"/>
    <mergeCell ref="L2:U2"/>
    <mergeCell ref="A20:U20"/>
    <mergeCell ref="A29:U29"/>
    <mergeCell ref="A30:U30"/>
  </mergeCells>
  <printOptions gridLines="1"/>
  <pageMargins left="0.7" right="0.7" top="0.75" bottom="0.75" header="0.3" footer="0.3"/>
  <pageSetup scale="51" orientation="landscape" horizontalDpi="0" verticalDpi="0" r:id="rId1"/>
  <rowBreaks count="1" manualBreakCount="1">
    <brk id="33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4"/>
  <sheetViews>
    <sheetView view="pageBreakPreview" topLeftCell="A10" zoomScaleNormal="100" zoomScaleSheetLayoutView="100" workbookViewId="0">
      <selection activeCell="D36" sqref="D36"/>
    </sheetView>
  </sheetViews>
  <sheetFormatPr defaultRowHeight="15"/>
  <cols>
    <col min="1" max="1" width="9.140625" style="91"/>
    <col min="2" max="2" width="12.7109375" style="91" bestFit="1" customWidth="1"/>
    <col min="3" max="3" width="11.140625" style="91" bestFit="1" customWidth="1"/>
    <col min="4" max="5" width="10.140625" style="91" bestFit="1" customWidth="1"/>
    <col min="6" max="8" width="10.140625" style="91" customWidth="1"/>
    <col min="9" max="11" width="10.140625" style="91" bestFit="1" customWidth="1"/>
    <col min="12" max="12" width="9.140625" style="91"/>
    <col min="13" max="29" width="0" style="91" hidden="1" customWidth="1"/>
    <col min="30" max="16384" width="9.140625" style="91"/>
  </cols>
  <sheetData>
    <row r="1" spans="1:29">
      <c r="A1" s="454" t="s">
        <v>166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6"/>
      <c r="B2" s="66" t="s">
        <v>16</v>
      </c>
      <c r="C2" s="66" t="s">
        <v>8</v>
      </c>
      <c r="D2" s="66" t="s">
        <v>3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17</v>
      </c>
      <c r="J2" s="66" t="s">
        <v>6</v>
      </c>
      <c r="K2" s="66" t="s">
        <v>7</v>
      </c>
    </row>
    <row r="3" spans="1:29">
      <c r="A3" s="66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6">
        <v>1984</v>
      </c>
      <c r="B4" s="11" t="s">
        <v>10</v>
      </c>
      <c r="C4" s="11" t="s">
        <v>10</v>
      </c>
      <c r="D4" s="11" t="s">
        <v>10</v>
      </c>
      <c r="E4" s="11" t="s">
        <v>10</v>
      </c>
      <c r="F4" s="11" t="s">
        <v>10</v>
      </c>
      <c r="G4" s="11" t="s">
        <v>10</v>
      </c>
      <c r="H4" s="11" t="s">
        <v>10</v>
      </c>
      <c r="I4" s="11" t="s">
        <v>10</v>
      </c>
      <c r="J4" s="11" t="s">
        <v>10</v>
      </c>
      <c r="K4" s="11" t="s">
        <v>10</v>
      </c>
    </row>
    <row r="5" spans="1:29">
      <c r="A5" s="66">
        <v>1985</v>
      </c>
      <c r="B5" s="11" t="s">
        <v>10</v>
      </c>
      <c r="C5" s="11" t="s">
        <v>10</v>
      </c>
      <c r="D5" s="11" t="s">
        <v>10</v>
      </c>
      <c r="E5" s="11" t="s">
        <v>10</v>
      </c>
      <c r="F5" s="11" t="s">
        <v>10</v>
      </c>
      <c r="G5" s="11" t="s">
        <v>10</v>
      </c>
      <c r="H5" s="11" t="s">
        <v>10</v>
      </c>
      <c r="I5" s="11" t="s">
        <v>10</v>
      </c>
      <c r="J5" s="11" t="s">
        <v>10</v>
      </c>
      <c r="K5" s="11" t="s">
        <v>10</v>
      </c>
    </row>
    <row r="6" spans="1:29">
      <c r="A6" s="66">
        <v>1986</v>
      </c>
      <c r="B6" s="11" t="s">
        <v>10</v>
      </c>
      <c r="C6" s="11" t="s">
        <v>10</v>
      </c>
      <c r="D6" s="11" t="s">
        <v>10</v>
      </c>
      <c r="E6" s="11" t="s">
        <v>10</v>
      </c>
      <c r="F6" s="11" t="s">
        <v>10</v>
      </c>
      <c r="G6" s="11" t="s">
        <v>10</v>
      </c>
      <c r="H6" s="11" t="s">
        <v>10</v>
      </c>
      <c r="I6" s="11" t="s">
        <v>10</v>
      </c>
      <c r="J6" s="11" t="s">
        <v>10</v>
      </c>
      <c r="K6" s="11" t="s">
        <v>10</v>
      </c>
    </row>
    <row r="7" spans="1:29">
      <c r="A7" s="66">
        <v>1987</v>
      </c>
      <c r="B7" s="11" t="s">
        <v>10</v>
      </c>
      <c r="C7" s="11" t="s">
        <v>10</v>
      </c>
      <c r="D7" s="11" t="s">
        <v>10</v>
      </c>
      <c r="E7" s="11" t="s">
        <v>10</v>
      </c>
      <c r="F7" s="11" t="s">
        <v>10</v>
      </c>
      <c r="G7" s="11" t="s">
        <v>10</v>
      </c>
      <c r="H7" s="11" t="s">
        <v>10</v>
      </c>
      <c r="I7" s="11" t="s">
        <v>10</v>
      </c>
      <c r="J7" s="11" t="s">
        <v>10</v>
      </c>
      <c r="K7" s="11" t="s">
        <v>10</v>
      </c>
    </row>
    <row r="8" spans="1:29">
      <c r="A8" s="66">
        <v>1988</v>
      </c>
      <c r="B8" s="11" t="s">
        <v>10</v>
      </c>
      <c r="C8" s="11" t="s">
        <v>10</v>
      </c>
      <c r="D8" s="11" t="s">
        <v>10</v>
      </c>
      <c r="E8" s="11" t="s">
        <v>10</v>
      </c>
      <c r="F8" s="11" t="s">
        <v>10</v>
      </c>
      <c r="G8" s="11" t="s">
        <v>10</v>
      </c>
      <c r="H8" s="11" t="s">
        <v>10</v>
      </c>
      <c r="I8" s="11" t="s">
        <v>10</v>
      </c>
      <c r="J8" s="11" t="s">
        <v>10</v>
      </c>
      <c r="K8" s="11" t="s">
        <v>10</v>
      </c>
    </row>
    <row r="9" spans="1:29">
      <c r="A9" s="66">
        <v>1989</v>
      </c>
      <c r="B9" s="11" t="s">
        <v>10</v>
      </c>
      <c r="C9" s="11" t="s">
        <v>10</v>
      </c>
      <c r="D9" s="11" t="s">
        <v>10</v>
      </c>
      <c r="E9" s="11" t="s">
        <v>10</v>
      </c>
      <c r="F9" s="11" t="s">
        <v>10</v>
      </c>
      <c r="G9" s="11" t="s">
        <v>10</v>
      </c>
      <c r="H9" s="11" t="s">
        <v>10</v>
      </c>
      <c r="I9" s="11" t="s">
        <v>10</v>
      </c>
      <c r="J9" s="11" t="s">
        <v>10</v>
      </c>
      <c r="K9" s="11" t="s">
        <v>10</v>
      </c>
    </row>
    <row r="10" spans="1:29">
      <c r="A10" s="66">
        <v>1990</v>
      </c>
      <c r="B10" s="11" t="s">
        <v>10</v>
      </c>
      <c r="C10" s="11" t="s">
        <v>10</v>
      </c>
      <c r="D10" s="11" t="s">
        <v>10</v>
      </c>
      <c r="E10" s="11" t="s">
        <v>10</v>
      </c>
      <c r="F10" s="11" t="s">
        <v>10</v>
      </c>
      <c r="G10" s="11" t="s">
        <v>10</v>
      </c>
      <c r="H10" s="11" t="s">
        <v>10</v>
      </c>
      <c r="I10" s="11" t="s">
        <v>10</v>
      </c>
      <c r="J10" s="11" t="s">
        <v>10</v>
      </c>
      <c r="K10" s="11" t="s">
        <v>10</v>
      </c>
    </row>
    <row r="11" spans="1:29">
      <c r="A11" s="66">
        <v>1991</v>
      </c>
      <c r="B11" s="11" t="s">
        <v>10</v>
      </c>
      <c r="C11" s="11" t="s">
        <v>10</v>
      </c>
      <c r="D11" s="11" t="s">
        <v>10</v>
      </c>
      <c r="E11" s="11" t="s">
        <v>10</v>
      </c>
      <c r="F11" s="11" t="s">
        <v>10</v>
      </c>
      <c r="G11" s="11" t="s">
        <v>10</v>
      </c>
      <c r="H11" s="11" t="s">
        <v>10</v>
      </c>
      <c r="I11" s="11" t="s">
        <v>10</v>
      </c>
      <c r="J11" s="11" t="s">
        <v>10</v>
      </c>
      <c r="K11" s="11" t="s">
        <v>10</v>
      </c>
    </row>
    <row r="12" spans="1:29">
      <c r="A12" s="66">
        <v>1992</v>
      </c>
      <c r="B12" s="11" t="s">
        <v>10</v>
      </c>
      <c r="C12" s="11" t="s">
        <v>10</v>
      </c>
      <c r="D12" s="11" t="s">
        <v>10</v>
      </c>
      <c r="E12" s="11" t="s">
        <v>10</v>
      </c>
      <c r="F12" s="11" t="s">
        <v>10</v>
      </c>
      <c r="G12" s="11" t="s">
        <v>10</v>
      </c>
      <c r="H12" s="11" t="s">
        <v>10</v>
      </c>
      <c r="I12" s="11" t="s">
        <v>10</v>
      </c>
      <c r="J12" s="11" t="s">
        <v>10</v>
      </c>
      <c r="K12" s="11" t="s">
        <v>10</v>
      </c>
    </row>
    <row r="13" spans="1:29">
      <c r="A13" s="66">
        <v>1993</v>
      </c>
      <c r="B13" s="11" t="s">
        <v>10</v>
      </c>
      <c r="C13" s="11" t="s">
        <v>10</v>
      </c>
      <c r="D13" s="11" t="s">
        <v>10</v>
      </c>
      <c r="E13" s="11" t="s">
        <v>10</v>
      </c>
      <c r="F13" s="11" t="s">
        <v>10</v>
      </c>
      <c r="G13" s="11" t="s">
        <v>10</v>
      </c>
      <c r="H13" s="11" t="s">
        <v>10</v>
      </c>
      <c r="I13" s="11" t="s">
        <v>10</v>
      </c>
      <c r="J13" s="11" t="s">
        <v>10</v>
      </c>
      <c r="K13" s="11" t="s">
        <v>10</v>
      </c>
    </row>
    <row r="14" spans="1:29">
      <c r="A14" s="66">
        <v>1994</v>
      </c>
      <c r="B14" s="11" t="s">
        <v>10</v>
      </c>
      <c r="C14" s="11" t="s">
        <v>10</v>
      </c>
      <c r="D14" s="11" t="s">
        <v>10</v>
      </c>
      <c r="E14" s="11" t="s">
        <v>10</v>
      </c>
      <c r="F14" s="11" t="s">
        <v>10</v>
      </c>
      <c r="G14" s="11" t="s">
        <v>10</v>
      </c>
      <c r="H14" s="11" t="s">
        <v>10</v>
      </c>
      <c r="I14" s="11" t="s">
        <v>10</v>
      </c>
      <c r="J14" s="11" t="s">
        <v>10</v>
      </c>
      <c r="K14" s="11" t="s">
        <v>10</v>
      </c>
      <c r="W14" s="91" t="s">
        <v>32</v>
      </c>
    </row>
    <row r="15" spans="1:29">
      <c r="A15" s="66">
        <v>1995</v>
      </c>
      <c r="B15" s="11" t="s">
        <v>10</v>
      </c>
      <c r="C15" s="11" t="s">
        <v>10</v>
      </c>
      <c r="D15" s="11" t="s">
        <v>10</v>
      </c>
      <c r="E15" s="11" t="s">
        <v>10</v>
      </c>
      <c r="F15" s="11" t="s">
        <v>10</v>
      </c>
      <c r="G15" s="11" t="s">
        <v>10</v>
      </c>
      <c r="H15" s="11" t="s">
        <v>10</v>
      </c>
      <c r="I15" s="11" t="s">
        <v>10</v>
      </c>
      <c r="J15" s="11" t="s">
        <v>10</v>
      </c>
      <c r="K15" s="11" t="s">
        <v>10</v>
      </c>
      <c r="N15" s="91" t="s">
        <v>24</v>
      </c>
      <c r="W15" s="91" t="s">
        <v>16</v>
      </c>
      <c r="X15" s="91" t="s">
        <v>8</v>
      </c>
      <c r="Y15" s="91" t="s">
        <v>3</v>
      </c>
      <c r="Z15" s="91" t="s">
        <v>4</v>
      </c>
      <c r="AA15" s="91" t="s">
        <v>17</v>
      </c>
      <c r="AB15" s="91" t="s">
        <v>6</v>
      </c>
      <c r="AC15" s="91" t="s">
        <v>7</v>
      </c>
    </row>
    <row r="16" spans="1:29">
      <c r="A16" s="66">
        <v>1996</v>
      </c>
      <c r="B16" s="11" t="s">
        <v>10</v>
      </c>
      <c r="C16" s="11" t="s">
        <v>10</v>
      </c>
      <c r="D16" s="11" t="s">
        <v>10</v>
      </c>
      <c r="E16" s="11" t="s">
        <v>10</v>
      </c>
      <c r="F16" s="11" t="s">
        <v>10</v>
      </c>
      <c r="G16" s="11" t="s">
        <v>10</v>
      </c>
      <c r="H16" s="11" t="s">
        <v>10</v>
      </c>
      <c r="I16" s="11" t="s">
        <v>10</v>
      </c>
      <c r="J16" s="11" t="s">
        <v>10</v>
      </c>
      <c r="K16" s="11" t="s">
        <v>10</v>
      </c>
      <c r="N16" s="91" t="s">
        <v>16</v>
      </c>
      <c r="O16" s="91" t="s">
        <v>8</v>
      </c>
      <c r="P16" s="91" t="s">
        <v>3</v>
      </c>
      <c r="Q16" s="91" t="s">
        <v>4</v>
      </c>
      <c r="R16" s="91" t="s">
        <v>17</v>
      </c>
      <c r="S16" s="91" t="s">
        <v>6</v>
      </c>
      <c r="T16" s="91" t="s">
        <v>7</v>
      </c>
      <c r="V16" s="91" t="s">
        <v>19</v>
      </c>
      <c r="W16" s="91">
        <f>((B20/B17)^(1/3)-1)*100</f>
        <v>0</v>
      </c>
      <c r="X16" s="91" t="e">
        <f>((C20/C17)^(1/3)-1)*100</f>
        <v>#VALUE!</v>
      </c>
      <c r="Y16" s="91">
        <f>((D20/D17)^(1/3)-1)*100</f>
        <v>0.40792436389602837</v>
      </c>
      <c r="Z16" s="91">
        <f>((E20/E17)^(1/3)-1)*100</f>
        <v>3.275318941520422</v>
      </c>
      <c r="AA16" s="91" t="e">
        <f t="shared" ref="AA16:AC16" si="0">((I20/I17)^(1/3)-1)*100</f>
        <v>#VALUE!</v>
      </c>
      <c r="AB16" s="91" t="e">
        <f t="shared" si="0"/>
        <v>#VALUE!</v>
      </c>
      <c r="AC16" s="91" t="e">
        <f t="shared" si="0"/>
        <v>#VALUE!</v>
      </c>
    </row>
    <row r="17" spans="1:29">
      <c r="A17" s="66">
        <v>1997</v>
      </c>
      <c r="B17" s="11">
        <f>'2A'!B17/'2A'!$B17*100</f>
        <v>100</v>
      </c>
      <c r="C17" s="11" t="s">
        <v>10</v>
      </c>
      <c r="D17" s="11">
        <f>'2A'!D17/'2A'!$B17*100</f>
        <v>0.52792574733893027</v>
      </c>
      <c r="E17" s="11">
        <f>'2A'!E17/'2A'!$B17*100</f>
        <v>1.2445145580532229</v>
      </c>
      <c r="F17" s="11">
        <f>'2A'!F17/'2A'!$B17*100</f>
        <v>0.65676969207807512</v>
      </c>
      <c r="G17" s="11">
        <f>'2A'!G17/'2A'!$B17*100</f>
        <v>0.20036797658010483</v>
      </c>
      <c r="H17" s="11">
        <f>'2A'!H17/'2A'!$B17*100</f>
        <v>0.387376889395043</v>
      </c>
      <c r="I17" s="102" t="s">
        <v>10</v>
      </c>
      <c r="J17" s="102" t="s">
        <v>10</v>
      </c>
      <c r="K17" s="102" t="s">
        <v>10</v>
      </c>
      <c r="M17" s="91">
        <v>1998</v>
      </c>
      <c r="N17" s="91">
        <f>((B18/B17)-1)*100</f>
        <v>0</v>
      </c>
      <c r="O17" s="91" t="e">
        <f>((C18/C17)-1)*100</f>
        <v>#VALUE!</v>
      </c>
      <c r="P17" s="91">
        <f>((D18/D17)-1)*100</f>
        <v>9.953962365802461</v>
      </c>
      <c r="Q17" s="91">
        <f>((E18/E17)-1)*100</f>
        <v>-1.8656899111928138</v>
      </c>
      <c r="R17" s="91" t="e">
        <f t="shared" ref="R17:T32" si="1">((I18/I17)-1)*100</f>
        <v>#VALUE!</v>
      </c>
      <c r="S17" s="91" t="e">
        <f t="shared" si="1"/>
        <v>#VALUE!</v>
      </c>
      <c r="T17" s="91" t="e">
        <f t="shared" si="1"/>
        <v>#VALUE!</v>
      </c>
      <c r="V17" s="91" t="s">
        <v>21</v>
      </c>
      <c r="W17" s="91">
        <f>((B28/B20)^(1/8)-1)*100</f>
        <v>0</v>
      </c>
      <c r="X17" s="91">
        <f>((C28/C20)^(1/8)-1)*100</f>
        <v>-5.1554114126052148</v>
      </c>
      <c r="Y17" s="91">
        <f>((D28/D20)^(1/8)-1)*100</f>
        <v>-3.8619732543921925</v>
      </c>
      <c r="Z17" s="91">
        <f>((E28/E20)^(1/8)-1)*100</f>
        <v>-6.5915203403140392</v>
      </c>
      <c r="AA17" s="91">
        <f t="shared" ref="AA17:AC17" si="2">((I28/I20)^(1/8)-1)*100</f>
        <v>-4.1161413024178195</v>
      </c>
      <c r="AB17" s="91">
        <f t="shared" si="2"/>
        <v>-4.7174923308829992</v>
      </c>
      <c r="AC17" s="91">
        <f t="shared" si="2"/>
        <v>-3.0906872060664559</v>
      </c>
    </row>
    <row r="18" spans="1:29">
      <c r="A18" s="66">
        <v>1998</v>
      </c>
      <c r="B18" s="382">
        <f>'2A'!B18/'2A'!$B18*100</f>
        <v>100</v>
      </c>
      <c r="C18" s="11">
        <f>'2A'!C18/'2A'!$B18*100</f>
        <v>2.9118768014499743</v>
      </c>
      <c r="D18" s="11">
        <f>'2A'!D18/'2A'!$B18*100</f>
        <v>0.58047527754842876</v>
      </c>
      <c r="E18" s="11">
        <f>'2A'!E18/'2A'!$B18*100</f>
        <v>1.221295775500298</v>
      </c>
      <c r="F18" s="11">
        <f>'2A'!F18/'2A'!$B18*100</f>
        <v>0.64812174181992388</v>
      </c>
      <c r="G18" s="11">
        <f>'2A'!G18/'2A'!$B18*100</f>
        <v>0.201883791291393</v>
      </c>
      <c r="H18" s="11">
        <f>'2A'!H18/'2A'!$B18*100</f>
        <v>0.37129024238898106</v>
      </c>
      <c r="I18" s="102">
        <f>'2A'!I18/'2A'!$B18*100</f>
        <v>1.1101057484012475</v>
      </c>
      <c r="J18" s="102">
        <f>'2A'!J18/'2A'!$B18*100</f>
        <v>0.72208422187125432</v>
      </c>
      <c r="K18" s="102">
        <f>'2A'!K18/'2A'!$B18*100</f>
        <v>0.38802152652999322</v>
      </c>
      <c r="M18" s="91">
        <v>1999</v>
      </c>
      <c r="N18" s="91">
        <f t="shared" ref="N18:Q32" si="3">((B19/B18)-1)*100</f>
        <v>0</v>
      </c>
      <c r="O18" s="91">
        <f t="shared" si="3"/>
        <v>-0.31387288058698504</v>
      </c>
      <c r="P18" s="91">
        <f t="shared" si="3"/>
        <v>2.3439704897450842</v>
      </c>
      <c r="Q18" s="91">
        <f t="shared" si="3"/>
        <v>3.0316785823961467</v>
      </c>
      <c r="R18" s="91">
        <f t="shared" si="1"/>
        <v>-5.3843089580870362</v>
      </c>
      <c r="S18" s="91">
        <f t="shared" si="1"/>
        <v>-7.3946076827256064</v>
      </c>
      <c r="T18" s="91">
        <f t="shared" si="1"/>
        <v>-1.6432665388922407</v>
      </c>
      <c r="V18" s="91" t="s">
        <v>22</v>
      </c>
      <c r="W18" s="91">
        <f>((B33/B28)^(1/5)-1)*100</f>
        <v>0</v>
      </c>
      <c r="X18" s="91">
        <f>((C33/C28)^(1/5)-1)*100</f>
        <v>-5.6543218446671535</v>
      </c>
      <c r="Y18" s="91">
        <f>((D33/D28)^(1/5)-1)*100</f>
        <v>-10.825605823014318</v>
      </c>
      <c r="Z18" s="91">
        <f>((E33/E28)^(1/5)-1)*100</f>
        <v>-3.0137424022047554</v>
      </c>
      <c r="AA18" s="91">
        <f t="shared" ref="AA18:AC18" si="4">((I33/I28)^(1/5)-1)*100</f>
        <v>-6.2049390513277629</v>
      </c>
      <c r="AB18" s="91">
        <f t="shared" si="4"/>
        <v>-7.1092037128896113</v>
      </c>
      <c r="AC18" s="91">
        <f t="shared" si="4"/>
        <v>-4.8431864346239699</v>
      </c>
    </row>
    <row r="19" spans="1:29">
      <c r="A19" s="66">
        <v>1999</v>
      </c>
      <c r="B19" s="382">
        <f>'2A'!B19/'2A'!$B19*100</f>
        <v>100</v>
      </c>
      <c r="C19" s="11">
        <f>'2A'!C19/'2A'!$B19*100</f>
        <v>2.9027372098541191</v>
      </c>
      <c r="D19" s="11">
        <f>'2A'!D19/'2A'!$B19*100</f>
        <v>0.59408144675442975</v>
      </c>
      <c r="E19" s="11">
        <f>'2A'!E19/'2A'!$B19*100</f>
        <v>1.2583215379538495</v>
      </c>
      <c r="F19" s="11">
        <f>'2A'!F19/'2A'!$B19*100</f>
        <v>0.68597290744513451</v>
      </c>
      <c r="G19" s="11">
        <f>'2A'!G19/'2A'!$B19*100</f>
        <v>0.19368626745102532</v>
      </c>
      <c r="H19" s="11">
        <f>'2A'!H19/'2A'!$B19*100</f>
        <v>0.37866236305768963</v>
      </c>
      <c r="I19" s="102">
        <f>'2A'!I19/'2A'!$B19*100</f>
        <v>1.0503342251458401</v>
      </c>
      <c r="J19" s="102">
        <f>'2A'!J19/'2A'!$B19*100</f>
        <v>0.66868892652501311</v>
      </c>
      <c r="K19" s="102">
        <f>'2A'!K19/'2A'!$B19*100</f>
        <v>0.38164529862082697</v>
      </c>
      <c r="M19" s="91">
        <v>2000</v>
      </c>
      <c r="N19" s="91">
        <f t="shared" si="3"/>
        <v>0</v>
      </c>
      <c r="O19" s="91">
        <f t="shared" si="3"/>
        <v>2.0743618349825743</v>
      </c>
      <c r="P19" s="91">
        <f t="shared" si="3"/>
        <v>-10.043857833068026</v>
      </c>
      <c r="Q19" s="91">
        <f t="shared" si="3"/>
        <v>8.9426626588488887</v>
      </c>
      <c r="R19" s="91">
        <f t="shared" si="1"/>
        <v>0.70020744795085132</v>
      </c>
      <c r="S19" s="91">
        <f t="shared" si="1"/>
        <v>1.8778802513993442</v>
      </c>
      <c r="T19" s="91">
        <f t="shared" si="1"/>
        <v>-1.3632183706861811</v>
      </c>
      <c r="V19" s="91" t="s">
        <v>18</v>
      </c>
      <c r="W19" s="91">
        <f>((B33/B17)^(1/16)-1)*100</f>
        <v>0</v>
      </c>
      <c r="X19" s="91" t="e">
        <f>((C33/C17)^(1/16)-1)*100</f>
        <v>#VALUE!</v>
      </c>
      <c r="Y19" s="91">
        <f>((D33/D17)^(1/16)-1)*100</f>
        <v>-5.3263431734757898</v>
      </c>
      <c r="Z19" s="91">
        <f>((E33/E17)^(1/16)-1)*100</f>
        <v>-3.6915392341710929</v>
      </c>
      <c r="AA19" s="91" t="e">
        <f t="shared" ref="AA19:AC19" si="5">((I33/I17)^(1/16)-1)*100</f>
        <v>#VALUE!</v>
      </c>
      <c r="AB19" s="91" t="e">
        <f t="shared" si="5"/>
        <v>#VALUE!</v>
      </c>
      <c r="AC19" s="91" t="e">
        <f t="shared" si="5"/>
        <v>#VALUE!</v>
      </c>
    </row>
    <row r="20" spans="1:29">
      <c r="A20" s="66">
        <v>2000</v>
      </c>
      <c r="B20" s="382">
        <f>'2A'!B20/'2A'!$B20*100</f>
        <v>100</v>
      </c>
      <c r="C20" s="11">
        <f>'2A'!C20/'2A'!$B20*100</f>
        <v>2.9629504827051707</v>
      </c>
      <c r="D20" s="11">
        <f>'2A'!D20/'2A'!$B20*100</f>
        <v>0.53441275082978112</v>
      </c>
      <c r="E20" s="11">
        <f>'2A'!E20/'2A'!$B20*100</f>
        <v>1.3708489882567014</v>
      </c>
      <c r="F20" s="11">
        <f>'2A'!F20/'2A'!$B20*100</f>
        <v>0.6852728589961754</v>
      </c>
      <c r="G20" s="11">
        <f>'2A'!G20/'2A'!$B20*100</f>
        <v>0.20052903812781156</v>
      </c>
      <c r="H20" s="11">
        <f>'2A'!H20/'2A'!$B20*100</f>
        <v>0.48504709113271449</v>
      </c>
      <c r="I20" s="102">
        <f>'2A'!I20/'2A'!$B20*100</f>
        <v>1.0576887436186881</v>
      </c>
      <c r="J20" s="102">
        <f>'2A'!J20/'2A'!$B20*100</f>
        <v>0.68124610381952055</v>
      </c>
      <c r="K20" s="102">
        <f>'2A'!K20/'2A'!$B20*100</f>
        <v>0.3764426397991677</v>
      </c>
      <c r="M20" s="91">
        <v>2001</v>
      </c>
      <c r="N20" s="91">
        <f t="shared" si="3"/>
        <v>0</v>
      </c>
      <c r="O20" s="91">
        <f t="shared" si="3"/>
        <v>-6.2713505988444052</v>
      </c>
      <c r="P20" s="91">
        <f t="shared" si="3"/>
        <v>-12.130414366283137</v>
      </c>
      <c r="Q20" s="91">
        <f t="shared" si="3"/>
        <v>-4.4087031268207681</v>
      </c>
      <c r="R20" s="91">
        <f t="shared" si="1"/>
        <v>-5.725112410882927</v>
      </c>
      <c r="S20" s="91">
        <f t="shared" si="1"/>
        <v>-6.2698331641909189</v>
      </c>
      <c r="T20" s="91">
        <f t="shared" si="1"/>
        <v>-4.7393343623104318</v>
      </c>
    </row>
    <row r="21" spans="1:29">
      <c r="A21" s="66">
        <v>2001</v>
      </c>
      <c r="B21" s="382">
        <f>'2A'!B21/'2A'!$B21*100</f>
        <v>100</v>
      </c>
      <c r="C21" s="11">
        <f>'2A'!C21/'2A'!$B21*100</f>
        <v>2.7771334698645767</v>
      </c>
      <c r="D21" s="11">
        <f>'2A'!D21/'2A'!$B21*100</f>
        <v>0.46958626972787643</v>
      </c>
      <c r="E21" s="11">
        <f>'2A'!E21/'2A'!$B21*100</f>
        <v>1.3104123260474374</v>
      </c>
      <c r="F21" s="11">
        <f>'2A'!F21/'2A'!$B21*100</f>
        <v>0.63885455869701491</v>
      </c>
      <c r="G21" s="11">
        <f>'2A'!G21/'2A'!$B21*100</f>
        <v>0.20631951863854495</v>
      </c>
      <c r="H21" s="11">
        <f>'2A'!H21/'2A'!$B21*100</f>
        <v>0.46523824871187758</v>
      </c>
      <c r="I21" s="102">
        <f>'2A'!I21/'2A'!$B21*100</f>
        <v>0.99713487408926293</v>
      </c>
      <c r="J21" s="102">
        <f>'2A'!J21/'2A'!$B21*100</f>
        <v>0.63853310967248578</v>
      </c>
      <c r="K21" s="102">
        <f>'2A'!K21/'2A'!$B21*100</f>
        <v>0.35860176441677727</v>
      </c>
      <c r="M21" s="91">
        <v>2002</v>
      </c>
      <c r="N21" s="91">
        <f t="shared" si="3"/>
        <v>0</v>
      </c>
      <c r="O21" s="91">
        <f t="shared" si="3"/>
        <v>-5.1888722610084148</v>
      </c>
      <c r="P21" s="91">
        <f t="shared" si="3"/>
        <v>-6.352958016276478</v>
      </c>
      <c r="Q21" s="91">
        <f t="shared" si="3"/>
        <v>-1.9051001573317294</v>
      </c>
      <c r="R21" s="91">
        <f t="shared" si="1"/>
        <v>-8.9561226608702587</v>
      </c>
      <c r="S21" s="91">
        <f t="shared" si="1"/>
        <v>-10.751985204360437</v>
      </c>
      <c r="T21" s="91">
        <f t="shared" si="1"/>
        <v>-5.7583757219947458</v>
      </c>
    </row>
    <row r="22" spans="1:29">
      <c r="A22" s="66">
        <v>2002</v>
      </c>
      <c r="B22" s="382">
        <f>'2A'!B22/'2A'!$B22*100</f>
        <v>100</v>
      </c>
      <c r="C22" s="11">
        <f>'2A'!C22/'2A'!$B22*100</f>
        <v>2.633031561595593</v>
      </c>
      <c r="D22" s="11">
        <f>'2A'!D22/'2A'!$B22*100</f>
        <v>0.4397536511618656</v>
      </c>
      <c r="E22" s="11">
        <f>'2A'!E22/'2A'!$B22*100</f>
        <v>1.2854476587622132</v>
      </c>
      <c r="F22" s="11">
        <f>'2A'!F22/'2A'!$B22*100</f>
        <v>0.60288594908838899</v>
      </c>
      <c r="G22" s="11">
        <f>'2A'!G22/'2A'!$B22*100</f>
        <v>0.20886325851011753</v>
      </c>
      <c r="H22" s="11">
        <f>'2A'!H22/'2A'!$B22*100</f>
        <v>0.47369845116370668</v>
      </c>
      <c r="I22" s="102">
        <f>'2A'!I22/'2A'!$B22*100</f>
        <v>0.90783025167151432</v>
      </c>
      <c r="J22" s="102">
        <f>'2A'!J22/'2A'!$B22*100</f>
        <v>0.5698781241955575</v>
      </c>
      <c r="K22" s="102">
        <f>'2A'!K22/'2A'!$B22*100</f>
        <v>0.33795212747595677</v>
      </c>
      <c r="M22" s="91">
        <v>2003</v>
      </c>
      <c r="N22" s="91">
        <f t="shared" si="3"/>
        <v>0</v>
      </c>
      <c r="O22" s="91">
        <f t="shared" si="3"/>
        <v>-0.85358470908307726</v>
      </c>
      <c r="P22" s="91">
        <f t="shared" si="3"/>
        <v>2.8481835334332573</v>
      </c>
      <c r="Q22" s="91">
        <f t="shared" si="3"/>
        <v>-0.35065349977985161</v>
      </c>
      <c r="R22" s="91">
        <f t="shared" si="1"/>
        <v>-3.3588524523988528</v>
      </c>
      <c r="S22" s="91">
        <f t="shared" si="1"/>
        <v>-2.5155964052574697</v>
      </c>
      <c r="T22" s="91">
        <f t="shared" si="1"/>
        <v>-4.7856813452159859</v>
      </c>
    </row>
    <row r="23" spans="1:29">
      <c r="A23" s="66">
        <v>2003</v>
      </c>
      <c r="B23" s="382">
        <f>'2A'!B23/'2A'!$B23*100</f>
        <v>100</v>
      </c>
      <c r="C23" s="11">
        <f>'2A'!C23/'2A'!$B23*100</f>
        <v>2.6105564068004816</v>
      </c>
      <c r="D23" s="11">
        <f>'2A'!D23/'2A'!$B23*100</f>
        <v>0.45227864224192937</v>
      </c>
      <c r="E23" s="11">
        <f>'2A'!E23/'2A'!$B23*100</f>
        <v>1.2809401915589254</v>
      </c>
      <c r="F23" s="11">
        <f>'2A'!F23/'2A'!$B23*100</f>
        <v>0.56665741778305079</v>
      </c>
      <c r="G23" s="11">
        <f>'2A'!G23/'2A'!$B23*100</f>
        <v>0.19060384781003176</v>
      </c>
      <c r="H23" s="11">
        <f>'2A'!H23/'2A'!$B23*100</f>
        <v>0.52367892596584276</v>
      </c>
      <c r="I23" s="102">
        <f>'2A'!I23/'2A'!$B23*100</f>
        <v>0.877337572999627</v>
      </c>
      <c r="J23" s="102">
        <f>'2A'!J23/'2A'!$B23*100</f>
        <v>0.55554229058894533</v>
      </c>
      <c r="K23" s="102">
        <f>'2A'!K23/'2A'!$B23*100</f>
        <v>0.32177881555557936</v>
      </c>
      <c r="M23" s="91">
        <v>2004</v>
      </c>
      <c r="N23" s="91">
        <f t="shared" si="3"/>
        <v>0</v>
      </c>
      <c r="O23" s="91">
        <f t="shared" si="3"/>
        <v>-5.2075220766168329</v>
      </c>
      <c r="P23" s="91">
        <f t="shared" si="3"/>
        <v>-1.3671771679677036</v>
      </c>
      <c r="Q23" s="91">
        <f t="shared" si="3"/>
        <v>-9.0959789525895225</v>
      </c>
      <c r="R23" s="91">
        <f t="shared" si="1"/>
        <v>-1.5100003764332626</v>
      </c>
      <c r="S23" s="91">
        <f t="shared" si="1"/>
        <v>-1.1453956683747601</v>
      </c>
      <c r="T23" s="91">
        <f t="shared" si="1"/>
        <v>-2.1294299549721396</v>
      </c>
    </row>
    <row r="24" spans="1:29">
      <c r="A24" s="66">
        <v>2004</v>
      </c>
      <c r="B24" s="382">
        <f>'2A'!B24/'2A'!$B24*100</f>
        <v>100</v>
      </c>
      <c r="C24" s="11">
        <f>'2A'!C24/'2A'!$B24*100</f>
        <v>2.4746111055938114</v>
      </c>
      <c r="D24" s="11">
        <f>'2A'!D24/'2A'!$B24*100</f>
        <v>0.44609519190960339</v>
      </c>
      <c r="E24" s="11">
        <f>'2A'!E24/'2A'!$B24*100</f>
        <v>1.1644261413394656</v>
      </c>
      <c r="F24" s="11">
        <f>'2A'!F24/'2A'!$B24*100</f>
        <v>0.53876433405258861</v>
      </c>
      <c r="G24" s="11">
        <f>'2A'!G24/'2A'!$B24*100</f>
        <v>0.16054267875084319</v>
      </c>
      <c r="H24" s="11">
        <f>'2A'!H24/'2A'!$B24*100</f>
        <v>0.46510300655584202</v>
      </c>
      <c r="I24" s="102">
        <f>'2A'!I24/'2A'!$B24*100</f>
        <v>0.86408977234474216</v>
      </c>
      <c r="J24" s="102">
        <f>'2A'!J24/'2A'!$B24*100</f>
        <v>0.54917913325654966</v>
      </c>
      <c r="K24" s="102">
        <f>'2A'!K24/'2A'!$B24*100</f>
        <v>0.3149267610683843</v>
      </c>
      <c r="M24" s="91">
        <v>2005</v>
      </c>
      <c r="N24" s="91">
        <f t="shared" si="3"/>
        <v>0</v>
      </c>
      <c r="O24" s="91">
        <f t="shared" si="3"/>
        <v>0.41028210528186726</v>
      </c>
      <c r="P24" s="91">
        <f t="shared" si="3"/>
        <v>-1.2886717339886555</v>
      </c>
      <c r="Q24" s="91">
        <f t="shared" si="3"/>
        <v>-3.9086146640615826</v>
      </c>
      <c r="R24" s="91">
        <f t="shared" si="1"/>
        <v>7.1074235646026995</v>
      </c>
      <c r="S24" s="91">
        <f t="shared" si="1"/>
        <v>12.850769668018547</v>
      </c>
      <c r="T24" s="91">
        <f t="shared" si="1"/>
        <v>-2.913486084743111</v>
      </c>
    </row>
    <row r="25" spans="1:29">
      <c r="A25" s="66">
        <v>2005</v>
      </c>
      <c r="B25" s="382">
        <f>'2A'!B25/'2A'!$B25*100</f>
        <v>100</v>
      </c>
      <c r="C25" s="11">
        <f>'2A'!C25/'2A'!$B25*100</f>
        <v>2.4847639921353806</v>
      </c>
      <c r="D25" s="11">
        <f>'2A'!D25/'2A'!$B25*100</f>
        <v>0.44034648926478187</v>
      </c>
      <c r="E25" s="11">
        <f>'2A'!E25/'2A'!$B25*100</f>
        <v>1.1189132104269048</v>
      </c>
      <c r="F25" s="11">
        <f>'2A'!F25/'2A'!$B25*100</f>
        <v>0.52046222201597103</v>
      </c>
      <c r="G25" s="11">
        <f>'2A'!G25/'2A'!$B25*100</f>
        <v>0.14756634765394</v>
      </c>
      <c r="H25" s="11">
        <f>'2A'!H25/'2A'!$B25*100</f>
        <v>0.45086852737550714</v>
      </c>
      <c r="I25" s="102">
        <f>'2A'!I25/'2A'!$B25*100</f>
        <v>0.92550429244369414</v>
      </c>
      <c r="J25" s="102">
        <f>'2A'!J25/'2A'!$B25*100</f>
        <v>0.61975287873616947</v>
      </c>
      <c r="K25" s="102">
        <f>'2A'!K25/'2A'!$B25*100</f>
        <v>0.30575141370752473</v>
      </c>
      <c r="M25" s="91">
        <v>2006</v>
      </c>
      <c r="N25" s="91">
        <f t="shared" si="3"/>
        <v>0</v>
      </c>
      <c r="O25" s="91">
        <f t="shared" si="3"/>
        <v>-6.1279565957120692</v>
      </c>
      <c r="P25" s="91">
        <f t="shared" si="3"/>
        <v>-1.8978592517679416</v>
      </c>
      <c r="Q25" s="91">
        <f t="shared" si="3"/>
        <v>-9.36274790395235</v>
      </c>
      <c r="R25" s="91">
        <f t="shared" si="1"/>
        <v>-4.2298106579211066</v>
      </c>
      <c r="S25" s="91">
        <f t="shared" si="1"/>
        <v>-2.7932857638096609</v>
      </c>
      <c r="T25" s="91">
        <f t="shared" si="1"/>
        <v>-7.1416220137742847</v>
      </c>
    </row>
    <row r="26" spans="1:29">
      <c r="A26" s="66">
        <v>2006</v>
      </c>
      <c r="B26" s="382">
        <f>'2A'!B26/'2A'!$B26*100</f>
        <v>100</v>
      </c>
      <c r="C26" s="235">
        <f>'2A'!C26/'2A'!$B26*100</f>
        <v>2.332498733191442</v>
      </c>
      <c r="D26" s="235">
        <f>'2A'!D26/'2A'!$B26*100</f>
        <v>0.43198933267843487</v>
      </c>
      <c r="E26" s="235">
        <f>'2A'!E26/'2A'!$B26*100</f>
        <v>1.0141521872706138</v>
      </c>
      <c r="F26" s="235">
        <f>'2A'!F26/'2A'!$B26*100</f>
        <v>0.44072594342170884</v>
      </c>
      <c r="G26" s="235">
        <f>'2A'!G26/'2A'!$B26*100</f>
        <v>0.1477048282358282</v>
      </c>
      <c r="H26" s="235">
        <f>'2A'!H26/'2A'!$B26*100</f>
        <v>0.42570538513464884</v>
      </c>
      <c r="I26" s="368">
        <f>'2A'!I26/'2A'!$B26*100</f>
        <v>0.88635721324239347</v>
      </c>
      <c r="J26" s="368">
        <f>'2A'!J26/'2A'!$B26*100</f>
        <v>0.60244140980363148</v>
      </c>
      <c r="K26" s="368">
        <f>'2A'!K26/'2A'!$B26*100</f>
        <v>0.28391580343876205</v>
      </c>
      <c r="M26" s="91">
        <v>2007</v>
      </c>
      <c r="N26" s="91">
        <f t="shared" si="3"/>
        <v>0</v>
      </c>
      <c r="O26" s="91">
        <f t="shared" si="3"/>
        <v>-8.9983076123921535</v>
      </c>
      <c r="P26" s="91">
        <f t="shared" si="3"/>
        <v>-10.944080162059521</v>
      </c>
      <c r="Q26" s="91">
        <f t="shared" si="3"/>
        <v>-12.032499388697371</v>
      </c>
      <c r="R26" s="91">
        <f t="shared" si="1"/>
        <v>-4.5783230358782063</v>
      </c>
      <c r="S26" s="91">
        <f t="shared" si="1"/>
        <v>-12.598299049933182</v>
      </c>
      <c r="T26" s="91">
        <f t="shared" si="1"/>
        <v>12.439277245540058</v>
      </c>
    </row>
    <row r="27" spans="1:29">
      <c r="A27" s="66">
        <v>2007</v>
      </c>
      <c r="B27" s="382">
        <f>'2A'!B27/'2A'!$B27*100</f>
        <v>100</v>
      </c>
      <c r="C27" s="11">
        <f>'2A'!C27/'2A'!$B27*100</f>
        <v>2.1226133221237258</v>
      </c>
      <c r="D27" s="11">
        <f>'2A'!D27/'2A'!$B27*100</f>
        <v>0.38471207381856098</v>
      </c>
      <c r="E27" s="11">
        <f>'2A'!E27/'2A'!$B27*100</f>
        <v>0.89212433153681625</v>
      </c>
      <c r="F27" s="11">
        <f>'2A'!F27/'2A'!$B27*100</f>
        <v>0.38162118945472678</v>
      </c>
      <c r="G27" s="11">
        <f>'2A'!G27/'2A'!$B27*100</f>
        <v>0.11655011655011654</v>
      </c>
      <c r="H27" s="11">
        <f>'2A'!H27/'2A'!$B27*100</f>
        <v>0.39395302553197292</v>
      </c>
      <c r="I27" s="102">
        <f>'2A'!I27/'2A'!$B27*100</f>
        <v>0.84577691676834887</v>
      </c>
      <c r="J27" s="102">
        <f>'2A'!J27/'2A'!$B27*100</f>
        <v>0.52654403939593653</v>
      </c>
      <c r="K27" s="102">
        <f>'2A'!K27/'2A'!$B27*100</f>
        <v>0.31923287737241224</v>
      </c>
      <c r="M27" s="91">
        <v>2008</v>
      </c>
      <c r="N27" s="91">
        <f t="shared" si="3"/>
        <v>0</v>
      </c>
      <c r="O27" s="91">
        <f t="shared" si="3"/>
        <v>-8.5983651125612131</v>
      </c>
      <c r="P27" s="91">
        <f t="shared" si="3"/>
        <v>1.3684081035572948</v>
      </c>
      <c r="Q27" s="91">
        <f t="shared" si="3"/>
        <v>-10.945748225308316</v>
      </c>
      <c r="R27" s="91">
        <f t="shared" si="1"/>
        <v>-10.655858487505787</v>
      </c>
      <c r="S27" s="91">
        <f t="shared" si="1"/>
        <v>-12.102857081021046</v>
      </c>
      <c r="T27" s="91">
        <f t="shared" si="1"/>
        <v>-8.2691729722136351</v>
      </c>
    </row>
    <row r="28" spans="1:29">
      <c r="A28" s="66">
        <v>2008</v>
      </c>
      <c r="B28" s="382">
        <f>'2A'!B28/'2A'!$B28*100</f>
        <v>100</v>
      </c>
      <c r="C28" s="11">
        <f>'2A'!C28/'2A'!$B28*100</f>
        <v>1.9401032787596628</v>
      </c>
      <c r="D28" s="11">
        <f>'2A'!D28/'2A'!$B28*100</f>
        <v>0.38997650501205749</v>
      </c>
      <c r="E28" s="11">
        <f>'2A'!E28/'2A'!$B28*100</f>
        <v>0.79447464835008152</v>
      </c>
      <c r="F28" s="11">
        <f>'2A'!F28/'2A'!$B28*100</f>
        <v>0.2992046419649001</v>
      </c>
      <c r="G28" s="11">
        <f>'2A'!G28/'2A'!$B28*100</f>
        <v>9.810242326933688E-2</v>
      </c>
      <c r="H28" s="11">
        <f>'2A'!H28/'2A'!$B28*100</f>
        <v>0.39715208510268984</v>
      </c>
      <c r="I28" s="102">
        <f>'2A'!I28/'2A'!$B28*100</f>
        <v>0.75565212539752402</v>
      </c>
      <c r="J28" s="102">
        <f>'2A'!J28/'2A'!$B28*100</f>
        <v>0.4628171668392112</v>
      </c>
      <c r="K28" s="102">
        <f>'2A'!K28/'2A'!$B28*100</f>
        <v>0.29283495855831282</v>
      </c>
      <c r="M28" s="91">
        <v>2009</v>
      </c>
      <c r="N28" s="91">
        <f t="shared" si="3"/>
        <v>0</v>
      </c>
      <c r="O28" s="91">
        <f t="shared" si="3"/>
        <v>-6.9474037250820242</v>
      </c>
      <c r="P28" s="91">
        <f t="shared" si="3"/>
        <v>-1.1587041007815824</v>
      </c>
      <c r="Q28" s="91">
        <f t="shared" si="3"/>
        <v>-6.0246807559863003</v>
      </c>
      <c r="R28" s="91">
        <f t="shared" si="1"/>
        <v>-10.904961381487688</v>
      </c>
      <c r="S28" s="91">
        <f t="shared" si="1"/>
        <v>-14.202322317959471</v>
      </c>
      <c r="T28" s="91">
        <f t="shared" si="1"/>
        <v>-5.6990028631833116</v>
      </c>
    </row>
    <row r="29" spans="1:29">
      <c r="A29" s="66">
        <v>2009</v>
      </c>
      <c r="B29" s="382">
        <f>'2A'!B29/'2A'!$B29*100</f>
        <v>100</v>
      </c>
      <c r="C29" s="11">
        <f>'2A'!C29/'2A'!$B29*100</f>
        <v>1.8053164713006755</v>
      </c>
      <c r="D29" s="11">
        <f>'2A'!D29/'2A'!$B29*100</f>
        <v>0.3854578312563981</v>
      </c>
      <c r="E29" s="11">
        <f>'2A'!E29/'2A'!$B29*100</f>
        <v>0.7466100870997443</v>
      </c>
      <c r="F29" s="11">
        <f>'2A'!F29/'2A'!$B29*100</f>
        <v>0.22105364828275548</v>
      </c>
      <c r="G29" s="11">
        <f>'2A'!G29/'2A'!$B29*100</f>
        <v>0.103862648399041</v>
      </c>
      <c r="H29" s="11">
        <f>'2A'!H29/'2A'!$B29*100</f>
        <v>0.42169379041794791</v>
      </c>
      <c r="I29" s="102">
        <f>'2A'!I29/'2A'!$B29*100</f>
        <v>0.67324855294453312</v>
      </c>
      <c r="J29" s="102">
        <f>'2A'!J29/'2A'!$B29*100</f>
        <v>0.39708638106185817</v>
      </c>
      <c r="K29" s="102">
        <f>'2A'!K29/'2A'!$B29*100</f>
        <v>0.27614628588567292</v>
      </c>
      <c r="M29" s="91">
        <v>2010</v>
      </c>
      <c r="N29" s="91">
        <f t="shared" si="3"/>
        <v>0</v>
      </c>
      <c r="O29" s="91">
        <f t="shared" si="3"/>
        <v>-2.0183416503392948</v>
      </c>
      <c r="P29" s="91">
        <f t="shared" si="3"/>
        <v>-30.815586025342135</v>
      </c>
      <c r="Q29" s="91">
        <f t="shared" si="3"/>
        <v>8.1858422839312226</v>
      </c>
      <c r="R29" s="91">
        <f t="shared" si="1"/>
        <v>3.1529679525918564</v>
      </c>
      <c r="S29" s="91">
        <f t="shared" si="1"/>
        <v>-1.1536232012272829</v>
      </c>
      <c r="T29" s="91">
        <f t="shared" si="1"/>
        <v>9.3572236547298395</v>
      </c>
    </row>
    <row r="30" spans="1:29">
      <c r="A30" s="66">
        <v>2010</v>
      </c>
      <c r="B30" s="382">
        <f>'2A'!B30/'2A'!$B30*100</f>
        <v>100</v>
      </c>
      <c r="C30" s="11">
        <f>'2A'!C30/'2A'!$B30*100</f>
        <v>1.7688790170399784</v>
      </c>
      <c r="D30" s="11">
        <f>'2A'!D30/'2A'!$B30*100</f>
        <v>0.26667674167416461</v>
      </c>
      <c r="E30" s="11">
        <f>'2A'!E30/'2A'!$B30*100</f>
        <v>0.80772641130565093</v>
      </c>
      <c r="F30" s="11">
        <f>'2A'!F30/'2A'!$B30*100</f>
        <v>0.24554721206040592</v>
      </c>
      <c r="G30" s="11">
        <f>'2A'!G30/'2A'!$B30*100</f>
        <v>0.15240003625758869</v>
      </c>
      <c r="H30" s="11">
        <f>'2A'!H30/'2A'!$B30*100</f>
        <v>0.40974806728550223</v>
      </c>
      <c r="I30" s="102">
        <f>'2A'!I30/'2A'!$B30*100</f>
        <v>0.69447586406016271</v>
      </c>
      <c r="J30" s="102">
        <f>'2A'!J30/'2A'!$B30*100</f>
        <v>0.39250550044101479</v>
      </c>
      <c r="K30" s="102">
        <f>'2A'!K30/'2A'!$B30*100</f>
        <v>0.30198591147022502</v>
      </c>
      <c r="M30" s="91">
        <v>2011</v>
      </c>
      <c r="N30" s="91">
        <f t="shared" si="3"/>
        <v>0</v>
      </c>
      <c r="O30" s="91">
        <f t="shared" si="3"/>
        <v>-5.1158047166306346</v>
      </c>
      <c r="P30" s="91">
        <f t="shared" si="3"/>
        <v>29.762123072708356</v>
      </c>
      <c r="Q30" s="91">
        <f t="shared" si="3"/>
        <v>-6.6971260772536461</v>
      </c>
      <c r="R30" s="91">
        <f t="shared" si="1"/>
        <v>-16.669636212746653</v>
      </c>
      <c r="S30" s="91">
        <f t="shared" si="1"/>
        <v>-15.174110752809334</v>
      </c>
      <c r="T30" s="91">
        <f t="shared" si="1"/>
        <v>-18.617732315300561</v>
      </c>
    </row>
    <row r="31" spans="1:29">
      <c r="A31" s="66">
        <v>2011</v>
      </c>
      <c r="B31" s="382">
        <f>'2A'!B31/'2A'!$B31*100</f>
        <v>100</v>
      </c>
      <c r="C31" s="11">
        <f>'2A'!C31/'2A'!$B31*100</f>
        <v>1.6783866208547575</v>
      </c>
      <c r="D31" s="11">
        <f>'2A'!D31/'2A'!$B31*100</f>
        <v>0.34604540173751802</v>
      </c>
      <c r="E31" s="11">
        <f>'2A'!E31/'2A'!$B31*100</f>
        <v>0.75363195518123516</v>
      </c>
      <c r="F31" s="11">
        <f>'2A'!F31/'2A'!$B31*100</f>
        <v>0.21568752542009484</v>
      </c>
      <c r="G31" s="11">
        <f>'2A'!G31/'2A'!$B31*100</f>
        <v>0.14197407764349293</v>
      </c>
      <c r="H31" s="11">
        <f>'2A'!H31/'2A'!$B31*100</f>
        <v>0.39597035211764736</v>
      </c>
      <c r="I31" s="102">
        <f>'2A'!I31/'2A'!$B31*100</f>
        <v>0.57870926393600464</v>
      </c>
      <c r="J31" s="102">
        <f>'2A'!J31/'2A'!$B31*100</f>
        <v>0.33294628109322666</v>
      </c>
      <c r="K31" s="102">
        <f>'2A'!K31/'2A'!$B31*100</f>
        <v>0.24576298284277798</v>
      </c>
      <c r="M31" s="91">
        <v>2012</v>
      </c>
      <c r="N31" s="91">
        <f t="shared" si="3"/>
        <v>0</v>
      </c>
      <c r="O31" s="91">
        <f t="shared" si="3"/>
        <v>-10.554106103682004</v>
      </c>
      <c r="P31" s="91">
        <f t="shared" si="3"/>
        <v>-24.908724105303225</v>
      </c>
      <c r="Q31" s="91">
        <f t="shared" si="3"/>
        <v>-11.140154558811666</v>
      </c>
      <c r="R31" s="91">
        <f t="shared" si="1"/>
        <v>-1.2074190307270971</v>
      </c>
      <c r="S31" s="91">
        <f t="shared" si="1"/>
        <v>1.1977892969750492</v>
      </c>
      <c r="T31" s="91">
        <f t="shared" si="1"/>
        <v>-4.4658640524299358</v>
      </c>
    </row>
    <row r="32" spans="1:29">
      <c r="A32" s="66">
        <v>2012</v>
      </c>
      <c r="B32" s="382">
        <f>'2A'!B32/'2A'!$B32*100</f>
        <v>100</v>
      </c>
      <c r="C32" s="11">
        <f>'2A'!C32/'2A'!$B32*100</f>
        <v>1.5012479160597434</v>
      </c>
      <c r="D32" s="11">
        <f>'2A'!D32/'2A'!$B32*100</f>
        <v>0.25984990733963148</v>
      </c>
      <c r="E32" s="11">
        <f>'2A'!E32/'2A'!$B32*100</f>
        <v>0.66967619056945127</v>
      </c>
      <c r="F32" s="11">
        <f>'2A'!F32/'2A'!$B32*100</f>
        <v>0.14728347218108062</v>
      </c>
      <c r="G32" s="11">
        <f>'2A'!G32/'2A'!$B32*100</f>
        <v>0.13513480431158365</v>
      </c>
      <c r="H32" s="11">
        <f>'2A'!H32/'2A'!$B32*100</f>
        <v>0.38727321466604325</v>
      </c>
      <c r="I32" s="102">
        <f>'2A'!I32/'2A'!$B32*100</f>
        <v>0.57172181815066059</v>
      </c>
      <c r="J32" s="102">
        <f>'2A'!J32/'2A'!$B32*100</f>
        <v>0.33693427601283782</v>
      </c>
      <c r="K32" s="102">
        <f>'2A'!K32/'2A'!$B32*100</f>
        <v>0.2347875421378228</v>
      </c>
      <c r="M32" s="91">
        <v>2013</v>
      </c>
      <c r="N32" s="91">
        <f t="shared" si="3"/>
        <v>0</v>
      </c>
      <c r="O32" s="91">
        <f t="shared" si="3"/>
        <v>-3.3988081476106768</v>
      </c>
      <c r="P32" s="91">
        <f t="shared" si="3"/>
        <v>-15.371486161419678</v>
      </c>
      <c r="Q32" s="91">
        <f t="shared" si="3"/>
        <v>1.8043165791331361</v>
      </c>
      <c r="R32" s="91">
        <f t="shared" si="1"/>
        <v>-4.0517646409898074</v>
      </c>
      <c r="S32" s="91">
        <f t="shared" si="1"/>
        <v>-4.9991054292955912</v>
      </c>
      <c r="T32" s="91">
        <f t="shared" si="1"/>
        <v>-2.6922735038583889</v>
      </c>
    </row>
    <row r="33" spans="1:20">
      <c r="A33" s="66">
        <v>2013</v>
      </c>
      <c r="B33" s="382">
        <f>'2A'!B33/'2A'!$B33*100</f>
        <v>100</v>
      </c>
      <c r="C33" s="11">
        <f>'2A'!C33/'2A'!$B33*100</f>
        <v>1.4502233795728694</v>
      </c>
      <c r="D33" s="11">
        <f>'2A'!D33/'2A'!$B33*100</f>
        <v>0.21990711479245817</v>
      </c>
      <c r="E33" s="11">
        <f>'2A'!E33/'2A'!$B33*100</f>
        <v>0.68175926910240314</v>
      </c>
      <c r="F33" s="11">
        <f>'2A'!F33/'2A'!$B33*100</f>
        <v>0.15872788630563053</v>
      </c>
      <c r="G33" s="11">
        <f>'2A'!G33/'2A'!$B33*100</f>
        <v>0.12412514617068594</v>
      </c>
      <c r="H33" s="11">
        <f>'2A'!H33/'2A'!$B33*100</f>
        <v>0.3988757764675171</v>
      </c>
      <c r="I33" s="102">
        <f>'2A'!I33/'2A'!$B33*100</f>
        <v>0.54855699567800809</v>
      </c>
      <c r="J33" s="102">
        <f>'2A'!J33/'2A'!$B33*100</f>
        <v>0.32009057632752225</v>
      </c>
      <c r="K33" s="102">
        <f>'2A'!K33/'2A'!$B33*100</f>
        <v>0.22846641935048584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91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91" t="s">
        <v>16</v>
      </c>
      <c r="O35" s="91" t="s">
        <v>8</v>
      </c>
      <c r="P35" s="91" t="s">
        <v>3</v>
      </c>
      <c r="Q35" s="91" t="s">
        <v>4</v>
      </c>
      <c r="R35" s="91" t="s">
        <v>17</v>
      </c>
      <c r="S35" s="91" t="s">
        <v>6</v>
      </c>
      <c r="T35" s="91" t="s">
        <v>7</v>
      </c>
    </row>
    <row r="36" spans="1:20" ht="30">
      <c r="A36" s="66" t="s">
        <v>19</v>
      </c>
      <c r="B36" s="11">
        <f>((B20/B17)^(1/3)-1)*100</f>
        <v>0</v>
      </c>
      <c r="C36" s="11" t="s">
        <v>10</v>
      </c>
      <c r="D36" s="11">
        <f t="shared" ref="D36:E36" si="6">((D20/D17)^(1/3)-1)*100</f>
        <v>0.40792436389602837</v>
      </c>
      <c r="E36" s="11">
        <f t="shared" si="6"/>
        <v>3.275318941520422</v>
      </c>
      <c r="F36" s="11">
        <f t="shared" ref="F36:H36" si="7">((F20/F17)^(1/3)-1)*100</f>
        <v>1.4261972172417092</v>
      </c>
      <c r="G36" s="11">
        <f t="shared" si="7"/>
        <v>2.6787116786120002E-2</v>
      </c>
      <c r="H36" s="11">
        <f t="shared" si="7"/>
        <v>7.7829499165898319</v>
      </c>
      <c r="I36" s="11" t="s">
        <v>10</v>
      </c>
      <c r="J36" s="11" t="s">
        <v>10</v>
      </c>
      <c r="K36" s="11" t="s">
        <v>10</v>
      </c>
      <c r="M36" s="91">
        <v>1999</v>
      </c>
      <c r="N36" s="91">
        <f>B19/$B$20</f>
        <v>1</v>
      </c>
      <c r="O36" s="91">
        <f t="shared" ref="O36:O38" si="8">C19/$C$20</f>
        <v>0.97967793481446341</v>
      </c>
      <c r="P36" s="91">
        <f t="shared" ref="P36:P38" si="9">D19/$D$20</f>
        <v>1.1116528298248896</v>
      </c>
      <c r="Q36" s="91">
        <f t="shared" ref="Q36:Q38" si="10">E19/$E$20</f>
        <v>0.9179140435840768</v>
      </c>
      <c r="R36" s="91">
        <f t="shared" ref="R36:R38" si="11">I19/$I$20</f>
        <v>0.99304661364960178</v>
      </c>
      <c r="S36" s="91">
        <f t="shared" ref="S36:S38" si="12">J19/$J$20</f>
        <v>0.98156734075379881</v>
      </c>
      <c r="T36" s="91">
        <f t="shared" ref="T36:T38" si="13">K19/$K$20</f>
        <v>1.0138205885083447</v>
      </c>
    </row>
    <row r="37" spans="1:20" ht="30">
      <c r="A37" s="325" t="s">
        <v>68</v>
      </c>
      <c r="B37" s="11">
        <f>((B27/B20)^(1/7)-1)*100</f>
        <v>0</v>
      </c>
      <c r="C37" s="11">
        <f t="shared" ref="C37:K37" si="14">((C27/C20)^(1/7)-1)*100</f>
        <v>-4.6530858892407494</v>
      </c>
      <c r="D37" s="11">
        <f t="shared" si="14"/>
        <v>-4.5868071076787142</v>
      </c>
      <c r="E37" s="11">
        <f t="shared" si="14"/>
        <v>-5.9523459359386743</v>
      </c>
      <c r="F37" s="11">
        <f t="shared" ref="F37:H37" si="15">((F27/F20)^(1/7)-1)*100</f>
        <v>-8.0225683106615371</v>
      </c>
      <c r="G37" s="11">
        <f t="shared" si="15"/>
        <v>-7.4591179809373465</v>
      </c>
      <c r="H37" s="11">
        <f t="shared" si="15"/>
        <v>-2.9279140243180901</v>
      </c>
      <c r="I37" s="11">
        <f t="shared" si="14"/>
        <v>-3.1436100404806933</v>
      </c>
      <c r="J37" s="11">
        <f t="shared" si="14"/>
        <v>-3.6129547736274858</v>
      </c>
      <c r="K37" s="11">
        <f t="shared" si="14"/>
        <v>-2.327414072188061</v>
      </c>
      <c r="M37" s="91">
        <v>2000</v>
      </c>
      <c r="N37" s="91">
        <f>B20/$B$20</f>
        <v>1</v>
      </c>
      <c r="O37" s="91">
        <f t="shared" si="8"/>
        <v>1</v>
      </c>
      <c r="P37" s="91">
        <f t="shared" si="9"/>
        <v>1</v>
      </c>
      <c r="Q37" s="91">
        <f t="shared" si="10"/>
        <v>1</v>
      </c>
      <c r="R37" s="91">
        <f t="shared" si="11"/>
        <v>1</v>
      </c>
      <c r="S37" s="91">
        <f t="shared" si="12"/>
        <v>1</v>
      </c>
      <c r="T37" s="91">
        <f t="shared" si="13"/>
        <v>1</v>
      </c>
    </row>
    <row r="38" spans="1:20" ht="30">
      <c r="A38" s="66" t="s">
        <v>69</v>
      </c>
      <c r="B38" s="11">
        <f>((B33/B27)^(1/6)-1)*100</f>
        <v>0</v>
      </c>
      <c r="C38" s="11">
        <f t="shared" ref="C38:K38" si="16">((C33/C27)^(1/6)-1)*100</f>
        <v>-6.1514998904337981</v>
      </c>
      <c r="D38" s="11">
        <f t="shared" si="16"/>
        <v>-8.9002376529664691</v>
      </c>
      <c r="E38" s="11">
        <f t="shared" si="16"/>
        <v>-4.3831839906834702</v>
      </c>
      <c r="F38" s="11">
        <f t="shared" ref="F38:H38" si="17">((F33/F27)^(1/6)-1)*100</f>
        <v>-13.60204586553464</v>
      </c>
      <c r="G38" s="11">
        <f t="shared" si="17"/>
        <v>1.0550086222702593</v>
      </c>
      <c r="H38" s="11">
        <f t="shared" si="17"/>
        <v>0.20718689585361716</v>
      </c>
      <c r="I38" s="11">
        <f t="shared" si="16"/>
        <v>-6.9618666766881994</v>
      </c>
      <c r="J38" s="11">
        <f t="shared" si="16"/>
        <v>-7.9607584365539168</v>
      </c>
      <c r="K38" s="11">
        <f t="shared" si="16"/>
        <v>-5.4229434202620386</v>
      </c>
      <c r="M38" s="91">
        <v>2001</v>
      </c>
      <c r="N38" s="91">
        <f>B21/$B$20</f>
        <v>1</v>
      </c>
      <c r="O38" s="91">
        <f t="shared" si="8"/>
        <v>0.93728649401155595</v>
      </c>
      <c r="P38" s="91">
        <f t="shared" si="9"/>
        <v>0.87869585633716862</v>
      </c>
      <c r="Q38" s="91">
        <f t="shared" si="10"/>
        <v>0.95591296873179232</v>
      </c>
      <c r="R38" s="91">
        <f t="shared" si="11"/>
        <v>0.94274887589117073</v>
      </c>
      <c r="S38" s="91">
        <f t="shared" si="12"/>
        <v>0.93730166835809081</v>
      </c>
      <c r="T38" s="91">
        <f t="shared" si="13"/>
        <v>0.95260665637689568</v>
      </c>
    </row>
    <row r="39" spans="1:20" s="259" customFormat="1" ht="30">
      <c r="A39" s="325" t="s">
        <v>15</v>
      </c>
      <c r="B39" s="11">
        <f>((B33/B20)^(1/13)-1)*100</f>
        <v>0</v>
      </c>
      <c r="C39" s="11">
        <f t="shared" ref="C39:K39" si="18">((C33/C20)^(1/13)-1)*100</f>
        <v>-5.3476115048003203</v>
      </c>
      <c r="D39" s="11">
        <f t="shared" si="18"/>
        <v>-6.6024305275021895</v>
      </c>
      <c r="E39" s="11">
        <f t="shared" si="18"/>
        <v>-5.231343071586025</v>
      </c>
      <c r="F39" s="11">
        <f t="shared" ref="F39:H39" si="19">((F33/F20)^(1/13)-1)*100</f>
        <v>-10.641129765073543</v>
      </c>
      <c r="G39" s="11">
        <f t="shared" si="19"/>
        <v>-3.622517655649049</v>
      </c>
      <c r="H39" s="11">
        <f t="shared" si="19"/>
        <v>-1.4933219174275703</v>
      </c>
      <c r="I39" s="11">
        <f t="shared" si="18"/>
        <v>-4.9249741943050873</v>
      </c>
      <c r="J39" s="11">
        <f t="shared" si="18"/>
        <v>-5.644583688416704</v>
      </c>
      <c r="K39" s="11">
        <f t="shared" si="18"/>
        <v>-3.7685128662095835</v>
      </c>
    </row>
    <row r="40" spans="1:20">
      <c r="M40" s="91">
        <v>2003</v>
      </c>
      <c r="N40" s="91">
        <f>B23/$B$20</f>
        <v>1</v>
      </c>
      <c r="O40" s="91">
        <f>C23/$C$20</f>
        <v>0.88106649842391105</v>
      </c>
      <c r="P40" s="91">
        <f>D23/$D$20</f>
        <v>0.84630960159479285</v>
      </c>
      <c r="Q40" s="91">
        <f>E23/$E$20</f>
        <v>0.93441378483846538</v>
      </c>
      <c r="R40" s="91">
        <f>I23/$I$20</f>
        <v>0.82948559138294065</v>
      </c>
      <c r="S40" s="91">
        <f>J23/$J$20</f>
        <v>0.81547958582691971</v>
      </c>
      <c r="T40" s="91">
        <f>K23/$K$20</f>
        <v>0.85478843663206827</v>
      </c>
    </row>
    <row r="41" spans="1:20">
      <c r="A41" s="28" t="s">
        <v>304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M41" s="91">
        <v>2010</v>
      </c>
      <c r="N41" s="91">
        <f>B30/$B$20</f>
        <v>1</v>
      </c>
      <c r="O41" s="91">
        <f>C30/$C$20</f>
        <v>0.59699918286349274</v>
      </c>
      <c r="P41" s="91">
        <f>D30/$D$20</f>
        <v>0.49900894254505795</v>
      </c>
      <c r="Q41" s="91">
        <f>E30/$E$20</f>
        <v>0.58921618517064422</v>
      </c>
      <c r="R41" s="91">
        <f>I30/$I$20</f>
        <v>0.65659757490104398</v>
      </c>
      <c r="S41" s="91">
        <f>J30/$J$20</f>
        <v>0.57615815817568261</v>
      </c>
      <c r="T41" s="91">
        <f>K30/$K$20</f>
        <v>0.80220963180827398</v>
      </c>
    </row>
    <row r="42" spans="1:20">
      <c r="A42" s="231" t="s">
        <v>144</v>
      </c>
      <c r="M42" s="91">
        <v>2011</v>
      </c>
      <c r="N42" s="91">
        <f>B31/$B$20</f>
        <v>1</v>
      </c>
      <c r="O42" s="91">
        <f>C31/$C$20</f>
        <v>0.56645787050831586</v>
      </c>
      <c r="P42" s="91">
        <f>D31/$D$20</f>
        <v>0.64752459816913865</v>
      </c>
      <c r="Q42" s="91">
        <f>E31/$E$20</f>
        <v>0.54975563438218189</v>
      </c>
      <c r="R42" s="91">
        <f>I31/$I$20</f>
        <v>0.54714514778332324</v>
      </c>
      <c r="S42" s="91">
        <f>J31/$J$20</f>
        <v>0.4887312811427581</v>
      </c>
      <c r="T42" s="91">
        <f>K31/$K$20</f>
        <v>0.65285638995065121</v>
      </c>
    </row>
    <row r="43" spans="1:20">
      <c r="M43" s="91">
        <v>2012</v>
      </c>
      <c r="N43" s="91">
        <f>B32/$B$20</f>
        <v>1</v>
      </c>
      <c r="O43" s="91">
        <f>C32/$C$20</f>
        <v>0.5066733058222106</v>
      </c>
      <c r="P43" s="91">
        <f>D32/$D$20</f>
        <v>0.48623448249721452</v>
      </c>
      <c r="Q43" s="91">
        <f>E32/$E$20</f>
        <v>0.48851200701623126</v>
      </c>
      <c r="R43" s="91">
        <f>I32/$I$20</f>
        <v>0.54053881314328744</v>
      </c>
      <c r="S43" s="91">
        <f>J32/$J$20</f>
        <v>0.49458525211925514</v>
      </c>
      <c r="T43" s="91">
        <f>K32/$K$20</f>
        <v>0.6237007111178533</v>
      </c>
    </row>
    <row r="44" spans="1:20">
      <c r="M44" s="91">
        <v>2013</v>
      </c>
      <c r="N44" s="91">
        <f>B33/$B$20</f>
        <v>1</v>
      </c>
      <c r="O44" s="91">
        <f>C33/$C$20</f>
        <v>0.48945245222215694</v>
      </c>
      <c r="P44" s="91">
        <f>D33/$D$20</f>
        <v>0.41149301630810459</v>
      </c>
      <c r="Q44" s="91">
        <f>E33/$E$20</f>
        <v>0.49732631014988121</v>
      </c>
      <c r="R44" s="91">
        <f>I33/$I$20</f>
        <v>0.51863745264152183</v>
      </c>
      <c r="S44" s="91">
        <f>J33/$J$20</f>
        <v>0.46986041392806616</v>
      </c>
      <c r="T44" s="91">
        <f>K33/$K$20</f>
        <v>0.60690898212905098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9" orientation="portrait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U33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sqref="A1:U1"/>
    </sheetView>
  </sheetViews>
  <sheetFormatPr defaultRowHeight="15" outlineLevelRow="1"/>
  <cols>
    <col min="1" max="1" width="12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561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169"/>
      <c r="O4" s="169"/>
      <c r="P4" s="169"/>
      <c r="Q4" s="169"/>
      <c r="R4" s="169"/>
      <c r="S4" s="263"/>
      <c r="T4" s="263"/>
      <c r="U4" s="263"/>
    </row>
    <row r="5" spans="1:21" s="332" customFormat="1" outlineLevel="1">
      <c r="A5" s="33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21859.8</v>
      </c>
      <c r="M5" s="169">
        <f>N5+O5+S5</f>
        <v>932.3</v>
      </c>
      <c r="N5" s="129">
        <v>207.5</v>
      </c>
      <c r="O5" s="129">
        <v>365.5</v>
      </c>
      <c r="P5" s="129">
        <v>201.3</v>
      </c>
      <c r="Q5" s="129">
        <v>82.2</v>
      </c>
      <c r="R5" s="129">
        <v>70.400000000000006</v>
      </c>
      <c r="S5" s="129">
        <v>359.3</v>
      </c>
      <c r="T5" s="129" t="s">
        <v>9</v>
      </c>
      <c r="U5" s="129" t="s">
        <v>9</v>
      </c>
    </row>
    <row r="6" spans="1:21" s="332" customFormat="1" outlineLevel="1">
      <c r="A6" s="33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22211.200000000001</v>
      </c>
      <c r="M6" s="169">
        <f t="shared" ref="M6:M8" si="0">N6+O6+S6</f>
        <v>906.3</v>
      </c>
      <c r="N6" s="129">
        <v>242.2</v>
      </c>
      <c r="O6" s="129">
        <v>362.9</v>
      </c>
      <c r="P6" s="129">
        <v>193.9</v>
      </c>
      <c r="Q6" s="129">
        <v>87.8</v>
      </c>
      <c r="R6" s="129">
        <v>76</v>
      </c>
      <c r="S6" s="129">
        <v>301.2</v>
      </c>
      <c r="T6" s="129" t="s">
        <v>9</v>
      </c>
      <c r="U6" s="129" t="s">
        <v>9</v>
      </c>
    </row>
    <row r="7" spans="1:21" s="332" customFormat="1" outlineLevel="1">
      <c r="A7" s="33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23111.599999999999</v>
      </c>
      <c r="M7" s="169">
        <f t="shared" si="0"/>
        <v>985.7</v>
      </c>
      <c r="N7" s="129">
        <v>270.7</v>
      </c>
      <c r="O7" s="129">
        <v>380</v>
      </c>
      <c r="P7" s="129">
        <v>181.8</v>
      </c>
      <c r="Q7" s="129" t="s">
        <v>9</v>
      </c>
      <c r="R7" s="129">
        <v>107.8</v>
      </c>
      <c r="S7" s="129">
        <v>335</v>
      </c>
      <c r="T7" s="129">
        <v>274.5</v>
      </c>
      <c r="U7" s="129">
        <v>54.1</v>
      </c>
    </row>
    <row r="8" spans="1:21" s="332" customFormat="1" outlineLevel="1">
      <c r="A8" s="33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23702.1</v>
      </c>
      <c r="M8" s="169">
        <f t="shared" si="0"/>
        <v>995.4</v>
      </c>
      <c r="N8" s="129">
        <v>240.5</v>
      </c>
      <c r="O8" s="129">
        <v>382.5</v>
      </c>
      <c r="P8" s="129">
        <v>177.9</v>
      </c>
      <c r="Q8" s="129">
        <v>107</v>
      </c>
      <c r="R8" s="129">
        <v>119.1</v>
      </c>
      <c r="S8" s="129">
        <v>372.4</v>
      </c>
      <c r="T8" s="129">
        <v>307</v>
      </c>
      <c r="U8" s="129">
        <v>55.8</v>
      </c>
    </row>
    <row r="9" spans="1:21" s="332" customFormat="1" outlineLevel="1">
      <c r="A9" s="33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24410.3</v>
      </c>
      <c r="M9" s="169" t="s">
        <v>10</v>
      </c>
      <c r="N9" s="129">
        <v>274.8</v>
      </c>
      <c r="O9" s="129">
        <v>381</v>
      </c>
      <c r="P9" s="129">
        <v>171.3</v>
      </c>
      <c r="Q9" s="129">
        <v>118.5</v>
      </c>
      <c r="R9" s="129">
        <v>109.8</v>
      </c>
      <c r="S9" s="129" t="s">
        <v>9</v>
      </c>
      <c r="T9" s="129" t="s">
        <v>9</v>
      </c>
      <c r="U9" s="129" t="s">
        <v>9</v>
      </c>
    </row>
    <row r="10" spans="1:21" s="332" customFormat="1" outlineLevel="1">
      <c r="A10" s="33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24813.7</v>
      </c>
      <c r="M10" s="169" t="s">
        <v>10</v>
      </c>
      <c r="N10" s="129">
        <v>236.8</v>
      </c>
      <c r="O10" s="129">
        <v>387.8</v>
      </c>
      <c r="P10" s="129">
        <v>198.5</v>
      </c>
      <c r="Q10" s="129">
        <v>119</v>
      </c>
      <c r="R10" s="129">
        <v>77</v>
      </c>
      <c r="S10" s="129" t="s">
        <v>9</v>
      </c>
      <c r="T10" s="129" t="s">
        <v>9</v>
      </c>
      <c r="U10" s="129" t="s">
        <v>9</v>
      </c>
    </row>
    <row r="11" spans="1:21" s="332" customFormat="1" outlineLevel="1">
      <c r="A11" s="33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25480.3</v>
      </c>
      <c r="M11" s="169" t="s">
        <v>10</v>
      </c>
      <c r="N11" s="129">
        <v>218.3</v>
      </c>
      <c r="O11" s="129">
        <v>338</v>
      </c>
      <c r="P11" s="129">
        <v>172.6</v>
      </c>
      <c r="Q11" s="129">
        <v>103.2</v>
      </c>
      <c r="R11" s="129">
        <v>67.599999999999994</v>
      </c>
      <c r="S11" s="129" t="s">
        <v>9</v>
      </c>
      <c r="T11" s="129" t="s">
        <v>9</v>
      </c>
      <c r="U11" s="129" t="s">
        <v>9</v>
      </c>
    </row>
    <row r="12" spans="1:21">
      <c r="A12" s="263">
        <v>2007</v>
      </c>
      <c r="B12" s="81">
        <v>25776.6</v>
      </c>
      <c r="C12" s="81" t="s">
        <v>10</v>
      </c>
      <c r="D12" s="81">
        <v>231.1</v>
      </c>
      <c r="E12" s="81">
        <v>280.10000000000002</v>
      </c>
      <c r="F12" s="81">
        <v>152.9</v>
      </c>
      <c r="G12" s="81">
        <v>61</v>
      </c>
      <c r="H12" s="81">
        <v>66.2</v>
      </c>
      <c r="I12" s="81" t="s">
        <v>9</v>
      </c>
      <c r="J12" s="81" t="s">
        <v>9</v>
      </c>
      <c r="K12" s="81" t="s">
        <v>9</v>
      </c>
      <c r="L12" s="81">
        <v>25776.6</v>
      </c>
      <c r="M12" s="169" t="s">
        <v>10</v>
      </c>
      <c r="N12" s="81">
        <v>231.1</v>
      </c>
      <c r="O12" s="81">
        <v>280.10000000000002</v>
      </c>
      <c r="P12" s="81">
        <v>152.9</v>
      </c>
      <c r="Q12" s="81">
        <v>61</v>
      </c>
      <c r="R12" s="81">
        <v>66.2</v>
      </c>
      <c r="S12" s="81" t="s">
        <v>9</v>
      </c>
      <c r="T12" s="81" t="s">
        <v>9</v>
      </c>
      <c r="U12" s="81" t="s">
        <v>9</v>
      </c>
    </row>
    <row r="13" spans="1:21">
      <c r="A13" s="263">
        <v>2008</v>
      </c>
      <c r="B13" s="81">
        <v>26198.3</v>
      </c>
      <c r="C13" s="81" t="s">
        <v>10</v>
      </c>
      <c r="D13" s="81">
        <v>244.2</v>
      </c>
      <c r="E13" s="81">
        <v>253.2</v>
      </c>
      <c r="F13" s="81" t="s">
        <v>9</v>
      </c>
      <c r="G13" s="81">
        <v>50.9</v>
      </c>
      <c r="H13" s="81" t="s">
        <v>9</v>
      </c>
      <c r="I13" s="81" t="s">
        <v>9</v>
      </c>
      <c r="J13" s="81" t="s">
        <v>9</v>
      </c>
      <c r="K13" s="81" t="s">
        <v>9</v>
      </c>
      <c r="L13" s="81">
        <v>26081.200000000001</v>
      </c>
      <c r="M13" s="169" t="s">
        <v>10</v>
      </c>
      <c r="N13" s="81">
        <v>255.6</v>
      </c>
      <c r="O13" s="81">
        <v>256.7</v>
      </c>
      <c r="P13" s="81" t="s">
        <v>9</v>
      </c>
      <c r="Q13" s="81">
        <v>50.3</v>
      </c>
      <c r="R13" s="81" t="s">
        <v>9</v>
      </c>
      <c r="S13" s="81" t="s">
        <v>9</v>
      </c>
      <c r="T13" s="81" t="s">
        <v>9</v>
      </c>
      <c r="U13" s="81" t="s">
        <v>9</v>
      </c>
    </row>
    <row r="14" spans="1:21">
      <c r="A14" s="263">
        <v>2009</v>
      </c>
      <c r="B14" s="81">
        <v>26584.1</v>
      </c>
      <c r="C14" s="81" t="s">
        <v>10</v>
      </c>
      <c r="D14" s="81">
        <v>242.8</v>
      </c>
      <c r="E14" s="81">
        <v>223.6</v>
      </c>
      <c r="F14" s="81" t="s">
        <v>9</v>
      </c>
      <c r="G14" s="81">
        <v>42.7</v>
      </c>
      <c r="H14" s="81" t="s">
        <v>9</v>
      </c>
      <c r="I14" s="81" t="s">
        <v>9</v>
      </c>
      <c r="J14" s="81" t="s">
        <v>9</v>
      </c>
      <c r="K14" s="81" t="s">
        <v>9</v>
      </c>
      <c r="L14" s="81">
        <v>25755.200000000001</v>
      </c>
      <c r="M14" s="169" t="s">
        <v>10</v>
      </c>
      <c r="N14" s="81">
        <v>226.9</v>
      </c>
      <c r="O14" s="81">
        <v>221.4</v>
      </c>
      <c r="P14" s="81" t="s">
        <v>9</v>
      </c>
      <c r="Q14" s="81">
        <v>45.9</v>
      </c>
      <c r="R14" s="81" t="s">
        <v>9</v>
      </c>
      <c r="S14" s="81" t="s">
        <v>9</v>
      </c>
      <c r="T14" s="81" t="s">
        <v>9</v>
      </c>
      <c r="U14" s="81" t="s">
        <v>9</v>
      </c>
    </row>
    <row r="15" spans="1:21">
      <c r="A15" s="263">
        <v>2010</v>
      </c>
      <c r="B15" s="81">
        <v>27746</v>
      </c>
      <c r="C15" s="81" t="s">
        <v>10</v>
      </c>
      <c r="D15" s="81">
        <v>272.8</v>
      </c>
      <c r="E15" s="81">
        <v>271.8</v>
      </c>
      <c r="F15" s="81" t="s">
        <v>9</v>
      </c>
      <c r="G15" s="81" t="s">
        <v>9</v>
      </c>
      <c r="H15" s="81" t="s">
        <v>9</v>
      </c>
      <c r="I15" s="81" t="s">
        <v>9</v>
      </c>
      <c r="J15" s="81" t="s">
        <v>9</v>
      </c>
      <c r="K15" s="81" t="s">
        <v>9</v>
      </c>
      <c r="L15" s="81">
        <v>26275.599999999999</v>
      </c>
      <c r="M15" s="169" t="s">
        <v>10</v>
      </c>
      <c r="N15" s="81">
        <v>260.5</v>
      </c>
      <c r="O15" s="81">
        <v>252.4</v>
      </c>
      <c r="P15" s="81" t="s">
        <v>9</v>
      </c>
      <c r="Q15" s="81" t="s">
        <v>9</v>
      </c>
      <c r="R15" s="81" t="s">
        <v>9</v>
      </c>
      <c r="S15" s="81" t="s">
        <v>9</v>
      </c>
      <c r="T15" s="81" t="s">
        <v>9</v>
      </c>
      <c r="U15" s="81" t="s">
        <v>9</v>
      </c>
    </row>
    <row r="16" spans="1:21">
      <c r="A16" s="263">
        <v>2011</v>
      </c>
      <c r="B16" s="81">
        <v>28946.7</v>
      </c>
      <c r="C16" s="81" t="s">
        <v>10</v>
      </c>
      <c r="D16" s="81">
        <v>257.7</v>
      </c>
      <c r="E16" s="81">
        <v>271.7</v>
      </c>
      <c r="F16" s="81" t="s">
        <v>9</v>
      </c>
      <c r="G16" s="81" t="s">
        <v>9</v>
      </c>
      <c r="H16" s="81">
        <v>103.1</v>
      </c>
      <c r="I16" s="81" t="s">
        <v>9</v>
      </c>
      <c r="J16" s="81" t="s">
        <v>9</v>
      </c>
      <c r="K16" s="81" t="s">
        <v>9</v>
      </c>
      <c r="L16" s="81">
        <v>26378</v>
      </c>
      <c r="M16" s="169" t="s">
        <v>10</v>
      </c>
      <c r="N16" s="81">
        <v>246.2</v>
      </c>
      <c r="O16" s="81">
        <v>279.39999999999998</v>
      </c>
      <c r="P16" s="81" t="s">
        <v>9</v>
      </c>
      <c r="Q16" s="81" t="s">
        <v>9</v>
      </c>
      <c r="R16" s="81">
        <v>84.5</v>
      </c>
      <c r="S16" s="81" t="s">
        <v>9</v>
      </c>
      <c r="T16" s="81" t="s">
        <v>9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26222.5</v>
      </c>
      <c r="M17" s="169" t="s">
        <v>10</v>
      </c>
      <c r="N17" s="81">
        <v>241.4</v>
      </c>
      <c r="O17" s="81">
        <v>283.10000000000002</v>
      </c>
      <c r="P17" s="81" t="s">
        <v>9</v>
      </c>
      <c r="Q17" s="81" t="s">
        <v>9</v>
      </c>
      <c r="R17" s="81">
        <v>83.6</v>
      </c>
      <c r="S17" s="81" t="s">
        <v>9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26072.799999999999</v>
      </c>
      <c r="M18" s="169" t="s">
        <v>10</v>
      </c>
      <c r="N18" s="81">
        <v>242</v>
      </c>
      <c r="O18" s="81">
        <v>301.8</v>
      </c>
      <c r="P18" s="81" t="s">
        <v>9</v>
      </c>
      <c r="Q18" s="81" t="s">
        <v>9</v>
      </c>
      <c r="R18" s="81">
        <v>90.3</v>
      </c>
      <c r="S18" s="81" t="s">
        <v>9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18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18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2.3824776956868021</v>
      </c>
      <c r="M21" s="284" t="s">
        <v>10</v>
      </c>
      <c r="N21" s="284">
        <f t="shared" ref="N21:R21" si="1">((N12/N5)^(1/7)-1)*100</f>
        <v>1.5507465887909744</v>
      </c>
      <c r="O21" s="284">
        <f t="shared" si="1"/>
        <v>-3.7303507183462203</v>
      </c>
      <c r="P21" s="284">
        <f t="shared" si="1"/>
        <v>-3.8525715940265215</v>
      </c>
      <c r="Q21" s="284">
        <f t="shared" si="1"/>
        <v>-4.1716517453480488</v>
      </c>
      <c r="R21" s="284">
        <f t="shared" si="1"/>
        <v>-0.87490452826932685</v>
      </c>
      <c r="S21" s="284" t="s">
        <v>10</v>
      </c>
      <c r="T21" s="284" t="s">
        <v>10</v>
      </c>
      <c r="U21" s="284" t="s">
        <v>10</v>
      </c>
    </row>
    <row r="22" spans="1:21" ht="18" customHeight="1">
      <c r="A22" s="260" t="s">
        <v>368</v>
      </c>
      <c r="B22" s="284">
        <f>((B15/B12)^(1/3)-1)*100</f>
        <v>2.4845149319025595</v>
      </c>
      <c r="C22" s="284" t="s">
        <v>10</v>
      </c>
      <c r="D22" s="284">
        <f t="shared" ref="D22:O22" si="2">((D15/D12)^(1/3)-1)*100</f>
        <v>5.6853540961722571</v>
      </c>
      <c r="E22" s="284">
        <f t="shared" si="2"/>
        <v>-0.99766268103022027</v>
      </c>
      <c r="F22" s="284" t="s">
        <v>10</v>
      </c>
      <c r="G22" s="284" t="s">
        <v>10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2"/>
        <v>0.64116834908558573</v>
      </c>
      <c r="M22" s="284" t="s">
        <v>10</v>
      </c>
      <c r="N22" s="284">
        <f t="shared" si="2"/>
        <v>4.0724856697584189</v>
      </c>
      <c r="O22" s="284">
        <f t="shared" si="2"/>
        <v>-3.4115017119607738</v>
      </c>
      <c r="P22" s="284" t="s">
        <v>10</v>
      </c>
      <c r="Q22" s="284" t="s">
        <v>10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 ht="18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O23" si="3">((L18/L15)^(1/3)-1)*100</f>
        <v>-0.25793765347917885</v>
      </c>
      <c r="M23" s="284" t="s">
        <v>10</v>
      </c>
      <c r="N23" s="284">
        <f t="shared" si="3"/>
        <v>-2.425602239904423</v>
      </c>
      <c r="O23" s="284">
        <f t="shared" si="3"/>
        <v>6.1394000075500221</v>
      </c>
      <c r="P23" s="284" t="s">
        <v>10</v>
      </c>
      <c r="Q23" s="284" t="s">
        <v>10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4">IFERROR(((C18/C12)^(1/6)-1)*100,"n.a.")</f>
        <v>n.a.</v>
      </c>
      <c r="D24" s="192" t="str">
        <f t="shared" si="4"/>
        <v>n.a.</v>
      </c>
      <c r="E24" s="192" t="str">
        <f t="shared" si="4"/>
        <v>n.a.</v>
      </c>
      <c r="F24" s="192" t="str">
        <f t="shared" si="4"/>
        <v>n.a.</v>
      </c>
      <c r="G24" s="192" t="str">
        <f t="shared" si="4"/>
        <v>n.a.</v>
      </c>
      <c r="H24" s="192" t="str">
        <f t="shared" si="4"/>
        <v>n.a.</v>
      </c>
      <c r="I24" s="192" t="str">
        <f t="shared" si="4"/>
        <v>n.a.</v>
      </c>
      <c r="J24" s="192" t="str">
        <f t="shared" si="4"/>
        <v>n.a.</v>
      </c>
      <c r="K24" s="192" t="str">
        <f t="shared" si="4"/>
        <v>n.a.</v>
      </c>
      <c r="L24" s="192">
        <f t="shared" si="4"/>
        <v>0.1906067857720517</v>
      </c>
      <c r="M24" s="192" t="str">
        <f t="shared" si="4"/>
        <v>n.a.</v>
      </c>
      <c r="N24" s="192">
        <f t="shared" si="4"/>
        <v>0.7710777585655082</v>
      </c>
      <c r="O24" s="192">
        <f t="shared" si="4"/>
        <v>1.251396315916331</v>
      </c>
      <c r="P24" s="192" t="str">
        <f t="shared" si="4"/>
        <v>n.a.</v>
      </c>
      <c r="Q24" s="192" t="str">
        <f t="shared" si="4"/>
        <v>n.a.</v>
      </c>
      <c r="R24" s="192">
        <f t="shared" si="4"/>
        <v>5.3104883771962763</v>
      </c>
      <c r="S24" s="192" t="str">
        <f t="shared" si="4"/>
        <v>n.a.</v>
      </c>
      <c r="T24" s="192" t="str">
        <f t="shared" si="4"/>
        <v>n.a.</v>
      </c>
      <c r="U24" s="192" t="str">
        <f t="shared" si="4"/>
        <v>n.a.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>((L18/L5)^(1/13)-1)*100</f>
        <v>1.3649491508914702</v>
      </c>
      <c r="M25" s="81" t="s">
        <v>10</v>
      </c>
      <c r="N25" s="192">
        <f>((N18/N5)^(1/13)-1)*100</f>
        <v>1.1901526700561993</v>
      </c>
      <c r="O25" s="192">
        <f>((O18/O5)^(1/13)-1)*100</f>
        <v>-1.4622933592876808</v>
      </c>
      <c r="P25" s="81" t="s">
        <v>10</v>
      </c>
      <c r="Q25" s="81" t="s">
        <v>10</v>
      </c>
      <c r="R25" s="192">
        <f>((R18/R5)^(1/13)-1)*100</f>
        <v>1.9334082336217362</v>
      </c>
      <c r="S25" s="81" t="s">
        <v>10</v>
      </c>
      <c r="T25" s="81" t="s">
        <v>10</v>
      </c>
      <c r="U25" s="81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30" spans="1:2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3" spans="1:21" ht="45" customHeight="1">
      <c r="A33" s="490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</row>
  </sheetData>
  <mergeCells count="8">
    <mergeCell ref="A32:U32"/>
    <mergeCell ref="A33:U33"/>
    <mergeCell ref="A1:U1"/>
    <mergeCell ref="B2:K2"/>
    <mergeCell ref="L2:U2"/>
    <mergeCell ref="A20:U20"/>
    <mergeCell ref="A30:U30"/>
    <mergeCell ref="A31:U31"/>
  </mergeCells>
  <printOptions gridLines="1"/>
  <pageMargins left="0.7" right="0.7" top="0.75" bottom="0.75" header="0.3" footer="0.3"/>
  <pageSetup scale="56" orientation="landscape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U32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M24" sqref="M24"/>
    </sheetView>
  </sheetViews>
  <sheetFormatPr defaultRowHeight="15" outlineLevelRow="1"/>
  <cols>
    <col min="1" max="1" width="12.57031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562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251732.3</v>
      </c>
      <c r="M5" s="169">
        <f>N5+O5+S5</f>
        <v>6668.6</v>
      </c>
      <c r="N5" s="129">
        <v>866.7</v>
      </c>
      <c r="O5" s="129">
        <v>2417.8000000000002</v>
      </c>
      <c r="P5" s="129">
        <v>989</v>
      </c>
      <c r="Q5" s="129">
        <v>394.5</v>
      </c>
      <c r="R5" s="129">
        <v>1056.5</v>
      </c>
      <c r="S5" s="129">
        <v>3384.1</v>
      </c>
      <c r="T5" s="129">
        <v>2275.8000000000002</v>
      </c>
      <c r="U5" s="129">
        <v>1073.3</v>
      </c>
    </row>
    <row r="6" spans="1:21" s="332" customFormat="1" outlineLevel="1">
      <c r="A6" s="33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255353.4</v>
      </c>
      <c r="M6" s="169">
        <f t="shared" ref="M6:M11" si="0">N6+O6+S6</f>
        <v>6869.1</v>
      </c>
      <c r="N6" s="129">
        <v>893.3</v>
      </c>
      <c r="O6" s="129">
        <v>2612.9</v>
      </c>
      <c r="P6" s="129">
        <v>1089.7</v>
      </c>
      <c r="Q6" s="129">
        <v>441.4</v>
      </c>
      <c r="R6" s="129">
        <v>1074.7</v>
      </c>
      <c r="S6" s="129">
        <v>3362.9</v>
      </c>
      <c r="T6" s="129">
        <v>2242.9</v>
      </c>
      <c r="U6" s="129">
        <v>1101.4000000000001</v>
      </c>
    </row>
    <row r="7" spans="1:21" s="332" customFormat="1" outlineLevel="1">
      <c r="A7" s="33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261863.4</v>
      </c>
      <c r="M7" s="169">
        <f t="shared" si="0"/>
        <v>7271.6</v>
      </c>
      <c r="N7" s="129">
        <v>909</v>
      </c>
      <c r="O7" s="129">
        <v>2857.2</v>
      </c>
      <c r="P7" s="129">
        <v>1196.0999999999999</v>
      </c>
      <c r="Q7" s="129">
        <v>493.7</v>
      </c>
      <c r="R7" s="129">
        <v>1148.2</v>
      </c>
      <c r="S7" s="129">
        <v>3505.4</v>
      </c>
      <c r="T7" s="129">
        <v>2298.5</v>
      </c>
      <c r="U7" s="129">
        <v>1213.4000000000001</v>
      </c>
    </row>
    <row r="8" spans="1:21" s="332" customFormat="1" outlineLevel="1">
      <c r="A8" s="33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265014.7</v>
      </c>
      <c r="M8" s="169">
        <f t="shared" si="0"/>
        <v>6968.5</v>
      </c>
      <c r="N8" s="129">
        <v>846.3</v>
      </c>
      <c r="O8" s="129">
        <v>2769.7</v>
      </c>
      <c r="P8" s="129">
        <v>1129</v>
      </c>
      <c r="Q8" s="129">
        <v>445.2</v>
      </c>
      <c r="R8" s="129">
        <v>1221.8</v>
      </c>
      <c r="S8" s="129">
        <v>3352.5</v>
      </c>
      <c r="T8" s="129">
        <v>2197.1</v>
      </c>
      <c r="U8" s="129">
        <v>1162.5999999999999</v>
      </c>
    </row>
    <row r="9" spans="1:21" s="332" customFormat="1" outlineLevel="1">
      <c r="A9" s="33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270902.7</v>
      </c>
      <c r="M9" s="169">
        <f t="shared" si="0"/>
        <v>6685.4</v>
      </c>
      <c r="N9" s="129">
        <v>963.7</v>
      </c>
      <c r="O9" s="129">
        <v>2594.1999999999998</v>
      </c>
      <c r="P9" s="129">
        <v>920.4</v>
      </c>
      <c r="Q9" s="129">
        <v>419.7</v>
      </c>
      <c r="R9" s="129">
        <v>1376.9</v>
      </c>
      <c r="S9" s="129">
        <v>3127.5</v>
      </c>
      <c r="T9" s="129">
        <v>1956.2</v>
      </c>
      <c r="U9" s="129">
        <v>1198.3</v>
      </c>
    </row>
    <row r="10" spans="1:21" s="332" customFormat="1" outlineLevel="1">
      <c r="A10" s="33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275436.79999999999</v>
      </c>
      <c r="M10" s="169">
        <f t="shared" si="0"/>
        <v>7214.2</v>
      </c>
      <c r="N10" s="129">
        <v>1039.7</v>
      </c>
      <c r="O10" s="129">
        <v>2857.8</v>
      </c>
      <c r="P10" s="129">
        <v>1153.3</v>
      </c>
      <c r="Q10" s="129">
        <v>503.4</v>
      </c>
      <c r="R10" s="129">
        <v>1212.0999999999999</v>
      </c>
      <c r="S10" s="129">
        <v>3316.7</v>
      </c>
      <c r="T10" s="129">
        <v>2200.6</v>
      </c>
      <c r="U10" s="129">
        <v>1117.3</v>
      </c>
    </row>
    <row r="11" spans="1:21" s="332" customFormat="1" outlineLevel="1">
      <c r="A11" s="33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279858.59999999998</v>
      </c>
      <c r="M11" s="169">
        <f t="shared" si="0"/>
        <v>6998.4000000000005</v>
      </c>
      <c r="N11" s="129">
        <v>979.3</v>
      </c>
      <c r="O11" s="129">
        <v>2855.8</v>
      </c>
      <c r="P11" s="129">
        <v>1093.9000000000001</v>
      </c>
      <c r="Q11" s="129">
        <v>562.1</v>
      </c>
      <c r="R11" s="129">
        <v>1195.5</v>
      </c>
      <c r="S11" s="129">
        <v>3163.3</v>
      </c>
      <c r="T11" s="129">
        <v>2117.9</v>
      </c>
      <c r="U11" s="129">
        <v>1042</v>
      </c>
    </row>
    <row r="12" spans="1:21">
      <c r="A12" s="263">
        <v>2007</v>
      </c>
      <c r="B12" s="81">
        <v>285328.7</v>
      </c>
      <c r="C12" s="81">
        <f>D12+E12+I12</f>
        <v>6550.6</v>
      </c>
      <c r="D12" s="81">
        <v>870.5</v>
      </c>
      <c r="E12" s="81">
        <v>2562.9</v>
      </c>
      <c r="F12" s="81">
        <v>912.9</v>
      </c>
      <c r="G12" s="81">
        <v>518.6</v>
      </c>
      <c r="H12" s="81">
        <v>1131.4000000000001</v>
      </c>
      <c r="I12" s="81">
        <v>3117.2</v>
      </c>
      <c r="J12" s="81">
        <v>2066.3000000000002</v>
      </c>
      <c r="K12" s="81">
        <v>1050.9000000000001</v>
      </c>
      <c r="L12" s="81">
        <v>285328.7</v>
      </c>
      <c r="M12" s="169">
        <f>N12+O12+S12</f>
        <v>6550.6</v>
      </c>
      <c r="N12" s="81">
        <v>870.5</v>
      </c>
      <c r="O12" s="81">
        <v>2562.9</v>
      </c>
      <c r="P12" s="81">
        <v>912.9</v>
      </c>
      <c r="Q12" s="81">
        <v>518.6</v>
      </c>
      <c r="R12" s="81">
        <v>1131.4000000000001</v>
      </c>
      <c r="S12" s="81">
        <v>3117.2</v>
      </c>
      <c r="T12" s="81">
        <v>2066.3000000000002</v>
      </c>
      <c r="U12" s="81">
        <v>1050.9000000000001</v>
      </c>
    </row>
    <row r="13" spans="1:21">
      <c r="A13" s="263">
        <v>2008</v>
      </c>
      <c r="B13" s="81">
        <v>293766.90000000002</v>
      </c>
      <c r="C13" s="81">
        <f t="shared" ref="C13:C16" si="1">D13+E13+I13</f>
        <v>6213.4</v>
      </c>
      <c r="D13" s="81">
        <v>847.1</v>
      </c>
      <c r="E13" s="81">
        <v>2316.6999999999998</v>
      </c>
      <c r="F13" s="81">
        <v>763.2</v>
      </c>
      <c r="G13" s="81">
        <v>456.8</v>
      </c>
      <c r="H13" s="81">
        <v>1096.7</v>
      </c>
      <c r="I13" s="81">
        <v>3049.6</v>
      </c>
      <c r="J13" s="81">
        <v>1949.4</v>
      </c>
      <c r="K13" s="81">
        <v>1100.2</v>
      </c>
      <c r="L13" s="81">
        <v>290579.90000000002</v>
      </c>
      <c r="M13" s="169">
        <f t="shared" ref="M13:M18" si="2">N13+O13+S13</f>
        <v>6239</v>
      </c>
      <c r="N13" s="81">
        <v>864.6</v>
      </c>
      <c r="O13" s="81">
        <v>2444.9</v>
      </c>
      <c r="P13" s="81">
        <v>806.1</v>
      </c>
      <c r="Q13" s="81">
        <v>496.5</v>
      </c>
      <c r="R13" s="81">
        <v>1141.8</v>
      </c>
      <c r="S13" s="81">
        <v>2929.5</v>
      </c>
      <c r="T13" s="81">
        <v>1873.9</v>
      </c>
      <c r="U13" s="81">
        <v>1055.3</v>
      </c>
    </row>
    <row r="14" spans="1:21">
      <c r="A14" s="263">
        <v>2009</v>
      </c>
      <c r="B14" s="81">
        <v>296316.5</v>
      </c>
      <c r="C14" s="81">
        <f t="shared" si="1"/>
        <v>5249.7000000000007</v>
      </c>
      <c r="D14" s="81">
        <v>840.8</v>
      </c>
      <c r="E14" s="81">
        <v>1715.5</v>
      </c>
      <c r="F14" s="81">
        <v>478.6</v>
      </c>
      <c r="G14" s="81">
        <v>379.3</v>
      </c>
      <c r="H14" s="81">
        <v>857.6</v>
      </c>
      <c r="I14" s="81">
        <v>2693.4</v>
      </c>
      <c r="J14" s="81">
        <v>1697.5</v>
      </c>
      <c r="K14" s="81">
        <v>995.9</v>
      </c>
      <c r="L14" s="81">
        <v>288180</v>
      </c>
      <c r="M14" s="169">
        <f t="shared" si="2"/>
        <v>5567.1</v>
      </c>
      <c r="N14" s="81">
        <v>790</v>
      </c>
      <c r="O14" s="81">
        <v>2132.4</v>
      </c>
      <c r="P14" s="81">
        <v>614.5</v>
      </c>
      <c r="Q14" s="81">
        <v>502.7</v>
      </c>
      <c r="R14" s="81">
        <v>1015.3</v>
      </c>
      <c r="S14" s="81">
        <v>2644.7</v>
      </c>
      <c r="T14" s="81">
        <v>1606.4</v>
      </c>
      <c r="U14" s="81">
        <v>1042.9000000000001</v>
      </c>
    </row>
    <row r="15" spans="1:21">
      <c r="A15" s="263">
        <v>2010</v>
      </c>
      <c r="B15" s="81">
        <v>309059</v>
      </c>
      <c r="C15" s="81">
        <f t="shared" si="1"/>
        <v>5459.3</v>
      </c>
      <c r="D15" s="81">
        <v>682.1</v>
      </c>
      <c r="E15" s="81">
        <v>1865.4</v>
      </c>
      <c r="F15" s="81">
        <v>605.29999999999995</v>
      </c>
      <c r="G15" s="81">
        <v>399.6</v>
      </c>
      <c r="H15" s="81">
        <v>860.5</v>
      </c>
      <c r="I15" s="81">
        <v>2911.8</v>
      </c>
      <c r="J15" s="81">
        <v>1899.4</v>
      </c>
      <c r="K15" s="81">
        <v>1012.4</v>
      </c>
      <c r="L15" s="81">
        <v>294089.59999999998</v>
      </c>
      <c r="M15" s="169">
        <f t="shared" si="2"/>
        <v>5831.7</v>
      </c>
      <c r="N15" s="81">
        <v>871.2</v>
      </c>
      <c r="O15" s="81">
        <v>2219.5</v>
      </c>
      <c r="P15" s="81">
        <v>699.9</v>
      </c>
      <c r="Q15" s="81">
        <v>513.1</v>
      </c>
      <c r="R15" s="81">
        <v>1007.8</v>
      </c>
      <c r="S15" s="81">
        <v>2741</v>
      </c>
      <c r="T15" s="81">
        <v>1747.5</v>
      </c>
      <c r="U15" s="81">
        <v>991.8</v>
      </c>
    </row>
    <row r="16" spans="1:21">
      <c r="A16" s="263">
        <v>2011</v>
      </c>
      <c r="B16" s="81">
        <v>322992.7</v>
      </c>
      <c r="C16" s="81">
        <f t="shared" si="1"/>
        <v>5300.2000000000007</v>
      </c>
      <c r="D16" s="81">
        <v>863.3</v>
      </c>
      <c r="E16" s="81">
        <v>1792.5</v>
      </c>
      <c r="F16" s="81">
        <v>511.8</v>
      </c>
      <c r="G16" s="81">
        <v>337.3</v>
      </c>
      <c r="H16" s="81">
        <v>943.4</v>
      </c>
      <c r="I16" s="81">
        <v>2644.4</v>
      </c>
      <c r="J16" s="81">
        <v>1734.9</v>
      </c>
      <c r="K16" s="81">
        <v>909.4</v>
      </c>
      <c r="L16" s="81">
        <v>300008.2</v>
      </c>
      <c r="M16" s="169">
        <f t="shared" si="2"/>
        <v>5771.7000000000007</v>
      </c>
      <c r="N16" s="81">
        <v>900.9</v>
      </c>
      <c r="O16" s="81">
        <v>2228.3000000000002</v>
      </c>
      <c r="P16" s="81">
        <v>674.8</v>
      </c>
      <c r="Q16" s="81">
        <v>513.29999999999995</v>
      </c>
      <c r="R16" s="81">
        <v>1039</v>
      </c>
      <c r="S16" s="81">
        <v>2642.5</v>
      </c>
      <c r="T16" s="81">
        <v>1726.6</v>
      </c>
      <c r="U16" s="81">
        <v>912.8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304041</v>
      </c>
      <c r="M17" s="169">
        <f t="shared" si="2"/>
        <v>5624.6</v>
      </c>
      <c r="N17" s="81">
        <v>901.6</v>
      </c>
      <c r="O17" s="81">
        <v>2258.4</v>
      </c>
      <c r="P17" s="81">
        <v>700.1</v>
      </c>
      <c r="Q17" s="81">
        <v>481.3</v>
      </c>
      <c r="R17" s="81">
        <v>1069.0999999999999</v>
      </c>
      <c r="S17" s="81">
        <v>2464.6</v>
      </c>
      <c r="T17" s="81">
        <v>1629.5</v>
      </c>
      <c r="U17" s="81">
        <v>832.1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307382.90000000002</v>
      </c>
      <c r="M18" s="169">
        <f t="shared" si="2"/>
        <v>5809.1</v>
      </c>
      <c r="N18" s="81">
        <v>917.1</v>
      </c>
      <c r="O18" s="81">
        <v>2436.1999999999998</v>
      </c>
      <c r="P18" s="81">
        <v>751.5</v>
      </c>
      <c r="Q18" s="81">
        <v>539.20000000000005</v>
      </c>
      <c r="R18" s="81">
        <v>1140.5</v>
      </c>
      <c r="S18" s="81">
        <v>2455.8000000000002</v>
      </c>
      <c r="T18" s="81">
        <v>1629.1</v>
      </c>
      <c r="U18" s="81">
        <v>823.7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15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15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1.8057620553368237</v>
      </c>
      <c r="M21" s="284">
        <f t="shared" ref="M21:U21" si="3">((M12/M5)^(1/7)-1)*100</f>
        <v>-0.2547220932956118</v>
      </c>
      <c r="N21" s="284">
        <f t="shared" si="3"/>
        <v>6.2517577924459111E-2</v>
      </c>
      <c r="O21" s="284">
        <f t="shared" si="3"/>
        <v>0.83606702478753459</v>
      </c>
      <c r="P21" s="284">
        <f t="shared" si="3"/>
        <v>-1.137311526285345</v>
      </c>
      <c r="Q21" s="284">
        <f t="shared" si="3"/>
        <v>3.9846795624878251</v>
      </c>
      <c r="R21" s="284">
        <f t="shared" si="3"/>
        <v>0.9832920846704285</v>
      </c>
      <c r="S21" s="284">
        <f t="shared" si="3"/>
        <v>-1.1667518838158975</v>
      </c>
      <c r="T21" s="284">
        <f t="shared" si="3"/>
        <v>-1.370128127303949</v>
      </c>
      <c r="U21" s="284">
        <f t="shared" si="3"/>
        <v>-0.30084760981717862</v>
      </c>
    </row>
    <row r="22" spans="1:21" ht="15" customHeight="1">
      <c r="A22" s="260" t="s">
        <v>368</v>
      </c>
      <c r="B22" s="284">
        <f>((B15/B12)^(1/3)-1)*100</f>
        <v>2.6987866176000352</v>
      </c>
      <c r="C22" s="284">
        <f t="shared" ref="C22:U22" si="4">((C15/C12)^(1/3)-1)*100</f>
        <v>-5.8937156009923104</v>
      </c>
      <c r="D22" s="284">
        <f t="shared" si="4"/>
        <v>-7.8080308317546425</v>
      </c>
      <c r="E22" s="284">
        <f t="shared" si="4"/>
        <v>-10.047458749422056</v>
      </c>
      <c r="F22" s="284">
        <f t="shared" si="4"/>
        <v>-12.800133051225803</v>
      </c>
      <c r="G22" s="284">
        <f t="shared" si="4"/>
        <v>-8.3221705675288753</v>
      </c>
      <c r="H22" s="284">
        <f t="shared" si="4"/>
        <v>-8.7194531080751041</v>
      </c>
      <c r="I22" s="284">
        <f t="shared" si="4"/>
        <v>-2.2465055367290376</v>
      </c>
      <c r="J22" s="284">
        <f t="shared" si="4"/>
        <v>-2.7683432178347456</v>
      </c>
      <c r="K22" s="284">
        <f t="shared" si="4"/>
        <v>-1.2363993313292854</v>
      </c>
      <c r="L22" s="284">
        <f t="shared" si="4"/>
        <v>1.0131861154098587</v>
      </c>
      <c r="M22" s="284">
        <f t="shared" si="4"/>
        <v>-3.8008212399241459</v>
      </c>
      <c r="N22" s="284">
        <f t="shared" si="4"/>
        <v>2.6797336861905663E-2</v>
      </c>
      <c r="O22" s="284">
        <f t="shared" si="4"/>
        <v>-4.6820933083971834</v>
      </c>
      <c r="P22" s="284">
        <f t="shared" si="4"/>
        <v>-8.4754514285645399</v>
      </c>
      <c r="Q22" s="284">
        <f t="shared" si="4"/>
        <v>-0.35477302664372878</v>
      </c>
      <c r="R22" s="284">
        <f t="shared" si="4"/>
        <v>-3.7827973156788208</v>
      </c>
      <c r="S22" s="284">
        <f t="shared" si="4"/>
        <v>-4.196482243489708</v>
      </c>
      <c r="T22" s="284">
        <f t="shared" si="4"/>
        <v>-5.4326390424105035</v>
      </c>
      <c r="U22" s="284">
        <f t="shared" si="4"/>
        <v>-1.9108651689785372</v>
      </c>
    </row>
    <row r="23" spans="1:21" ht="15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U23" si="5">((L18/L15)^(1/3)-1)*100</f>
        <v>1.4845691610045897</v>
      </c>
      <c r="M23" s="284">
        <f>((M18/M15)^(1/3)-1)*100</f>
        <v>-0.12934625968538116</v>
      </c>
      <c r="N23" s="284">
        <f t="shared" si="5"/>
        <v>1.7262282434457488</v>
      </c>
      <c r="O23" s="284">
        <f t="shared" si="5"/>
        <v>3.1539659325726888</v>
      </c>
      <c r="P23" s="284">
        <f t="shared" si="5"/>
        <v>2.3994593855964474</v>
      </c>
      <c r="Q23" s="284">
        <f t="shared" si="5"/>
        <v>1.6676120286115648</v>
      </c>
      <c r="R23" s="284">
        <f t="shared" si="5"/>
        <v>4.209419948927029</v>
      </c>
      <c r="S23" s="284">
        <f t="shared" si="5"/>
        <v>-3.596088987498669</v>
      </c>
      <c r="T23" s="284">
        <f t="shared" si="5"/>
        <v>-2.3114823064037338</v>
      </c>
      <c r="U23" s="284">
        <f t="shared" si="5"/>
        <v>-6.002784769961278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1.2486033113679129</v>
      </c>
      <c r="M24" s="192">
        <f t="shared" si="6"/>
        <v>-1.9822726643278776</v>
      </c>
      <c r="N24" s="192">
        <f t="shared" si="6"/>
        <v>0.87293401279902039</v>
      </c>
      <c r="O24" s="192">
        <f t="shared" si="6"/>
        <v>-0.84143960489473368</v>
      </c>
      <c r="P24" s="192">
        <f t="shared" si="6"/>
        <v>-3.1905774512328011</v>
      </c>
      <c r="Q24" s="192">
        <f t="shared" si="6"/>
        <v>0.6513401621166981</v>
      </c>
      <c r="R24" s="192">
        <f t="shared" si="6"/>
        <v>0.13360515252336391</v>
      </c>
      <c r="S24" s="192">
        <f t="shared" si="6"/>
        <v>-3.8967544747670391</v>
      </c>
      <c r="T24" s="192">
        <f t="shared" si="6"/>
        <v>-3.8847290273695045</v>
      </c>
      <c r="U24" s="192">
        <f t="shared" si="6"/>
        <v>-3.9786194723289148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 t="shared" ref="L25:U25" si="7">((L18/L5)^(1/13)-1)*100</f>
        <v>1.5482319043684134</v>
      </c>
      <c r="M25" s="192">
        <f t="shared" si="7"/>
        <v>-1.0558044506406739</v>
      </c>
      <c r="N25" s="192">
        <f t="shared" si="7"/>
        <v>0.4357437018724708</v>
      </c>
      <c r="O25" s="192">
        <f t="shared" si="7"/>
        <v>5.8335566253742144E-2</v>
      </c>
      <c r="P25" s="192">
        <f t="shared" si="7"/>
        <v>-2.0903288741836779</v>
      </c>
      <c r="Q25" s="192">
        <f t="shared" si="7"/>
        <v>2.4327147250865711</v>
      </c>
      <c r="R25" s="192">
        <f t="shared" si="7"/>
        <v>0.59023664686008726</v>
      </c>
      <c r="S25" s="192">
        <f t="shared" si="7"/>
        <v>-2.4362585327697306</v>
      </c>
      <c r="T25" s="192">
        <f t="shared" si="7"/>
        <v>-2.5387854339564808</v>
      </c>
      <c r="U25" s="192">
        <f t="shared" si="7"/>
        <v>-2.015465534661165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9" spans="1:2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ht="30" customHeight="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</sheetData>
  <mergeCells count="8">
    <mergeCell ref="A31:U31"/>
    <mergeCell ref="A32:U32"/>
    <mergeCell ref="A1:U1"/>
    <mergeCell ref="B2:K2"/>
    <mergeCell ref="L2:U2"/>
    <mergeCell ref="A20:U20"/>
    <mergeCell ref="A29:U29"/>
    <mergeCell ref="A30:U30"/>
  </mergeCells>
  <printOptions gridLines="1"/>
  <pageMargins left="0.7" right="0.7" top="0.75" bottom="0.75" header="0.3" footer="0.3"/>
  <pageSetup scale="57" orientation="landscape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7"/>
  <sheetViews>
    <sheetView view="pageBreakPreview" zoomScale="85" zoomScaleNormal="70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sqref="A1:U1"/>
    </sheetView>
  </sheetViews>
  <sheetFormatPr defaultRowHeight="15" outlineLevelRow="1"/>
  <cols>
    <col min="1" max="1" width="12.285156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563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481447.8</v>
      </c>
      <c r="M5" s="169">
        <f>N5+O5+S5</f>
        <v>6232.6</v>
      </c>
      <c r="N5" s="129">
        <v>822.4</v>
      </c>
      <c r="O5" s="129">
        <v>1587.9</v>
      </c>
      <c r="P5" s="129">
        <v>359.9</v>
      </c>
      <c r="Q5" s="129">
        <v>371.8</v>
      </c>
      <c r="R5" s="129">
        <v>947.2</v>
      </c>
      <c r="S5" s="129">
        <v>3822.3</v>
      </c>
      <c r="T5" s="129">
        <v>1810.1</v>
      </c>
      <c r="U5" s="129">
        <v>1872</v>
      </c>
    </row>
    <row r="6" spans="1:21" s="332" customFormat="1" outlineLevel="1">
      <c r="A6" s="33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488537.3</v>
      </c>
      <c r="M6" s="169">
        <f t="shared" ref="M6:M11" si="0">N6+O6+S6</f>
        <v>6148.1</v>
      </c>
      <c r="N6" s="129">
        <v>759.4</v>
      </c>
      <c r="O6" s="129">
        <v>1596.9</v>
      </c>
      <c r="P6" s="129">
        <v>369</v>
      </c>
      <c r="Q6" s="129">
        <v>349</v>
      </c>
      <c r="R6" s="129">
        <v>978</v>
      </c>
      <c r="S6" s="129">
        <v>3791.8</v>
      </c>
      <c r="T6" s="129">
        <v>1589.6</v>
      </c>
      <c r="U6" s="129">
        <v>2200.6</v>
      </c>
    </row>
    <row r="7" spans="1:21" s="332" customFormat="1" outlineLevel="1">
      <c r="A7" s="33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501433.59999999998</v>
      </c>
      <c r="M7" s="169">
        <f t="shared" si="0"/>
        <v>6464.1</v>
      </c>
      <c r="N7" s="129">
        <v>778.3</v>
      </c>
      <c r="O7" s="129">
        <v>1748</v>
      </c>
      <c r="P7" s="129">
        <v>411.7</v>
      </c>
      <c r="Q7" s="129">
        <v>397.9</v>
      </c>
      <c r="R7" s="129">
        <v>1021.1</v>
      </c>
      <c r="S7" s="129">
        <v>3937.8</v>
      </c>
      <c r="T7" s="129">
        <v>1669.5</v>
      </c>
      <c r="U7" s="129">
        <v>2257.8000000000002</v>
      </c>
    </row>
    <row r="8" spans="1:21" s="332" customFormat="1" outlineLevel="1">
      <c r="A8" s="33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509890.9</v>
      </c>
      <c r="M8" s="169">
        <f t="shared" si="0"/>
        <v>6576.9</v>
      </c>
      <c r="N8" s="129">
        <v>733.6</v>
      </c>
      <c r="O8" s="129">
        <v>1786.1</v>
      </c>
      <c r="P8" s="129">
        <v>407.2</v>
      </c>
      <c r="Q8" s="129">
        <v>408.2</v>
      </c>
      <c r="R8" s="129">
        <v>1067.2</v>
      </c>
      <c r="S8" s="129">
        <v>4057.2</v>
      </c>
      <c r="T8" s="129">
        <v>1639</v>
      </c>
      <c r="U8" s="129">
        <v>2429.9</v>
      </c>
    </row>
    <row r="9" spans="1:21" s="332" customFormat="1" outlineLevel="1">
      <c r="A9" s="33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523382.6</v>
      </c>
      <c r="M9" s="169">
        <f t="shared" si="0"/>
        <v>6501.4</v>
      </c>
      <c r="N9" s="129">
        <v>688.7</v>
      </c>
      <c r="O9" s="129">
        <v>1779.5</v>
      </c>
      <c r="P9" s="129">
        <v>398.6</v>
      </c>
      <c r="Q9" s="129">
        <v>408.8</v>
      </c>
      <c r="R9" s="129">
        <v>1071.2</v>
      </c>
      <c r="S9" s="129">
        <v>4033.2</v>
      </c>
      <c r="T9" s="129">
        <v>1756.1</v>
      </c>
      <c r="U9" s="129">
        <v>2272.5</v>
      </c>
    </row>
    <row r="10" spans="1:21" s="332" customFormat="1" outlineLevel="1">
      <c r="A10" s="33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537514.5</v>
      </c>
      <c r="M10" s="169">
        <f t="shared" si="0"/>
        <v>6363.1</v>
      </c>
      <c r="N10" s="129">
        <v>721.4</v>
      </c>
      <c r="O10" s="129">
        <v>1812.5</v>
      </c>
      <c r="P10" s="129">
        <v>438.9</v>
      </c>
      <c r="Q10" s="129">
        <v>471.2</v>
      </c>
      <c r="R10" s="129">
        <v>908.2</v>
      </c>
      <c r="S10" s="129">
        <v>3829.2</v>
      </c>
      <c r="T10" s="129">
        <v>1572.6</v>
      </c>
      <c r="U10" s="129">
        <v>2254.5</v>
      </c>
    </row>
    <row r="11" spans="1:21" s="332" customFormat="1" outlineLevel="1">
      <c r="A11" s="33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548615.69999999995</v>
      </c>
      <c r="M11" s="169">
        <f t="shared" si="0"/>
        <v>5750.2000000000007</v>
      </c>
      <c r="N11" s="129">
        <v>614.79999999999995</v>
      </c>
      <c r="O11" s="129">
        <v>1835.5</v>
      </c>
      <c r="P11" s="129">
        <v>456.2</v>
      </c>
      <c r="Q11" s="129">
        <v>487.7</v>
      </c>
      <c r="R11" s="129">
        <v>887.1</v>
      </c>
      <c r="S11" s="129">
        <v>3299.9</v>
      </c>
      <c r="T11" s="129">
        <v>1248.9000000000001</v>
      </c>
      <c r="U11" s="129">
        <v>2052.4</v>
      </c>
    </row>
    <row r="12" spans="1:21">
      <c r="A12" s="263">
        <v>2007</v>
      </c>
      <c r="B12" s="81">
        <v>557107.19999999995</v>
      </c>
      <c r="C12" s="81">
        <f>D12+E12+I12</f>
        <v>5294.8</v>
      </c>
      <c r="D12" s="81">
        <v>530.4</v>
      </c>
      <c r="E12" s="81">
        <v>1640.6</v>
      </c>
      <c r="F12" s="81">
        <v>380.7</v>
      </c>
      <c r="G12" s="81">
        <v>425.9</v>
      </c>
      <c r="H12" s="81">
        <v>834</v>
      </c>
      <c r="I12" s="81">
        <v>3123.8</v>
      </c>
      <c r="J12" s="81">
        <v>1227.0999999999999</v>
      </c>
      <c r="K12" s="81">
        <v>1896.7</v>
      </c>
      <c r="L12" s="81">
        <v>557107.19999999995</v>
      </c>
      <c r="M12" s="169">
        <f>N12+O12+S12</f>
        <v>5294.8</v>
      </c>
      <c r="N12" s="81">
        <v>530.4</v>
      </c>
      <c r="O12" s="81">
        <v>1640.6</v>
      </c>
      <c r="P12" s="81">
        <v>380.7</v>
      </c>
      <c r="Q12" s="81">
        <v>425.9</v>
      </c>
      <c r="R12" s="81">
        <v>834</v>
      </c>
      <c r="S12" s="81">
        <v>3123.8</v>
      </c>
      <c r="T12" s="81">
        <v>1227.0999999999999</v>
      </c>
      <c r="U12" s="81">
        <v>1896.7</v>
      </c>
    </row>
    <row r="13" spans="1:21">
      <c r="A13" s="263">
        <v>2008</v>
      </c>
      <c r="B13" s="81">
        <v>566375.19999999995</v>
      </c>
      <c r="C13" s="81">
        <f t="shared" ref="C13:C16" si="1">D13+E13+I13</f>
        <v>4826.8</v>
      </c>
      <c r="D13" s="81">
        <v>509.8</v>
      </c>
      <c r="E13" s="81">
        <v>1384.5</v>
      </c>
      <c r="F13" s="81">
        <v>274.39999999999998</v>
      </c>
      <c r="G13" s="81">
        <v>342.2</v>
      </c>
      <c r="H13" s="81">
        <v>767.9</v>
      </c>
      <c r="I13" s="81">
        <v>2932.5</v>
      </c>
      <c r="J13" s="81">
        <v>1135.7</v>
      </c>
      <c r="K13" s="81">
        <v>1796.8</v>
      </c>
      <c r="L13" s="81">
        <v>556218.80000000005</v>
      </c>
      <c r="M13" s="169">
        <f t="shared" ref="M13:M18" si="2">N13+O13+S13</f>
        <v>4869.1000000000004</v>
      </c>
      <c r="N13" s="81">
        <v>498</v>
      </c>
      <c r="O13" s="81">
        <v>1449.5</v>
      </c>
      <c r="P13" s="81">
        <v>317.2</v>
      </c>
      <c r="Q13" s="81">
        <v>377.8</v>
      </c>
      <c r="R13" s="81">
        <v>753.1</v>
      </c>
      <c r="S13" s="81">
        <v>2921.6</v>
      </c>
      <c r="T13" s="81">
        <v>1158.5</v>
      </c>
      <c r="U13" s="81">
        <v>1763.4</v>
      </c>
    </row>
    <row r="14" spans="1:21">
      <c r="A14" s="263">
        <v>2009</v>
      </c>
      <c r="B14" s="81">
        <v>557099.69999999995</v>
      </c>
      <c r="C14" s="81">
        <f t="shared" si="1"/>
        <v>4108.3</v>
      </c>
      <c r="D14" s="81">
        <v>441.2</v>
      </c>
      <c r="E14" s="81">
        <v>1041.7</v>
      </c>
      <c r="F14" s="81">
        <v>177.2</v>
      </c>
      <c r="G14" s="81">
        <v>253</v>
      </c>
      <c r="H14" s="81">
        <v>611.5</v>
      </c>
      <c r="I14" s="81">
        <v>2625.4</v>
      </c>
      <c r="J14" s="81">
        <v>908.6</v>
      </c>
      <c r="K14" s="81">
        <v>1716.8</v>
      </c>
      <c r="L14" s="81">
        <v>538493.80000000005</v>
      </c>
      <c r="M14" s="169">
        <f t="shared" si="2"/>
        <v>3775.3</v>
      </c>
      <c r="N14" s="81">
        <v>388.3</v>
      </c>
      <c r="O14" s="81">
        <v>1049.5</v>
      </c>
      <c r="P14" s="81">
        <v>210.4</v>
      </c>
      <c r="Q14" s="81">
        <v>303.10000000000002</v>
      </c>
      <c r="R14" s="81">
        <v>536.6</v>
      </c>
      <c r="S14" s="81">
        <v>2337.5</v>
      </c>
      <c r="T14" s="81">
        <v>753.3</v>
      </c>
      <c r="U14" s="81">
        <v>1592</v>
      </c>
    </row>
    <row r="15" spans="1:21">
      <c r="A15" s="263">
        <v>2010</v>
      </c>
      <c r="B15" s="81">
        <v>589162.69999999995</v>
      </c>
      <c r="C15" s="81">
        <f t="shared" si="1"/>
        <v>4384.2</v>
      </c>
      <c r="D15" s="81">
        <v>415.9</v>
      </c>
      <c r="E15" s="81">
        <v>1101.7</v>
      </c>
      <c r="F15" s="81">
        <v>194</v>
      </c>
      <c r="G15" s="81">
        <v>253.5</v>
      </c>
      <c r="H15" s="81">
        <v>654.1</v>
      </c>
      <c r="I15" s="81">
        <v>2866.6</v>
      </c>
      <c r="J15" s="81">
        <v>1125.4000000000001</v>
      </c>
      <c r="K15" s="81">
        <v>1741.2</v>
      </c>
      <c r="L15" s="81">
        <v>556961.6</v>
      </c>
      <c r="M15" s="169">
        <f t="shared" si="2"/>
        <v>3986.3</v>
      </c>
      <c r="N15" s="81">
        <v>400.4</v>
      </c>
      <c r="O15" s="81">
        <v>1092.5</v>
      </c>
      <c r="P15" s="81">
        <v>205.1</v>
      </c>
      <c r="Q15" s="81">
        <v>321</v>
      </c>
      <c r="R15" s="81">
        <v>565.29999999999995</v>
      </c>
      <c r="S15" s="81">
        <v>2493.4</v>
      </c>
      <c r="T15" s="81">
        <v>855.5</v>
      </c>
      <c r="U15" s="81">
        <v>1636.9</v>
      </c>
    </row>
    <row r="16" spans="1:21">
      <c r="A16" s="263">
        <v>2011</v>
      </c>
      <c r="B16" s="81">
        <v>617757.80000000005</v>
      </c>
      <c r="C16" s="81">
        <f t="shared" si="1"/>
        <v>3991.1</v>
      </c>
      <c r="D16" s="81">
        <v>397.7</v>
      </c>
      <c r="E16" s="81">
        <v>986.3</v>
      </c>
      <c r="F16" s="81">
        <v>172.4</v>
      </c>
      <c r="G16" s="81">
        <v>215.2</v>
      </c>
      <c r="H16" s="81">
        <v>598.70000000000005</v>
      </c>
      <c r="I16" s="81">
        <v>2607.1</v>
      </c>
      <c r="J16" s="81">
        <v>939.5</v>
      </c>
      <c r="K16" s="81">
        <v>1667.6</v>
      </c>
      <c r="L16" s="81">
        <v>570507.5</v>
      </c>
      <c r="M16" s="169">
        <f t="shared" si="2"/>
        <v>3853.8</v>
      </c>
      <c r="N16" s="81">
        <v>393</v>
      </c>
      <c r="O16" s="81">
        <v>1035.8</v>
      </c>
      <c r="P16" s="81">
        <v>188.8</v>
      </c>
      <c r="Q16" s="81">
        <v>299.2</v>
      </c>
      <c r="R16" s="81">
        <v>544</v>
      </c>
      <c r="S16" s="81">
        <v>2425</v>
      </c>
      <c r="T16" s="81">
        <v>800.3</v>
      </c>
      <c r="U16" s="81">
        <v>1629.8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579634.30000000005</v>
      </c>
      <c r="M17" s="169">
        <f t="shared" si="2"/>
        <v>3781.2000000000003</v>
      </c>
      <c r="N17" s="81">
        <v>339</v>
      </c>
      <c r="O17" s="81">
        <v>1100.9000000000001</v>
      </c>
      <c r="P17" s="81">
        <v>183.9</v>
      </c>
      <c r="Q17" s="81">
        <v>328.9</v>
      </c>
      <c r="R17" s="81">
        <v>584.79999999999995</v>
      </c>
      <c r="S17" s="81">
        <v>2341.3000000000002</v>
      </c>
      <c r="T17" s="81">
        <v>666</v>
      </c>
      <c r="U17" s="81">
        <v>1695.3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586874</v>
      </c>
      <c r="M18" s="169">
        <f t="shared" si="2"/>
        <v>3771.7</v>
      </c>
      <c r="N18" s="81">
        <v>376.6</v>
      </c>
      <c r="O18" s="81">
        <v>1150.5</v>
      </c>
      <c r="P18" s="81">
        <v>197.1</v>
      </c>
      <c r="Q18" s="81">
        <v>372.4</v>
      </c>
      <c r="R18" s="81">
        <v>586.4</v>
      </c>
      <c r="S18" s="81">
        <v>2244.6</v>
      </c>
      <c r="T18" s="81">
        <v>690.8</v>
      </c>
      <c r="U18" s="81">
        <v>1566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22.5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22.5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2.1070319069240728</v>
      </c>
      <c r="M21" s="284">
        <f t="shared" ref="M21:U21" si="3">((M12/M5)^(1/7)-1)*100</f>
        <v>-2.3026237091520962</v>
      </c>
      <c r="N21" s="284">
        <f t="shared" si="3"/>
        <v>-6.0733937900415036</v>
      </c>
      <c r="O21" s="284">
        <f t="shared" si="3"/>
        <v>0.46751287632411653</v>
      </c>
      <c r="P21" s="284">
        <f t="shared" si="3"/>
        <v>0.80587912637526404</v>
      </c>
      <c r="Q21" s="284">
        <f t="shared" si="3"/>
        <v>1.9596467383879768</v>
      </c>
      <c r="R21" s="284">
        <f t="shared" si="3"/>
        <v>-1.8018106142292156</v>
      </c>
      <c r="S21" s="284">
        <f t="shared" si="3"/>
        <v>-2.8417287837709915</v>
      </c>
      <c r="T21" s="284">
        <f t="shared" si="3"/>
        <v>-5.4018846951091604</v>
      </c>
      <c r="U21" s="284">
        <f t="shared" si="3"/>
        <v>0.18743481060519152</v>
      </c>
    </row>
    <row r="22" spans="1:21" ht="22.5" customHeight="1">
      <c r="A22" s="260" t="s">
        <v>368</v>
      </c>
      <c r="B22" s="284">
        <f>((B15/B12)^(1/3)-1)*100</f>
        <v>1.8823195970619544</v>
      </c>
      <c r="C22" s="284">
        <f t="shared" ref="C22:U22" si="4">((C15/C12)^(1/3)-1)*100</f>
        <v>-6.0968273312261401</v>
      </c>
      <c r="D22" s="284">
        <f t="shared" si="4"/>
        <v>-7.7863664797838688</v>
      </c>
      <c r="E22" s="284">
        <f t="shared" si="4"/>
        <v>-12.430363410681377</v>
      </c>
      <c r="F22" s="284">
        <f t="shared" si="4"/>
        <v>-20.125843594131499</v>
      </c>
      <c r="G22" s="284">
        <f t="shared" si="4"/>
        <v>-15.881773467482862</v>
      </c>
      <c r="H22" s="284">
        <f t="shared" si="4"/>
        <v>-7.7798057157094753</v>
      </c>
      <c r="I22" s="284">
        <f t="shared" si="4"/>
        <v>-2.823491287625346</v>
      </c>
      <c r="J22" s="284">
        <f t="shared" si="4"/>
        <v>-2.8426520567980118</v>
      </c>
      <c r="K22" s="284">
        <f t="shared" si="4"/>
        <v>-2.8110989500794603</v>
      </c>
      <c r="L22" s="284">
        <f t="shared" si="4"/>
        <v>-8.7124276998196137E-3</v>
      </c>
      <c r="M22" s="284">
        <f t="shared" si="4"/>
        <v>-9.028196108107057</v>
      </c>
      <c r="N22" s="284">
        <f t="shared" si="4"/>
        <v>-8.9464566288639524</v>
      </c>
      <c r="O22" s="284">
        <f t="shared" si="4"/>
        <v>-12.674801909222122</v>
      </c>
      <c r="P22" s="284">
        <f t="shared" si="4"/>
        <v>-18.630634804806856</v>
      </c>
      <c r="Q22" s="284">
        <f t="shared" si="4"/>
        <v>-8.9948861230058306</v>
      </c>
      <c r="R22" s="284">
        <f t="shared" si="4"/>
        <v>-12.157575992383418</v>
      </c>
      <c r="S22" s="284">
        <f t="shared" si="4"/>
        <v>-7.2381122439990397</v>
      </c>
      <c r="T22" s="284">
        <f t="shared" si="4"/>
        <v>-11.329324032369858</v>
      </c>
      <c r="U22" s="284">
        <f t="shared" si="4"/>
        <v>-4.7917677720480389</v>
      </c>
    </row>
    <row r="23" spans="1:21" ht="22.5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U23" si="5">((L18/L15)^(1/3)-1)*100</f>
        <v>1.7590878414514455</v>
      </c>
      <c r="M23" s="284">
        <f t="shared" si="5"/>
        <v>-1.8276800625136702</v>
      </c>
      <c r="N23" s="284">
        <f t="shared" si="5"/>
        <v>-2.0219596419678298</v>
      </c>
      <c r="O23" s="284">
        <f t="shared" si="5"/>
        <v>1.7392173608059336</v>
      </c>
      <c r="P23" s="284">
        <f t="shared" si="5"/>
        <v>-1.3174595473681161</v>
      </c>
      <c r="Q23" s="284">
        <f t="shared" si="5"/>
        <v>5.0755196869512575</v>
      </c>
      <c r="R23" s="284">
        <f t="shared" si="5"/>
        <v>1.2290105836079146</v>
      </c>
      <c r="S23" s="284">
        <f t="shared" si="5"/>
        <v>-3.4433178003550058</v>
      </c>
      <c r="T23" s="284">
        <f t="shared" si="5"/>
        <v>-6.8797560577121164</v>
      </c>
      <c r="U23" s="284">
        <f t="shared" si="5"/>
        <v>-1.4651477588014106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0.87131512699496483</v>
      </c>
      <c r="M24" s="192">
        <f t="shared" si="6"/>
        <v>-5.49649193302304</v>
      </c>
      <c r="N24" s="192">
        <f t="shared" si="6"/>
        <v>-5.5476429772184037</v>
      </c>
      <c r="O24" s="192">
        <f t="shared" si="6"/>
        <v>-5.7429190477814256</v>
      </c>
      <c r="P24" s="192">
        <f t="shared" si="6"/>
        <v>-10.39120761621869</v>
      </c>
      <c r="Q24" s="192">
        <f t="shared" si="6"/>
        <v>-2.2124259693730775</v>
      </c>
      <c r="R24" s="192">
        <f t="shared" si="6"/>
        <v>-5.7015288058348652</v>
      </c>
      <c r="S24" s="192">
        <f t="shared" si="6"/>
        <v>-5.3597331137780202</v>
      </c>
      <c r="T24" s="192">
        <f t="shared" si="6"/>
        <v>-9.1317713574580406</v>
      </c>
      <c r="U24" s="192">
        <f t="shared" si="6"/>
        <v>-3.1427385544740449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 t="shared" ref="L25:U25" si="7">((L18/L5)^(1/13)-1)*100</f>
        <v>1.5348311673264448</v>
      </c>
      <c r="M25" s="192">
        <f t="shared" si="7"/>
        <v>-3.7899131594418267</v>
      </c>
      <c r="N25" s="192">
        <f t="shared" si="7"/>
        <v>-5.8311042050008695</v>
      </c>
      <c r="O25" s="192">
        <f t="shared" si="7"/>
        <v>-2.4481181081041581</v>
      </c>
      <c r="P25" s="192">
        <f t="shared" si="7"/>
        <v>-4.526029754980188</v>
      </c>
      <c r="Q25" s="192">
        <f t="shared" si="7"/>
        <v>1.2404385553899111E-2</v>
      </c>
      <c r="R25" s="192">
        <f t="shared" si="7"/>
        <v>-3.6213266354027107</v>
      </c>
      <c r="S25" s="192">
        <f t="shared" si="7"/>
        <v>-4.0121031777337723</v>
      </c>
      <c r="T25" s="192">
        <f t="shared" si="7"/>
        <v>-7.1420241897041103</v>
      </c>
      <c r="U25" s="192">
        <f t="shared" si="7"/>
        <v>-1.3635625679184638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8" spans="1:21" ht="30" customHeight="1">
      <c r="A28" s="490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</row>
    <row r="29" spans="1:21" ht="30" customHeight="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</row>
    <row r="31" spans="1:21">
      <c r="D31" s="229"/>
    </row>
    <row r="32" spans="1:21">
      <c r="D32" s="229"/>
    </row>
    <row r="33" spans="4:4">
      <c r="D33" s="229"/>
    </row>
    <row r="34" spans="4:4">
      <c r="D34" s="229"/>
    </row>
    <row r="35" spans="4:4">
      <c r="D35" s="229"/>
    </row>
    <row r="36" spans="4:4">
      <c r="D36" s="229"/>
    </row>
    <row r="37" spans="4:4">
      <c r="D37" s="229"/>
    </row>
  </sheetData>
  <mergeCells count="6">
    <mergeCell ref="A29:U29"/>
    <mergeCell ref="A1:U1"/>
    <mergeCell ref="B2:K2"/>
    <mergeCell ref="L2:U2"/>
    <mergeCell ref="A20:U20"/>
    <mergeCell ref="A28:U28"/>
  </mergeCells>
  <printOptions gridLines="1"/>
  <pageMargins left="0.70866141732283472" right="0.70866141732283472" top="0.74803149606299213" bottom="0.74803149606299213" header="0.31496062992125984" footer="0.31496062992125984"/>
  <pageSetup scale="55" orientation="landscape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U40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C17" sqref="C17"/>
    </sheetView>
  </sheetViews>
  <sheetFormatPr defaultRowHeight="15" outlineLevelRow="1"/>
  <cols>
    <col min="1" max="1" width="12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564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4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39411.300000000003</v>
      </c>
      <c r="M5" s="169">
        <f>N5+O5+S5</f>
        <v>447.2</v>
      </c>
      <c r="N5" s="129">
        <v>56.8</v>
      </c>
      <c r="O5" s="129">
        <v>184.7</v>
      </c>
      <c r="P5" s="129">
        <v>16.600000000000001</v>
      </c>
      <c r="Q5" s="129">
        <v>59.2</v>
      </c>
      <c r="R5" s="129">
        <v>109.3</v>
      </c>
      <c r="S5" s="129">
        <v>205.7</v>
      </c>
      <c r="T5" s="129" t="s">
        <v>9</v>
      </c>
      <c r="U5" s="129" t="s">
        <v>9</v>
      </c>
    </row>
    <row r="6" spans="1:21" s="332" customFormat="1" outlineLevel="1">
      <c r="A6" s="34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39768.400000000001</v>
      </c>
      <c r="M6" s="169">
        <f t="shared" ref="M6:M11" si="0">N6+O6+S6</f>
        <v>513.79999999999995</v>
      </c>
      <c r="N6" s="129">
        <v>58</v>
      </c>
      <c r="O6" s="129">
        <v>169.6</v>
      </c>
      <c r="P6" s="129">
        <v>10.4</v>
      </c>
      <c r="Q6" s="129">
        <v>49.3</v>
      </c>
      <c r="R6" s="129">
        <v>120</v>
      </c>
      <c r="S6" s="129">
        <v>286.2</v>
      </c>
      <c r="T6" s="129" t="s">
        <v>9</v>
      </c>
      <c r="U6" s="129" t="s">
        <v>9</v>
      </c>
    </row>
    <row r="7" spans="1:21" s="332" customFormat="1" outlineLevel="1">
      <c r="A7" s="34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40397.300000000003</v>
      </c>
      <c r="M7" s="169">
        <f t="shared" si="0"/>
        <v>489</v>
      </c>
      <c r="N7" s="129">
        <v>63.8</v>
      </c>
      <c r="O7" s="129">
        <v>174.5</v>
      </c>
      <c r="P7" s="129" t="s">
        <v>9</v>
      </c>
      <c r="Q7" s="129">
        <v>23.4</v>
      </c>
      <c r="R7" s="129" t="s">
        <v>9</v>
      </c>
      <c r="S7" s="129">
        <v>250.7</v>
      </c>
      <c r="T7" s="129" t="s">
        <v>9</v>
      </c>
      <c r="U7" s="129" t="s">
        <v>9</v>
      </c>
    </row>
    <row r="8" spans="1:21" s="332" customFormat="1" outlineLevel="1">
      <c r="A8" s="34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40895.1</v>
      </c>
      <c r="M8" s="169">
        <f t="shared" si="0"/>
        <v>519.79999999999995</v>
      </c>
      <c r="N8" s="129">
        <v>61</v>
      </c>
      <c r="O8" s="129">
        <v>216.9</v>
      </c>
      <c r="P8" s="129" t="s">
        <v>9</v>
      </c>
      <c r="Q8" s="129" t="s">
        <v>9</v>
      </c>
      <c r="R8" s="129" t="s">
        <v>9</v>
      </c>
      <c r="S8" s="129">
        <v>241.9</v>
      </c>
      <c r="T8" s="129" t="s">
        <v>9</v>
      </c>
      <c r="U8" s="129" t="s">
        <v>9</v>
      </c>
    </row>
    <row r="9" spans="1:21" s="332" customFormat="1" outlineLevel="1">
      <c r="A9" s="34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41717.1</v>
      </c>
      <c r="M9" s="169">
        <f t="shared" si="0"/>
        <v>503.4</v>
      </c>
      <c r="N9" s="129">
        <v>59.3</v>
      </c>
      <c r="O9" s="129">
        <v>221.6</v>
      </c>
      <c r="P9" s="129" t="s">
        <v>9</v>
      </c>
      <c r="Q9" s="129">
        <v>52.4</v>
      </c>
      <c r="R9" s="129" t="s">
        <v>9</v>
      </c>
      <c r="S9" s="129">
        <v>222.5</v>
      </c>
      <c r="T9" s="129" t="s">
        <v>9</v>
      </c>
      <c r="U9" s="129" t="s">
        <v>9</v>
      </c>
    </row>
    <row r="10" spans="1:21" s="332" customFormat="1" outlineLevel="1">
      <c r="A10" s="34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42952.5</v>
      </c>
      <c r="M10" s="169" t="e">
        <f t="shared" si="0"/>
        <v>#VALUE!</v>
      </c>
      <c r="N10" s="129">
        <v>54.5</v>
      </c>
      <c r="O10" s="129" t="s">
        <v>9</v>
      </c>
      <c r="P10" s="129" t="s">
        <v>9</v>
      </c>
      <c r="Q10" s="129">
        <v>53.4</v>
      </c>
      <c r="R10" s="129" t="s">
        <v>9</v>
      </c>
      <c r="S10" s="129">
        <v>237.9</v>
      </c>
      <c r="T10" s="129" t="s">
        <v>9</v>
      </c>
      <c r="U10" s="129" t="s">
        <v>9</v>
      </c>
    </row>
    <row r="11" spans="1:21" s="332" customFormat="1" outlineLevel="1">
      <c r="A11" s="34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44491.1</v>
      </c>
      <c r="M11" s="169">
        <f t="shared" si="0"/>
        <v>446.2</v>
      </c>
      <c r="N11" s="129">
        <v>46.3</v>
      </c>
      <c r="O11" s="129">
        <v>215.1</v>
      </c>
      <c r="P11" s="129" t="s">
        <v>9</v>
      </c>
      <c r="Q11" s="129">
        <v>39.9</v>
      </c>
      <c r="R11" s="129" t="s">
        <v>9</v>
      </c>
      <c r="S11" s="129">
        <v>184.8</v>
      </c>
      <c r="T11" s="129" t="s">
        <v>9</v>
      </c>
      <c r="U11" s="129" t="s">
        <v>9</v>
      </c>
    </row>
    <row r="12" spans="1:21">
      <c r="A12" s="263">
        <v>2007</v>
      </c>
      <c r="B12" s="81">
        <v>45813.9</v>
      </c>
      <c r="C12" s="81">
        <f>D12+E12+I12</f>
        <v>434.59999999999997</v>
      </c>
      <c r="D12" s="81">
        <v>39.4</v>
      </c>
      <c r="E12" s="81">
        <v>220.7</v>
      </c>
      <c r="F12" s="81" t="s">
        <v>9</v>
      </c>
      <c r="G12" s="81">
        <v>37.700000000000003</v>
      </c>
      <c r="H12" s="81" t="s">
        <v>9</v>
      </c>
      <c r="I12" s="81">
        <v>174.5</v>
      </c>
      <c r="J12" s="81" t="s">
        <v>9</v>
      </c>
      <c r="K12" s="81" t="s">
        <v>9</v>
      </c>
      <c r="L12" s="81">
        <v>45813.9</v>
      </c>
      <c r="M12" s="81">
        <f>N12+O12+S12</f>
        <v>434.59999999999997</v>
      </c>
      <c r="N12" s="129">
        <v>39.4</v>
      </c>
      <c r="O12" s="129">
        <v>220.7</v>
      </c>
      <c r="P12" s="81">
        <v>37.700000000000003</v>
      </c>
      <c r="Q12" s="81" t="s">
        <v>9</v>
      </c>
      <c r="R12" s="81">
        <v>174.5</v>
      </c>
      <c r="S12" s="129">
        <v>174.5</v>
      </c>
      <c r="T12" s="81" t="s">
        <v>9</v>
      </c>
      <c r="U12" s="81" t="s">
        <v>9</v>
      </c>
    </row>
    <row r="13" spans="1:21">
      <c r="A13" s="263">
        <v>2008</v>
      </c>
      <c r="B13" s="81">
        <v>48431</v>
      </c>
      <c r="C13" s="81">
        <f t="shared" ref="C13" si="1">D13+E13+I13</f>
        <v>417.9</v>
      </c>
      <c r="D13" s="81">
        <v>29.6</v>
      </c>
      <c r="E13" s="81">
        <v>222</v>
      </c>
      <c r="F13" s="81" t="s">
        <v>9</v>
      </c>
      <c r="G13" s="81" t="s">
        <v>9</v>
      </c>
      <c r="H13" s="81" t="s">
        <v>9</v>
      </c>
      <c r="I13" s="81">
        <v>166.3</v>
      </c>
      <c r="J13" s="81" t="s">
        <v>9</v>
      </c>
      <c r="K13" s="81" t="s">
        <v>9</v>
      </c>
      <c r="L13" s="81">
        <v>47445.8</v>
      </c>
      <c r="M13" s="81">
        <f t="shared" ref="M13:M16" si="2">N13+O13+S13</f>
        <v>418.70000000000005</v>
      </c>
      <c r="N13" s="129">
        <v>34.799999999999997</v>
      </c>
      <c r="O13" s="129">
        <v>219.5</v>
      </c>
      <c r="P13" s="81" t="s">
        <v>9</v>
      </c>
      <c r="Q13" s="81" t="s">
        <v>9</v>
      </c>
      <c r="R13" s="81">
        <v>164.4</v>
      </c>
      <c r="S13" s="129">
        <v>164.4</v>
      </c>
      <c r="T13" s="81" t="s">
        <v>9</v>
      </c>
      <c r="U13" s="81">
        <v>25.3</v>
      </c>
    </row>
    <row r="14" spans="1:21">
      <c r="A14" s="263">
        <v>2009</v>
      </c>
      <c r="B14" s="81">
        <v>47180.3</v>
      </c>
      <c r="C14" s="81" t="s">
        <v>10</v>
      </c>
      <c r="D14" s="81">
        <v>25.6</v>
      </c>
      <c r="E14" s="81">
        <v>175.1</v>
      </c>
      <c r="F14" s="81" t="s">
        <v>9</v>
      </c>
      <c r="G14" s="81" t="s">
        <v>9</v>
      </c>
      <c r="H14" s="81">
        <v>138.80000000000001</v>
      </c>
      <c r="I14" s="81" t="s">
        <v>9</v>
      </c>
      <c r="J14" s="81" t="s">
        <v>9</v>
      </c>
      <c r="K14" s="81">
        <v>65.2</v>
      </c>
      <c r="L14" s="81">
        <v>47272.1</v>
      </c>
      <c r="M14" s="81" t="s">
        <v>9</v>
      </c>
      <c r="N14" s="129">
        <v>31.6</v>
      </c>
      <c r="O14" s="129">
        <v>162.80000000000001</v>
      </c>
      <c r="P14" s="81" t="s">
        <v>9</v>
      </c>
      <c r="Q14" s="81">
        <v>122.9</v>
      </c>
      <c r="R14" s="81" t="s">
        <v>9</v>
      </c>
      <c r="S14" s="129" t="s">
        <v>9</v>
      </c>
      <c r="T14" s="81">
        <v>69.2</v>
      </c>
      <c r="U14" s="81">
        <v>19.399999999999999</v>
      </c>
    </row>
    <row r="15" spans="1:21">
      <c r="A15" s="263">
        <v>2010</v>
      </c>
      <c r="B15" s="81">
        <v>49311.4</v>
      </c>
      <c r="C15" s="81" t="s">
        <v>10</v>
      </c>
      <c r="D15" s="81">
        <v>22.6</v>
      </c>
      <c r="E15" s="81">
        <v>132.1</v>
      </c>
      <c r="F15" s="81" t="s">
        <v>9</v>
      </c>
      <c r="G15" s="81">
        <v>29.6</v>
      </c>
      <c r="H15" s="81" t="s">
        <v>9</v>
      </c>
      <c r="I15" s="81" t="s">
        <v>9</v>
      </c>
      <c r="J15" s="81" t="s">
        <v>9</v>
      </c>
      <c r="K15" s="81" t="s">
        <v>9</v>
      </c>
      <c r="L15" s="81">
        <v>48514.9</v>
      </c>
      <c r="M15" s="81" t="s">
        <v>9</v>
      </c>
      <c r="N15" s="129">
        <v>28.9</v>
      </c>
      <c r="O15" s="129">
        <v>120.6</v>
      </c>
      <c r="P15" s="81">
        <v>30.2</v>
      </c>
      <c r="Q15" s="81" t="s">
        <v>9</v>
      </c>
      <c r="R15" s="81" t="s">
        <v>9</v>
      </c>
      <c r="S15" s="129" t="s">
        <v>9</v>
      </c>
      <c r="T15" s="81" t="s">
        <v>9</v>
      </c>
      <c r="U15" s="81" t="s">
        <v>9</v>
      </c>
    </row>
    <row r="16" spans="1:21">
      <c r="A16" s="263">
        <v>2011</v>
      </c>
      <c r="B16" s="81">
        <v>52137.5</v>
      </c>
      <c r="C16" s="81">
        <f>D16+E16+I16</f>
        <v>238.60000000000002</v>
      </c>
      <c r="D16" s="81">
        <v>25.6</v>
      </c>
      <c r="E16" s="81">
        <v>127.3</v>
      </c>
      <c r="F16" s="81" t="s">
        <v>9</v>
      </c>
      <c r="G16" s="81">
        <v>24.3</v>
      </c>
      <c r="H16" s="81" t="s">
        <v>9</v>
      </c>
      <c r="I16" s="81">
        <v>85.7</v>
      </c>
      <c r="J16" s="81" t="s">
        <v>9</v>
      </c>
      <c r="K16" s="81" t="s">
        <v>9</v>
      </c>
      <c r="L16" s="81">
        <v>49516.5</v>
      </c>
      <c r="M16" s="81">
        <f t="shared" si="2"/>
        <v>288.2</v>
      </c>
      <c r="N16" s="129">
        <v>29.9</v>
      </c>
      <c r="O16" s="129">
        <v>123.8</v>
      </c>
      <c r="P16" s="81">
        <v>27.6</v>
      </c>
      <c r="Q16" s="81" t="s">
        <v>9</v>
      </c>
      <c r="R16" s="81">
        <v>134.5</v>
      </c>
      <c r="S16" s="129">
        <v>134.5</v>
      </c>
      <c r="T16" s="81" t="s">
        <v>9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51105.8</v>
      </c>
      <c r="M17" s="81" t="s">
        <v>9</v>
      </c>
      <c r="N17" s="129">
        <v>26.5</v>
      </c>
      <c r="O17" s="129">
        <v>144.6</v>
      </c>
      <c r="P17" s="81">
        <v>33.9</v>
      </c>
      <c r="Q17" s="81" t="s">
        <v>9</v>
      </c>
      <c r="R17" s="81" t="s">
        <v>9</v>
      </c>
      <c r="S17" s="129" t="s">
        <v>9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52294.6</v>
      </c>
      <c r="M18" s="81" t="s">
        <v>9</v>
      </c>
      <c r="N18" s="129">
        <v>29.3</v>
      </c>
      <c r="O18" s="129">
        <v>155.5</v>
      </c>
      <c r="P18" s="81">
        <v>38.4</v>
      </c>
      <c r="Q18" s="81" t="s">
        <v>9</v>
      </c>
      <c r="R18" s="81" t="s">
        <v>9</v>
      </c>
      <c r="S18" s="129" t="s">
        <v>9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169"/>
      <c r="O19" s="169"/>
      <c r="P19" s="169"/>
      <c r="Q19" s="169"/>
      <c r="R19" s="169"/>
      <c r="S19" s="169"/>
      <c r="T19" s="263"/>
      <c r="U19" s="263"/>
    </row>
    <row r="20" spans="1:21" ht="21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21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2.1737893366901018</v>
      </c>
      <c r="M21" s="284">
        <f t="shared" ref="M21:S21" si="3">((M12/M5)^(1/7)-1)*100</f>
        <v>-0.40745128438937073</v>
      </c>
      <c r="N21" s="284">
        <f t="shared" si="3"/>
        <v>-5.0911216465773013</v>
      </c>
      <c r="O21" s="284">
        <f t="shared" si="3"/>
        <v>2.5765102034465359</v>
      </c>
      <c r="P21" s="284">
        <f t="shared" si="3"/>
        <v>12.4321371648624</v>
      </c>
      <c r="Q21" s="284" t="s">
        <v>10</v>
      </c>
      <c r="R21" s="284">
        <f t="shared" si="3"/>
        <v>6.9116515461993266</v>
      </c>
      <c r="S21" s="284">
        <f t="shared" si="3"/>
        <v>-2.3225195772913709</v>
      </c>
      <c r="T21" s="284" t="s">
        <v>10</v>
      </c>
      <c r="U21" s="284" t="s">
        <v>10</v>
      </c>
    </row>
    <row r="22" spans="1:21" ht="21" customHeight="1">
      <c r="A22" s="260" t="s">
        <v>368</v>
      </c>
      <c r="B22" s="284">
        <f>((B15/B12)^(1/3)-1)*100</f>
        <v>2.4825735891097489</v>
      </c>
      <c r="C22" s="284" t="s">
        <v>10</v>
      </c>
      <c r="D22" s="284">
        <f t="shared" ref="D22:P22" si="4">((D15/D12)^(1/3)-1)*100</f>
        <v>-16.912172085241515</v>
      </c>
      <c r="E22" s="284">
        <f t="shared" si="4"/>
        <v>-15.724728272536515</v>
      </c>
      <c r="F22" s="284" t="s">
        <v>10</v>
      </c>
      <c r="G22" s="284">
        <f t="shared" si="4"/>
        <v>-7.7463721642562655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4"/>
        <v>1.92779416201041</v>
      </c>
      <c r="M22" s="284" t="s">
        <v>9</v>
      </c>
      <c r="N22" s="284">
        <f t="shared" si="4"/>
        <v>-9.8150905333005856</v>
      </c>
      <c r="O22" s="284" t="s">
        <v>10</v>
      </c>
      <c r="P22" s="284">
        <f t="shared" si="4"/>
        <v>-7.1272017684186117</v>
      </c>
      <c r="Q22" s="284" t="s">
        <v>10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 ht="21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P23" si="5">((L18/L15)^(1/3)-1)*100</f>
        <v>2.5322690113914303</v>
      </c>
      <c r="M23" s="284" t="s">
        <v>9</v>
      </c>
      <c r="N23" s="284">
        <f t="shared" si="5"/>
        <v>0.45924869271500857</v>
      </c>
      <c r="O23" s="284" t="s">
        <v>10</v>
      </c>
      <c r="P23" s="284">
        <f t="shared" si="5"/>
        <v>8.3364899307073479</v>
      </c>
      <c r="Q23" s="284" t="s">
        <v>10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2.2295848116238082</v>
      </c>
      <c r="M24" s="192" t="str">
        <f t="shared" si="6"/>
        <v>n.a.</v>
      </c>
      <c r="N24" s="192">
        <f t="shared" si="6"/>
        <v>-4.816449696152092</v>
      </c>
      <c r="O24" s="192">
        <f t="shared" si="6"/>
        <v>-5.6689482411342862</v>
      </c>
      <c r="P24" s="192">
        <f t="shared" si="6"/>
        <v>0.30709332072349493</v>
      </c>
      <c r="Q24" s="192" t="str">
        <f t="shared" si="6"/>
        <v>n.a.</v>
      </c>
      <c r="R24" s="192" t="str">
        <f t="shared" si="6"/>
        <v>n.a.</v>
      </c>
      <c r="S24" s="192" t="str">
        <f t="shared" si="6"/>
        <v>n.a.</v>
      </c>
      <c r="T24" s="192" t="str">
        <f t="shared" si="6"/>
        <v>n.a.</v>
      </c>
      <c r="U24" s="192" t="str">
        <f t="shared" si="6"/>
        <v>n.a.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>((L18/L5)^(1/13)-1)*100</f>
        <v>2.1995373093207204</v>
      </c>
      <c r="M25" s="81" t="s">
        <v>10</v>
      </c>
      <c r="N25" s="192">
        <f>((N18/N5)^(1/13)-1)*100</f>
        <v>-4.9644486074892358</v>
      </c>
      <c r="O25" s="192">
        <f>((O18/O5)^(1/13)-1)*100</f>
        <v>-1.3150243480129276</v>
      </c>
      <c r="P25" s="192">
        <f>((P18/P5)^(1/13)-1)*100</f>
        <v>6.6638276434663357</v>
      </c>
      <c r="Q25" s="81" t="s">
        <v>10</v>
      </c>
      <c r="R25" s="81" t="s">
        <v>10</v>
      </c>
      <c r="S25" s="81" t="s">
        <v>10</v>
      </c>
      <c r="T25" s="81" t="s">
        <v>10</v>
      </c>
      <c r="U25" s="81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9" spans="1:2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ht="30" customHeight="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6" spans="5:5">
      <c r="E36" s="272"/>
    </row>
    <row r="37" spans="5:5">
      <c r="E37" s="272"/>
    </row>
    <row r="38" spans="5:5">
      <c r="E38" s="272"/>
    </row>
    <row r="39" spans="5:5">
      <c r="E39" s="272"/>
    </row>
    <row r="40" spans="5:5">
      <c r="E40" s="272"/>
    </row>
  </sheetData>
  <mergeCells count="8">
    <mergeCell ref="A31:U31"/>
    <mergeCell ref="A32:U32"/>
    <mergeCell ref="A1:U1"/>
    <mergeCell ref="B2:K2"/>
    <mergeCell ref="L2:U2"/>
    <mergeCell ref="A20:U20"/>
    <mergeCell ref="A29:U29"/>
    <mergeCell ref="A30:U30"/>
  </mergeCells>
  <printOptions gridLines="1"/>
  <pageMargins left="0.7" right="0.7" top="0.75" bottom="0.75" header="0.3" footer="0.3"/>
  <pageSetup scale="57" orientation="landscape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U32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sqref="A1:U1"/>
    </sheetView>
  </sheetViews>
  <sheetFormatPr defaultRowHeight="15" outlineLevelRow="1"/>
  <cols>
    <col min="1" max="1" width="12.1406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4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44081.3</v>
      </c>
      <c r="M5" s="169">
        <f>N5+O5+S5</f>
        <v>456.9</v>
      </c>
      <c r="N5" s="129">
        <v>240.5</v>
      </c>
      <c r="O5" s="129">
        <v>78.2</v>
      </c>
      <c r="P5" s="129">
        <v>58.1</v>
      </c>
      <c r="Q5" s="129">
        <v>17.7</v>
      </c>
      <c r="R5" s="129">
        <v>17.5</v>
      </c>
      <c r="S5" s="129">
        <v>138.19999999999999</v>
      </c>
      <c r="T5" s="129" t="s">
        <v>9</v>
      </c>
      <c r="U5" s="129" t="s">
        <v>9</v>
      </c>
    </row>
    <row r="6" spans="1:21" s="332" customFormat="1" outlineLevel="1">
      <c r="A6" s="34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43426.7</v>
      </c>
      <c r="M6" s="169">
        <f t="shared" ref="M6:M11" si="0">N6+O6+S6</f>
        <v>442.8</v>
      </c>
      <c r="N6" s="129">
        <v>249.7</v>
      </c>
      <c r="O6" s="129">
        <v>61.3</v>
      </c>
      <c r="P6" s="129">
        <v>39.5</v>
      </c>
      <c r="Q6" s="129">
        <v>17.899999999999999</v>
      </c>
      <c r="R6" s="129">
        <v>15.4</v>
      </c>
      <c r="S6" s="129">
        <v>131.80000000000001</v>
      </c>
      <c r="T6" s="129" t="s">
        <v>9</v>
      </c>
      <c r="U6" s="129" t="s">
        <v>9</v>
      </c>
    </row>
    <row r="7" spans="1:21" s="332" customFormat="1" outlineLevel="1">
      <c r="A7" s="34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43088.2</v>
      </c>
      <c r="M7" s="169">
        <f t="shared" si="0"/>
        <v>497.90000000000003</v>
      </c>
      <c r="N7" s="129">
        <v>287</v>
      </c>
      <c r="O7" s="129">
        <v>68.099999999999994</v>
      </c>
      <c r="P7" s="129">
        <v>32.9</v>
      </c>
      <c r="Q7" s="129">
        <v>24.3</v>
      </c>
      <c r="R7" s="129">
        <v>26</v>
      </c>
      <c r="S7" s="129">
        <v>142.80000000000001</v>
      </c>
      <c r="T7" s="129" t="s">
        <v>9</v>
      </c>
      <c r="U7" s="129" t="s">
        <v>9</v>
      </c>
    </row>
    <row r="8" spans="1:21" s="332" customFormat="1" outlineLevel="1">
      <c r="A8" s="34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44998.3</v>
      </c>
      <c r="M8" s="169">
        <f t="shared" si="0"/>
        <v>518</v>
      </c>
      <c r="N8" s="129">
        <v>257.2</v>
      </c>
      <c r="O8" s="129">
        <v>93.3</v>
      </c>
      <c r="P8" s="129" t="s">
        <v>9</v>
      </c>
      <c r="Q8" s="129" t="s">
        <v>9</v>
      </c>
      <c r="R8" s="129" t="s">
        <v>9</v>
      </c>
      <c r="S8" s="129">
        <v>167.5</v>
      </c>
      <c r="T8" s="129" t="s">
        <v>9</v>
      </c>
      <c r="U8" s="129" t="s">
        <v>9</v>
      </c>
    </row>
    <row r="9" spans="1:21" s="332" customFormat="1" outlineLevel="1">
      <c r="A9" s="34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47142.6</v>
      </c>
      <c r="M9" s="169">
        <f t="shared" si="0"/>
        <v>509.20000000000005</v>
      </c>
      <c r="N9" s="129">
        <v>97.8</v>
      </c>
      <c r="O9" s="129">
        <v>159.5</v>
      </c>
      <c r="P9" s="129" t="s">
        <v>9</v>
      </c>
      <c r="Q9" s="129">
        <v>83.5</v>
      </c>
      <c r="R9" s="129" t="s">
        <v>9</v>
      </c>
      <c r="S9" s="129">
        <v>251.9</v>
      </c>
      <c r="T9" s="129" t="s">
        <v>9</v>
      </c>
      <c r="U9" s="129" t="s">
        <v>9</v>
      </c>
    </row>
    <row r="10" spans="1:21" s="332" customFormat="1" outlineLevel="1">
      <c r="A10" s="34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48461.1</v>
      </c>
      <c r="M10" s="169">
        <f t="shared" si="0"/>
        <v>471.6</v>
      </c>
      <c r="N10" s="129">
        <v>62.8</v>
      </c>
      <c r="O10" s="129">
        <v>176.4</v>
      </c>
      <c r="P10" s="129" t="s">
        <v>9</v>
      </c>
      <c r="Q10" s="129">
        <v>91.3</v>
      </c>
      <c r="R10" s="129" t="s">
        <v>9</v>
      </c>
      <c r="S10" s="129">
        <v>232.4</v>
      </c>
      <c r="T10" s="129" t="s">
        <v>9</v>
      </c>
      <c r="U10" s="129" t="s">
        <v>9</v>
      </c>
    </row>
    <row r="11" spans="1:21" s="332" customFormat="1" outlineLevel="1">
      <c r="A11" s="34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47812.3</v>
      </c>
      <c r="M11" s="169">
        <f t="shared" si="0"/>
        <v>235.7</v>
      </c>
      <c r="N11" s="129">
        <v>79.7</v>
      </c>
      <c r="O11" s="129">
        <v>123.3</v>
      </c>
      <c r="P11" s="129" t="s">
        <v>9</v>
      </c>
      <c r="Q11" s="129">
        <v>62.9</v>
      </c>
      <c r="R11" s="129" t="s">
        <v>9</v>
      </c>
      <c r="S11" s="129">
        <v>32.700000000000003</v>
      </c>
      <c r="T11" s="129" t="s">
        <v>9</v>
      </c>
      <c r="U11" s="129" t="s">
        <v>9</v>
      </c>
    </row>
    <row r="12" spans="1:21">
      <c r="A12" s="263">
        <v>2007</v>
      </c>
      <c r="B12" s="81">
        <v>49461.8</v>
      </c>
      <c r="C12" s="81">
        <f>D12+E12+I12</f>
        <v>177.6</v>
      </c>
      <c r="D12" s="81">
        <v>43.9</v>
      </c>
      <c r="E12" s="81">
        <v>91.8</v>
      </c>
      <c r="F12" s="81" t="s">
        <v>9</v>
      </c>
      <c r="G12" s="81">
        <v>54.4</v>
      </c>
      <c r="H12" s="81" t="s">
        <v>9</v>
      </c>
      <c r="I12" s="81">
        <v>41.9</v>
      </c>
      <c r="J12" s="81" t="s">
        <v>9</v>
      </c>
      <c r="K12" s="81" t="s">
        <v>9</v>
      </c>
      <c r="L12" s="81">
        <v>49461.8</v>
      </c>
      <c r="M12" s="169">
        <f t="shared" ref="M12:M13" si="1">N12+O12+S12</f>
        <v>177.6</v>
      </c>
      <c r="N12" s="81">
        <v>43.9</v>
      </c>
      <c r="O12" s="81">
        <v>91.8</v>
      </c>
      <c r="P12" s="81" t="s">
        <v>9</v>
      </c>
      <c r="Q12" s="81">
        <v>54.4</v>
      </c>
      <c r="R12" s="81" t="s">
        <v>9</v>
      </c>
      <c r="S12" s="81">
        <v>41.9</v>
      </c>
      <c r="T12" s="81" t="s">
        <v>9</v>
      </c>
      <c r="U12" s="81" t="s">
        <v>9</v>
      </c>
    </row>
    <row r="13" spans="1:21">
      <c r="A13" s="263">
        <v>2008</v>
      </c>
      <c r="B13" s="81">
        <v>64534.9</v>
      </c>
      <c r="C13" s="81">
        <f t="shared" ref="C13" si="2">D13+E13+I13</f>
        <v>168.1</v>
      </c>
      <c r="D13" s="81">
        <v>37.4</v>
      </c>
      <c r="E13" s="81">
        <v>105.6</v>
      </c>
      <c r="F13" s="81">
        <v>17.3</v>
      </c>
      <c r="G13" s="81">
        <v>61.3</v>
      </c>
      <c r="H13" s="81">
        <v>27</v>
      </c>
      <c r="I13" s="81">
        <v>25.1</v>
      </c>
      <c r="J13" s="81">
        <v>0</v>
      </c>
      <c r="K13" s="81">
        <v>25.1</v>
      </c>
      <c r="L13" s="81">
        <v>52063.8</v>
      </c>
      <c r="M13" s="169">
        <f t="shared" si="1"/>
        <v>156.60000000000002</v>
      </c>
      <c r="N13" s="81">
        <v>38.299999999999997</v>
      </c>
      <c r="O13" s="81">
        <v>93</v>
      </c>
      <c r="P13" s="81">
        <v>16.5</v>
      </c>
      <c r="Q13" s="81">
        <v>50.7</v>
      </c>
      <c r="R13" s="81">
        <v>26.2</v>
      </c>
      <c r="S13" s="81">
        <v>25.3</v>
      </c>
      <c r="T13" s="81">
        <v>0</v>
      </c>
      <c r="U13" s="81">
        <v>25.3</v>
      </c>
    </row>
    <row r="14" spans="1:21">
      <c r="A14" s="263">
        <v>2009</v>
      </c>
      <c r="B14" s="81">
        <v>57241.8</v>
      </c>
      <c r="C14" s="81" t="s">
        <v>10</v>
      </c>
      <c r="D14" s="81">
        <v>35.9</v>
      </c>
      <c r="E14" s="81">
        <v>83.1</v>
      </c>
      <c r="F14" s="81" t="s">
        <v>9</v>
      </c>
      <c r="G14" s="81" t="s">
        <v>9</v>
      </c>
      <c r="H14" s="81">
        <v>32.200000000000003</v>
      </c>
      <c r="I14" s="81" t="s">
        <v>9</v>
      </c>
      <c r="J14" s="81" t="s">
        <v>9</v>
      </c>
      <c r="K14" s="81">
        <v>16.7</v>
      </c>
      <c r="L14" s="81">
        <v>49656.4</v>
      </c>
      <c r="M14" s="169" t="s">
        <v>10</v>
      </c>
      <c r="N14" s="81">
        <v>39.5</v>
      </c>
      <c r="O14" s="81">
        <v>73.5</v>
      </c>
      <c r="P14" s="81" t="s">
        <v>9</v>
      </c>
      <c r="Q14" s="81" t="s">
        <v>9</v>
      </c>
      <c r="R14" s="81">
        <v>28.6</v>
      </c>
      <c r="S14" s="81" t="s">
        <v>9</v>
      </c>
      <c r="T14" s="81" t="s">
        <v>9</v>
      </c>
      <c r="U14" s="81">
        <v>19.399999999999999</v>
      </c>
    </row>
    <row r="15" spans="1:21">
      <c r="A15" s="263">
        <v>2010</v>
      </c>
      <c r="B15" s="81">
        <v>60603.1</v>
      </c>
      <c r="C15" s="81" t="s">
        <v>10</v>
      </c>
      <c r="D15" s="81">
        <v>44.5</v>
      </c>
      <c r="E15" s="81">
        <v>99.8</v>
      </c>
      <c r="F15" s="81" t="s">
        <v>9</v>
      </c>
      <c r="G15" s="81">
        <v>52.4</v>
      </c>
      <c r="H15" s="81" t="s">
        <v>9</v>
      </c>
      <c r="I15" s="81" t="s">
        <v>9</v>
      </c>
      <c r="J15" s="81" t="s">
        <v>9</v>
      </c>
      <c r="K15" s="81" t="s">
        <v>9</v>
      </c>
      <c r="L15" s="81">
        <v>51850.2</v>
      </c>
      <c r="M15" s="169" t="s">
        <v>10</v>
      </c>
      <c r="N15" s="81">
        <v>44</v>
      </c>
      <c r="O15" s="81">
        <v>74.900000000000006</v>
      </c>
      <c r="P15" s="81" t="s">
        <v>9</v>
      </c>
      <c r="Q15" s="81">
        <v>43.7</v>
      </c>
      <c r="R15" s="81" t="s">
        <v>9</v>
      </c>
      <c r="S15" s="81" t="s">
        <v>9</v>
      </c>
      <c r="T15" s="81" t="s">
        <v>9</v>
      </c>
      <c r="U15" s="81" t="s">
        <v>9</v>
      </c>
    </row>
    <row r="16" spans="1:21">
      <c r="A16" s="263">
        <v>2011</v>
      </c>
      <c r="B16" s="81">
        <v>71770.8</v>
      </c>
      <c r="C16" s="81" t="s">
        <v>10</v>
      </c>
      <c r="D16" s="81">
        <v>34</v>
      </c>
      <c r="E16" s="81">
        <v>103.9</v>
      </c>
      <c r="F16" s="81" t="s">
        <v>9</v>
      </c>
      <c r="G16" s="81">
        <v>52.5</v>
      </c>
      <c r="H16" s="81" t="s">
        <v>9</v>
      </c>
      <c r="I16" s="81" t="s">
        <v>9</v>
      </c>
      <c r="J16" s="81" t="s">
        <v>9</v>
      </c>
      <c r="K16" s="81" t="s">
        <v>9</v>
      </c>
      <c r="L16" s="81">
        <v>54853.8</v>
      </c>
      <c r="M16" s="169" t="s">
        <v>10</v>
      </c>
      <c r="N16" s="81">
        <v>43.3</v>
      </c>
      <c r="O16" s="81">
        <v>93.8</v>
      </c>
      <c r="P16" s="81" t="s">
        <v>9</v>
      </c>
      <c r="Q16" s="81">
        <v>53.1</v>
      </c>
      <c r="R16" s="81" t="s">
        <v>9</v>
      </c>
      <c r="S16" s="81" t="s">
        <v>9</v>
      </c>
      <c r="T16" s="81" t="s">
        <v>9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56454.6</v>
      </c>
      <c r="M17" s="169" t="s">
        <v>10</v>
      </c>
      <c r="N17" s="81">
        <v>47.2</v>
      </c>
      <c r="O17" s="81">
        <v>129.9</v>
      </c>
      <c r="P17" s="81" t="s">
        <v>9</v>
      </c>
      <c r="Q17" s="81">
        <v>79.599999999999994</v>
      </c>
      <c r="R17" s="81" t="s">
        <v>9</v>
      </c>
      <c r="S17" s="81" t="s">
        <v>9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59274.2</v>
      </c>
      <c r="M18" s="169" t="s">
        <v>10</v>
      </c>
      <c r="N18" s="81">
        <v>53.9</v>
      </c>
      <c r="O18" s="81">
        <v>161.5</v>
      </c>
      <c r="P18" s="81" t="s">
        <v>9</v>
      </c>
      <c r="Q18" s="81">
        <v>97.2</v>
      </c>
      <c r="R18" s="81" t="s">
        <v>9</v>
      </c>
      <c r="S18" s="81" t="s">
        <v>9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21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21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1.6588224357398484</v>
      </c>
      <c r="M21" s="284">
        <f t="shared" ref="M21:S21" si="3">((M12/M5)^(1/7)-1)*100</f>
        <v>-12.627544072973606</v>
      </c>
      <c r="N21" s="284">
        <f t="shared" si="3"/>
        <v>-21.570672457282537</v>
      </c>
      <c r="O21" s="284">
        <f t="shared" si="3"/>
        <v>2.3170452032819089</v>
      </c>
      <c r="P21" s="284" t="s">
        <v>10</v>
      </c>
      <c r="Q21" s="284">
        <f t="shared" si="3"/>
        <v>17.398028777313201</v>
      </c>
      <c r="R21" s="284" t="s">
        <v>10</v>
      </c>
      <c r="S21" s="284">
        <f t="shared" si="3"/>
        <v>-15.674680156148145</v>
      </c>
      <c r="T21" s="284" t="s">
        <v>10</v>
      </c>
      <c r="U21" s="284" t="s">
        <v>10</v>
      </c>
    </row>
    <row r="22" spans="1:21" ht="21" customHeight="1">
      <c r="A22" s="260" t="s">
        <v>368</v>
      </c>
      <c r="B22" s="284">
        <f>((B15/B12)^(1/3)-1)*100</f>
        <v>7.0060437798139086</v>
      </c>
      <c r="C22" s="284" t="s">
        <v>10</v>
      </c>
      <c r="D22" s="284">
        <f t="shared" ref="D22:Q22" si="4">((D15/D12)^(1/3)-1)*100</f>
        <v>0.45352094378072749</v>
      </c>
      <c r="E22" s="284">
        <f t="shared" si="4"/>
        <v>2.8243453943394448</v>
      </c>
      <c r="F22" s="284" t="s">
        <v>10</v>
      </c>
      <c r="G22" s="284">
        <f t="shared" si="4"/>
        <v>-1.2408229307828367</v>
      </c>
      <c r="H22" s="284" t="s">
        <v>10</v>
      </c>
      <c r="I22" s="284" t="s">
        <v>10</v>
      </c>
      <c r="J22" s="284" t="s">
        <v>10</v>
      </c>
      <c r="K22" s="284" t="s">
        <v>10</v>
      </c>
      <c r="L22" s="284">
        <f t="shared" si="4"/>
        <v>1.5843578523736968</v>
      </c>
      <c r="M22" s="284" t="s">
        <v>10</v>
      </c>
      <c r="N22" s="284">
        <f t="shared" si="4"/>
        <v>7.5872563249679281E-2</v>
      </c>
      <c r="O22" s="284">
        <f t="shared" si="4"/>
        <v>-6.5570848252033294</v>
      </c>
      <c r="P22" s="284" t="s">
        <v>10</v>
      </c>
      <c r="Q22" s="284">
        <f t="shared" si="4"/>
        <v>-7.0404143870816283</v>
      </c>
      <c r="R22" s="284" t="s">
        <v>10</v>
      </c>
      <c r="S22" s="284" t="s">
        <v>10</v>
      </c>
      <c r="T22" s="284" t="s">
        <v>10</v>
      </c>
      <c r="U22" s="284" t="s">
        <v>10</v>
      </c>
    </row>
    <row r="23" spans="1:21" ht="21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Q23" si="5">((L18/L15)^(1/3)-1)*100</f>
        <v>4.5614880218291853</v>
      </c>
      <c r="M23" s="284" t="s">
        <v>10</v>
      </c>
      <c r="N23" s="284">
        <f t="shared" si="5"/>
        <v>6.998748056507953</v>
      </c>
      <c r="O23" s="284">
        <f t="shared" si="5"/>
        <v>29.190398043063869</v>
      </c>
      <c r="P23" s="284" t="s">
        <v>10</v>
      </c>
      <c r="Q23" s="284">
        <f t="shared" si="5"/>
        <v>30.535391484480368</v>
      </c>
      <c r="R23" s="284" t="s">
        <v>10</v>
      </c>
      <c r="S23" s="284" t="s">
        <v>10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3.0621735496888292</v>
      </c>
      <c r="M24" s="192" t="str">
        <f t="shared" si="6"/>
        <v>n.a.</v>
      </c>
      <c r="N24" s="192">
        <f t="shared" si="6"/>
        <v>3.4794331011257063</v>
      </c>
      <c r="O24" s="192">
        <f t="shared" si="6"/>
        <v>9.8723232016882037</v>
      </c>
      <c r="P24" s="192" t="str">
        <f t="shared" si="6"/>
        <v>n.a.</v>
      </c>
      <c r="Q24" s="192">
        <f t="shared" si="6"/>
        <v>10.156778730214189</v>
      </c>
      <c r="R24" s="192" t="str">
        <f t="shared" si="6"/>
        <v>n.a.</v>
      </c>
      <c r="S24" s="192" t="str">
        <f t="shared" si="6"/>
        <v>n.a.</v>
      </c>
      <c r="T24" s="192" t="str">
        <f t="shared" si="6"/>
        <v>n.a.</v>
      </c>
      <c r="U24" s="192" t="str">
        <f t="shared" si="6"/>
        <v>n.a.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>((L18/L5)^(1/13)-1)*100</f>
        <v>2.3041325989850092</v>
      </c>
      <c r="M25" s="81" t="s">
        <v>10</v>
      </c>
      <c r="N25" s="192">
        <f>((N18/N5)^(1/13)-1)*100</f>
        <v>-10.867428285683566</v>
      </c>
      <c r="O25" s="192">
        <f>((O18/O5)^(1/13)-1)*100</f>
        <v>5.7372805035329488</v>
      </c>
      <c r="P25" s="81" t="s">
        <v>10</v>
      </c>
      <c r="Q25" s="192">
        <f>((Q18/Q5)^(1/13)-1)*100</f>
        <v>13.99858518637811</v>
      </c>
      <c r="R25" s="81" t="s">
        <v>10</v>
      </c>
      <c r="S25" s="81" t="s">
        <v>10</v>
      </c>
      <c r="T25" s="81" t="s">
        <v>10</v>
      </c>
      <c r="U25" s="81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9" spans="1:2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ht="30" customHeight="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</sheetData>
  <mergeCells count="8">
    <mergeCell ref="A31:U31"/>
    <mergeCell ref="A32:U32"/>
    <mergeCell ref="A1:U1"/>
    <mergeCell ref="B2:K2"/>
    <mergeCell ref="L2:U2"/>
    <mergeCell ref="A20:U20"/>
    <mergeCell ref="A29:U29"/>
    <mergeCell ref="A30:U30"/>
  </mergeCells>
  <printOptions gridLines="1"/>
  <pageMargins left="0.7" right="0.7" top="0.75" bottom="0.75" header="0.3" footer="0.3"/>
  <pageSetup scale="54" orientation="landscape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U44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M12" sqref="M12"/>
    </sheetView>
  </sheetViews>
  <sheetFormatPr defaultRowHeight="15" outlineLevelRow="1"/>
  <cols>
    <col min="1" max="1" width="11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566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1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41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194842</v>
      </c>
      <c r="M5" s="169">
        <f>N5+O5+S5</f>
        <v>1794.6000000000001</v>
      </c>
      <c r="N5" s="129">
        <v>301.39999999999998</v>
      </c>
      <c r="O5" s="129">
        <v>967</v>
      </c>
      <c r="P5" s="129">
        <v>447.9</v>
      </c>
      <c r="Q5" s="129">
        <v>291.7</v>
      </c>
      <c r="R5" s="129">
        <v>217.8</v>
      </c>
      <c r="S5" s="129">
        <v>526.20000000000005</v>
      </c>
      <c r="T5" s="129" t="s">
        <v>9</v>
      </c>
      <c r="U5" s="129" t="s">
        <v>9</v>
      </c>
    </row>
    <row r="6" spans="1:21" s="332" customFormat="1" outlineLevel="1">
      <c r="A6" s="341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199110.5</v>
      </c>
      <c r="M6" s="169">
        <f t="shared" ref="M6:M11" si="0">N6+O6+S6</f>
        <v>1745</v>
      </c>
      <c r="N6" s="129">
        <v>304.5</v>
      </c>
      <c r="O6" s="129">
        <v>971.8</v>
      </c>
      <c r="P6" s="129">
        <v>467.1</v>
      </c>
      <c r="Q6" s="129">
        <v>242.4</v>
      </c>
      <c r="R6" s="129">
        <v>251.7</v>
      </c>
      <c r="S6" s="129">
        <v>468.7</v>
      </c>
      <c r="T6" s="129" t="s">
        <v>9</v>
      </c>
      <c r="U6" s="129" t="s">
        <v>9</v>
      </c>
    </row>
    <row r="7" spans="1:21" s="332" customFormat="1" outlineLevel="1">
      <c r="A7" s="341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202550.1</v>
      </c>
      <c r="M7" s="169">
        <f t="shared" si="0"/>
        <v>1898.2</v>
      </c>
      <c r="N7" s="129">
        <v>339.4</v>
      </c>
      <c r="O7" s="129">
        <v>1063.0999999999999</v>
      </c>
      <c r="P7" s="129">
        <v>471.6</v>
      </c>
      <c r="Q7" s="129">
        <v>324.39999999999998</v>
      </c>
      <c r="R7" s="129">
        <v>261.3</v>
      </c>
      <c r="S7" s="129">
        <v>495.7</v>
      </c>
      <c r="T7" s="129">
        <v>364.3</v>
      </c>
      <c r="U7" s="129">
        <v>139.5</v>
      </c>
    </row>
    <row r="8" spans="1:21" s="332" customFormat="1" outlineLevel="1">
      <c r="A8" s="341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209031.6</v>
      </c>
      <c r="M8" s="169">
        <f t="shared" si="0"/>
        <v>1914.4999999999998</v>
      </c>
      <c r="N8" s="129">
        <v>343.4</v>
      </c>
      <c r="O8" s="129">
        <v>1065.8</v>
      </c>
      <c r="P8" s="129">
        <v>456.8</v>
      </c>
      <c r="Q8" s="129">
        <v>342.2</v>
      </c>
      <c r="R8" s="129">
        <v>255.1</v>
      </c>
      <c r="S8" s="129">
        <v>505.3</v>
      </c>
      <c r="T8" s="129">
        <v>381.9</v>
      </c>
      <c r="U8" s="129">
        <v>127.3</v>
      </c>
    </row>
    <row r="9" spans="1:21" s="332" customFormat="1" outlineLevel="1">
      <c r="A9" s="341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220234.6</v>
      </c>
      <c r="M9" s="169">
        <f t="shared" si="0"/>
        <v>2101.3000000000002</v>
      </c>
      <c r="N9" s="129">
        <v>352</v>
      </c>
      <c r="O9" s="129">
        <v>1207.9000000000001</v>
      </c>
      <c r="P9" s="129">
        <v>533.29999999999995</v>
      </c>
      <c r="Q9" s="129">
        <v>357.9</v>
      </c>
      <c r="R9" s="129">
        <v>324.39999999999998</v>
      </c>
      <c r="S9" s="129">
        <v>541.4</v>
      </c>
      <c r="T9" s="129">
        <v>416.7</v>
      </c>
      <c r="U9" s="129">
        <v>126.3</v>
      </c>
    </row>
    <row r="10" spans="1:21" s="332" customFormat="1" outlineLevel="1">
      <c r="A10" s="341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230882.1</v>
      </c>
      <c r="M10" s="169">
        <f t="shared" si="0"/>
        <v>2289.8999999999996</v>
      </c>
      <c r="N10" s="129">
        <v>378.6</v>
      </c>
      <c r="O10" s="129">
        <v>1284.0999999999999</v>
      </c>
      <c r="P10" s="129">
        <v>533.6</v>
      </c>
      <c r="Q10" s="129">
        <v>390.9</v>
      </c>
      <c r="R10" s="129">
        <v>360.4</v>
      </c>
      <c r="S10" s="129">
        <v>627.20000000000005</v>
      </c>
      <c r="T10" s="129">
        <v>507.3</v>
      </c>
      <c r="U10" s="129">
        <v>117.4</v>
      </c>
    </row>
    <row r="11" spans="1:21" s="332" customFormat="1" outlineLevel="1">
      <c r="A11" s="341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245048.6</v>
      </c>
      <c r="M11" s="169">
        <f t="shared" si="0"/>
        <v>2360.3000000000002</v>
      </c>
      <c r="N11" s="129">
        <v>397.8</v>
      </c>
      <c r="O11" s="129">
        <v>1317</v>
      </c>
      <c r="P11" s="129">
        <v>525.20000000000005</v>
      </c>
      <c r="Q11" s="129">
        <v>377.1</v>
      </c>
      <c r="R11" s="129">
        <v>419.1</v>
      </c>
      <c r="S11" s="129">
        <v>645.5</v>
      </c>
      <c r="T11" s="129" t="s">
        <v>9</v>
      </c>
      <c r="U11" s="129" t="s">
        <v>9</v>
      </c>
    </row>
    <row r="12" spans="1:21">
      <c r="A12" s="263">
        <v>2007</v>
      </c>
      <c r="B12" s="81">
        <v>250108.2</v>
      </c>
      <c r="C12" s="81">
        <f>D12+E12+I12</f>
        <v>2178</v>
      </c>
      <c r="D12" s="81">
        <v>321.10000000000002</v>
      </c>
      <c r="E12" s="81">
        <v>1270.5</v>
      </c>
      <c r="F12" s="81">
        <v>505.3</v>
      </c>
      <c r="G12" s="81">
        <v>305.10000000000002</v>
      </c>
      <c r="H12" s="81">
        <v>460.1</v>
      </c>
      <c r="I12" s="81">
        <v>586.4</v>
      </c>
      <c r="J12" s="81">
        <v>463.1</v>
      </c>
      <c r="K12" s="81">
        <v>123.3</v>
      </c>
      <c r="L12" s="81">
        <v>250108.2</v>
      </c>
      <c r="M12" s="169">
        <f t="shared" ref="M12:M18" si="1">N12+O12+S12</f>
        <v>2178</v>
      </c>
      <c r="N12" s="81">
        <v>321.10000000000002</v>
      </c>
      <c r="O12" s="81">
        <v>1270.5</v>
      </c>
      <c r="P12" s="81">
        <v>505.3</v>
      </c>
      <c r="Q12" s="81">
        <v>305.10000000000002</v>
      </c>
      <c r="R12" s="81">
        <v>460.1</v>
      </c>
      <c r="S12" s="81">
        <v>586.4</v>
      </c>
      <c r="T12" s="81">
        <v>463.1</v>
      </c>
      <c r="U12" s="81">
        <v>123.3</v>
      </c>
    </row>
    <row r="13" spans="1:21">
      <c r="A13" s="263">
        <v>2008</v>
      </c>
      <c r="B13" s="81">
        <v>287048.2</v>
      </c>
      <c r="C13" s="81">
        <f t="shared" ref="C13:C15" si="2">D13+E13+I13</f>
        <v>1921.4</v>
      </c>
      <c r="D13" s="81">
        <v>290.39999999999998</v>
      </c>
      <c r="E13" s="81">
        <v>1017.1</v>
      </c>
      <c r="F13" s="81">
        <v>452.3</v>
      </c>
      <c r="G13" s="81">
        <v>180.4</v>
      </c>
      <c r="H13" s="81">
        <v>384.4</v>
      </c>
      <c r="I13" s="81">
        <v>613.9</v>
      </c>
      <c r="J13" s="81" t="s">
        <v>9</v>
      </c>
      <c r="K13" s="81" t="s">
        <v>9</v>
      </c>
      <c r="L13" s="81">
        <v>254059.1</v>
      </c>
      <c r="M13" s="169">
        <f t="shared" si="1"/>
        <v>1966.8000000000002</v>
      </c>
      <c r="N13" s="81">
        <v>300</v>
      </c>
      <c r="O13" s="81">
        <v>1106.9000000000001</v>
      </c>
      <c r="P13" s="81">
        <v>514.79999999999995</v>
      </c>
      <c r="Q13" s="81">
        <v>210.7</v>
      </c>
      <c r="R13" s="81">
        <v>382.2</v>
      </c>
      <c r="S13" s="81">
        <v>559.9</v>
      </c>
      <c r="T13" s="81" t="s">
        <v>9</v>
      </c>
      <c r="U13" s="81" t="s">
        <v>9</v>
      </c>
    </row>
    <row r="14" spans="1:21">
      <c r="A14" s="263">
        <v>2009</v>
      </c>
      <c r="B14" s="81">
        <v>238704.1</v>
      </c>
      <c r="C14" s="81">
        <f t="shared" si="2"/>
        <v>1570</v>
      </c>
      <c r="D14" s="81">
        <v>285.60000000000002</v>
      </c>
      <c r="E14" s="81">
        <v>876.4</v>
      </c>
      <c r="F14" s="81">
        <v>319.7</v>
      </c>
      <c r="G14" s="81">
        <v>167</v>
      </c>
      <c r="H14" s="81">
        <v>389.7</v>
      </c>
      <c r="I14" s="81">
        <v>408</v>
      </c>
      <c r="J14" s="81">
        <v>330</v>
      </c>
      <c r="K14" s="81">
        <v>78</v>
      </c>
      <c r="L14" s="81">
        <v>243266.7</v>
      </c>
      <c r="M14" s="169">
        <f t="shared" si="1"/>
        <v>1700.6999999999998</v>
      </c>
      <c r="N14" s="81">
        <v>281.39999999999998</v>
      </c>
      <c r="O14" s="81">
        <v>934.4</v>
      </c>
      <c r="P14" s="81">
        <v>404</v>
      </c>
      <c r="Q14" s="81">
        <v>197.9</v>
      </c>
      <c r="R14" s="81">
        <v>330.6</v>
      </c>
      <c r="S14" s="81">
        <v>484.9</v>
      </c>
      <c r="T14" s="81">
        <v>397.6</v>
      </c>
      <c r="U14" s="81">
        <v>86.1</v>
      </c>
    </row>
    <row r="15" spans="1:21">
      <c r="A15" s="263">
        <v>2010</v>
      </c>
      <c r="B15" s="81">
        <v>261657.3</v>
      </c>
      <c r="C15" s="81">
        <f t="shared" si="2"/>
        <v>1823</v>
      </c>
      <c r="D15" s="81">
        <v>331.2</v>
      </c>
      <c r="E15" s="81">
        <v>912.9</v>
      </c>
      <c r="F15" s="81" t="s">
        <v>9</v>
      </c>
      <c r="G15" s="81">
        <v>232.9</v>
      </c>
      <c r="H15" s="81" t="s">
        <v>9</v>
      </c>
      <c r="I15" s="81">
        <v>578.9</v>
      </c>
      <c r="J15" s="81" t="s">
        <v>9</v>
      </c>
      <c r="K15" s="81" t="s">
        <v>9</v>
      </c>
      <c r="L15" s="81">
        <v>254935.1</v>
      </c>
      <c r="M15" s="169">
        <f t="shared" si="1"/>
        <v>1862.9999999999998</v>
      </c>
      <c r="N15" s="81">
        <v>325.89999999999998</v>
      </c>
      <c r="O15" s="81">
        <v>950.3</v>
      </c>
      <c r="P15" s="81" t="s">
        <v>9</v>
      </c>
      <c r="Q15" s="81">
        <v>261.10000000000002</v>
      </c>
      <c r="R15" s="81" t="s">
        <v>9</v>
      </c>
      <c r="S15" s="81">
        <v>586.79999999999995</v>
      </c>
      <c r="T15" s="81" t="s">
        <v>9</v>
      </c>
      <c r="U15" s="81" t="s">
        <v>9</v>
      </c>
    </row>
    <row r="16" spans="1:21">
      <c r="A16" s="263">
        <v>2011</v>
      </c>
      <c r="B16" s="81">
        <v>290122.2</v>
      </c>
      <c r="C16" s="81" t="s">
        <v>10</v>
      </c>
      <c r="D16" s="81">
        <v>368.6</v>
      </c>
      <c r="E16" s="81">
        <v>970.3</v>
      </c>
      <c r="F16" s="81">
        <v>376.4</v>
      </c>
      <c r="G16" s="81">
        <v>175.8</v>
      </c>
      <c r="H16" s="81">
        <v>418.1</v>
      </c>
      <c r="I16" s="81" t="s">
        <v>9</v>
      </c>
      <c r="J16" s="81">
        <v>501</v>
      </c>
      <c r="K16" s="81" t="s">
        <v>9</v>
      </c>
      <c r="L16" s="81">
        <v>269673</v>
      </c>
      <c r="M16" s="169" t="s">
        <v>10</v>
      </c>
      <c r="N16" s="81">
        <v>355.9</v>
      </c>
      <c r="O16" s="81">
        <v>1049.5</v>
      </c>
      <c r="P16" s="81">
        <v>439</v>
      </c>
      <c r="Q16" s="81">
        <v>244.6</v>
      </c>
      <c r="R16" s="81">
        <v>364</v>
      </c>
      <c r="S16" s="81" t="s">
        <v>9</v>
      </c>
      <c r="T16" s="81">
        <v>470.7</v>
      </c>
      <c r="U16" s="81" t="s">
        <v>9</v>
      </c>
    </row>
    <row r="17" spans="1:21">
      <c r="A17" s="263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281107.59999999998</v>
      </c>
      <c r="M17" s="169">
        <f t="shared" si="1"/>
        <v>2175.3999999999996</v>
      </c>
      <c r="N17" s="81">
        <v>402.4</v>
      </c>
      <c r="O17" s="81">
        <v>1226.3</v>
      </c>
      <c r="P17" s="81">
        <v>527.4</v>
      </c>
      <c r="Q17" s="81">
        <v>299.3</v>
      </c>
      <c r="R17" s="81">
        <v>406.2</v>
      </c>
      <c r="S17" s="81">
        <v>546.70000000000005</v>
      </c>
      <c r="T17" s="81" t="s">
        <v>9</v>
      </c>
      <c r="U17" s="81" t="s">
        <v>9</v>
      </c>
    </row>
    <row r="18" spans="1:21">
      <c r="A18" s="263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292589.5</v>
      </c>
      <c r="M18" s="169">
        <f t="shared" si="1"/>
        <v>2354.1000000000004</v>
      </c>
      <c r="N18" s="81">
        <v>421.1</v>
      </c>
      <c r="O18" s="81">
        <v>1354.7</v>
      </c>
      <c r="P18" s="81">
        <v>567.9</v>
      </c>
      <c r="Q18" s="81">
        <v>313</v>
      </c>
      <c r="R18" s="81">
        <v>472.4</v>
      </c>
      <c r="S18" s="81">
        <v>578.29999999999995</v>
      </c>
      <c r="T18" s="81" t="s">
        <v>9</v>
      </c>
      <c r="U18" s="81" t="s">
        <v>9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14.25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14.25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3.6315975436252756</v>
      </c>
      <c r="M21" s="284">
        <f t="shared" ref="M21:S21" si="3">((M12/M5)^(1/7)-1)*100</f>
        <v>2.8046804348497822</v>
      </c>
      <c r="N21" s="284">
        <f t="shared" si="3"/>
        <v>0.90859308632731395</v>
      </c>
      <c r="O21" s="284">
        <f t="shared" si="3"/>
        <v>3.9765627533313364</v>
      </c>
      <c r="P21" s="284">
        <f t="shared" si="3"/>
        <v>1.7375269521440861</v>
      </c>
      <c r="Q21" s="284">
        <f t="shared" si="3"/>
        <v>0.64368731731498929</v>
      </c>
      <c r="R21" s="284">
        <f t="shared" si="3"/>
        <v>11.275407652985891</v>
      </c>
      <c r="S21" s="284">
        <f t="shared" si="3"/>
        <v>1.5594745883530159</v>
      </c>
      <c r="T21" s="284" t="s">
        <v>10</v>
      </c>
      <c r="U21" s="284" t="s">
        <v>10</v>
      </c>
    </row>
    <row r="22" spans="1:21" ht="14.25" customHeight="1">
      <c r="A22" s="260" t="s">
        <v>368</v>
      </c>
      <c r="B22" s="284">
        <f>((B15/B12)^(1/3)-1)*100</f>
        <v>1.51611171666719</v>
      </c>
      <c r="C22" s="284">
        <f t="shared" ref="C22:S22" si="4">((C15/C12)^(1/3)-1)*100</f>
        <v>-5.7583391800174022</v>
      </c>
      <c r="D22" s="284">
        <f t="shared" si="4"/>
        <v>1.0376742628951829</v>
      </c>
      <c r="E22" s="284">
        <f t="shared" si="4"/>
        <v>-10.43269382758556</v>
      </c>
      <c r="F22" s="284" t="s">
        <v>10</v>
      </c>
      <c r="G22" s="284">
        <f t="shared" si="4"/>
        <v>-8.6078080369722869</v>
      </c>
      <c r="H22" s="284" t="s">
        <v>10</v>
      </c>
      <c r="I22" s="284">
        <f t="shared" si="4"/>
        <v>-0.42816074997555909</v>
      </c>
      <c r="J22" s="284" t="s">
        <v>10</v>
      </c>
      <c r="K22" s="284" t="s">
        <v>10</v>
      </c>
      <c r="L22" s="284">
        <f t="shared" si="4"/>
        <v>0.63921359667558075</v>
      </c>
      <c r="M22" s="284">
        <f t="shared" si="4"/>
        <v>-5.0740410400444862</v>
      </c>
      <c r="N22" s="284">
        <f t="shared" si="4"/>
        <v>0.4958246539364719</v>
      </c>
      <c r="O22" s="284">
        <f t="shared" si="4"/>
        <v>-9.2258857321322338</v>
      </c>
      <c r="P22" s="284" t="s">
        <v>10</v>
      </c>
      <c r="Q22" s="284">
        <f t="shared" si="4"/>
        <v>-5.0587625257082713</v>
      </c>
      <c r="R22" s="284" t="s">
        <v>10</v>
      </c>
      <c r="S22" s="284">
        <f t="shared" si="4"/>
        <v>2.2732439973793817E-2</v>
      </c>
      <c r="T22" s="284" t="s">
        <v>10</v>
      </c>
      <c r="U22" s="284" t="s">
        <v>10</v>
      </c>
    </row>
    <row r="23" spans="1:21" ht="14.25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S23" si="5">((L18/L15)^(1/3)-1)*100</f>
        <v>4.6991206684607212</v>
      </c>
      <c r="M23" s="284">
        <f t="shared" si="5"/>
        <v>8.1111990636752118</v>
      </c>
      <c r="N23" s="284">
        <f t="shared" si="5"/>
        <v>8.9181594081299664</v>
      </c>
      <c r="O23" s="284">
        <f t="shared" si="5"/>
        <v>12.545326956315851</v>
      </c>
      <c r="P23" s="284" t="s">
        <v>10</v>
      </c>
      <c r="Q23" s="284">
        <f t="shared" si="5"/>
        <v>6.2296674447994249</v>
      </c>
      <c r="R23" s="284" t="s">
        <v>10</v>
      </c>
      <c r="S23" s="284">
        <f t="shared" si="5"/>
        <v>-0.4851951438783253</v>
      </c>
      <c r="T23" s="284" t="s">
        <v>10</v>
      </c>
      <c r="U23" s="284" t="s">
        <v>10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2.6490972602162266</v>
      </c>
      <c r="M24" s="192">
        <f t="shared" si="6"/>
        <v>1.3042903604285394</v>
      </c>
      <c r="N24" s="192">
        <f t="shared" si="6"/>
        <v>4.6222741556927183</v>
      </c>
      <c r="O24" s="192">
        <f t="shared" si="6"/>
        <v>1.0752312361794747</v>
      </c>
      <c r="P24" s="192">
        <f t="shared" si="6"/>
        <v>1.9656193992895865</v>
      </c>
      <c r="Q24" s="192">
        <f t="shared" si="6"/>
        <v>0.42696890622428985</v>
      </c>
      <c r="R24" s="192">
        <f t="shared" si="6"/>
        <v>0.44067190155376856</v>
      </c>
      <c r="S24" s="192">
        <f t="shared" si="6"/>
        <v>-0.2315545879356562</v>
      </c>
      <c r="T24" s="192" t="str">
        <f t="shared" si="6"/>
        <v>n.a.</v>
      </c>
      <c r="U24" s="192" t="str">
        <f t="shared" si="6"/>
        <v>n.a.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 t="shared" ref="L25:S25" si="7">((L18/L5)^(1/13)-1)*100</f>
        <v>3.1769727534243453</v>
      </c>
      <c r="M25" s="192">
        <f t="shared" si="7"/>
        <v>2.1094511555590945</v>
      </c>
      <c r="N25" s="192">
        <f t="shared" si="7"/>
        <v>2.6059299876409758</v>
      </c>
      <c r="O25" s="192">
        <f t="shared" si="7"/>
        <v>2.6272802575876941</v>
      </c>
      <c r="P25" s="192">
        <f t="shared" si="7"/>
        <v>1.8427369184365716</v>
      </c>
      <c r="Q25" s="192">
        <f t="shared" si="7"/>
        <v>0.54360538321320817</v>
      </c>
      <c r="R25" s="192">
        <f t="shared" si="7"/>
        <v>6.1366899979267586</v>
      </c>
      <c r="S25" s="192">
        <f t="shared" si="7"/>
        <v>0.7288850412472403</v>
      </c>
      <c r="T25" s="81" t="s">
        <v>10</v>
      </c>
      <c r="U25" s="81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30" spans="1:2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3" spans="1:21" ht="30" customHeight="1">
      <c r="A33" s="490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</row>
    <row r="38" spans="1:21">
      <c r="C38" s="272"/>
    </row>
    <row r="39" spans="1:21">
      <c r="C39" s="272"/>
    </row>
    <row r="40" spans="1:21">
      <c r="C40" s="272"/>
    </row>
    <row r="41" spans="1:21">
      <c r="C41" s="272"/>
    </row>
    <row r="42" spans="1:21">
      <c r="C42" s="272"/>
    </row>
    <row r="43" spans="1:21">
      <c r="C43" s="272"/>
    </row>
    <row r="44" spans="1:21">
      <c r="C44" s="272"/>
    </row>
  </sheetData>
  <mergeCells count="8">
    <mergeCell ref="A32:U32"/>
    <mergeCell ref="A33:U33"/>
    <mergeCell ref="A1:U1"/>
    <mergeCell ref="B2:K2"/>
    <mergeCell ref="L2:U2"/>
    <mergeCell ref="A20:U20"/>
    <mergeCell ref="A30:U30"/>
    <mergeCell ref="A31:U31"/>
  </mergeCells>
  <printOptions gridLines="1"/>
  <pageMargins left="0.7" right="0.7" top="0.75" bottom="0.75" header="0.3" footer="0.3"/>
  <pageSetup scale="56" orientation="landscape" horizontalDpi="0" verticalDpi="0" r:id="rId1"/>
  <rowBreaks count="1" manualBreakCount="1">
    <brk id="27" max="1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>
  <dimension ref="A1:U42"/>
  <sheetViews>
    <sheetView view="pageBreakPreview" zoomScale="85" zoomScaleNormal="85" zoomScaleSheetLayoutView="85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L23" sqref="L23"/>
    </sheetView>
  </sheetViews>
  <sheetFormatPr defaultRowHeight="15" outlineLevelRow="1"/>
  <cols>
    <col min="1" max="1" width="13.42578125" style="266" customWidth="1"/>
    <col min="2" max="3" width="9.85546875" style="266" customWidth="1"/>
    <col min="4" max="4" width="10.5703125" style="266" customWidth="1"/>
    <col min="5" max="5" width="9.42578125" style="266" customWidth="1"/>
    <col min="6" max="6" width="11.28515625" style="266" customWidth="1"/>
    <col min="7" max="7" width="12.140625" style="266" customWidth="1"/>
    <col min="8" max="8" width="10.85546875" style="266" customWidth="1"/>
    <col min="9" max="9" width="8.85546875" style="266" customWidth="1"/>
    <col min="10" max="10" width="10.140625" style="266" customWidth="1"/>
    <col min="11" max="11" width="9.5703125" style="266" customWidth="1"/>
    <col min="12" max="12" width="10.7109375" style="266" customWidth="1"/>
    <col min="13" max="13" width="10.28515625" style="266" customWidth="1"/>
    <col min="14" max="14" width="11.140625" style="266" customWidth="1"/>
    <col min="15" max="15" width="9.42578125" style="266" customWidth="1"/>
    <col min="16" max="16" width="11.5703125" style="266" customWidth="1"/>
    <col min="17" max="17" width="10.7109375" style="266" customWidth="1"/>
    <col min="18" max="18" width="12.28515625" style="266" customWidth="1"/>
    <col min="19" max="19" width="9.28515625" style="266" customWidth="1"/>
    <col min="20" max="20" width="10.85546875" style="266" customWidth="1"/>
    <col min="21" max="21" width="9.85546875" style="266" customWidth="1"/>
    <col min="22" max="16384" width="9.140625" style="266"/>
  </cols>
  <sheetData>
    <row r="1" spans="1:21">
      <c r="A1" s="456" t="s">
        <v>567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</row>
    <row r="2" spans="1:21">
      <c r="A2" s="263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470"/>
      <c r="L2" s="470" t="s">
        <v>394</v>
      </c>
      <c r="M2" s="470"/>
      <c r="N2" s="470"/>
      <c r="O2" s="470"/>
      <c r="P2" s="470"/>
      <c r="Q2" s="470"/>
      <c r="R2" s="470"/>
      <c r="S2" s="470"/>
      <c r="T2" s="470"/>
      <c r="U2" s="470"/>
    </row>
    <row r="3" spans="1:21" ht="108.75" customHeight="1">
      <c r="A3" s="263"/>
      <c r="B3" s="264" t="s">
        <v>2</v>
      </c>
      <c r="C3" s="286" t="s">
        <v>223</v>
      </c>
      <c r="D3" s="264" t="s">
        <v>3</v>
      </c>
      <c r="E3" s="264" t="s">
        <v>4</v>
      </c>
      <c r="F3" s="281" t="s">
        <v>36</v>
      </c>
      <c r="G3" s="281" t="s">
        <v>37</v>
      </c>
      <c r="H3" s="281" t="s">
        <v>38</v>
      </c>
      <c r="I3" s="281" t="s">
        <v>88</v>
      </c>
      <c r="J3" s="281" t="s">
        <v>90</v>
      </c>
      <c r="K3" s="281" t="s">
        <v>91</v>
      </c>
      <c r="L3" s="264" t="s">
        <v>2</v>
      </c>
      <c r="M3" s="286" t="s">
        <v>223</v>
      </c>
      <c r="N3" s="264" t="s">
        <v>3</v>
      </c>
      <c r="O3" s="264" t="s">
        <v>4</v>
      </c>
      <c r="P3" s="281" t="s">
        <v>36</v>
      </c>
      <c r="Q3" s="281" t="s">
        <v>37</v>
      </c>
      <c r="R3" s="281" t="s">
        <v>38</v>
      </c>
      <c r="S3" s="281" t="s">
        <v>88</v>
      </c>
      <c r="T3" s="281" t="s">
        <v>90</v>
      </c>
      <c r="U3" s="281" t="s">
        <v>91</v>
      </c>
    </row>
    <row r="4" spans="1:21" outlineLevel="1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</row>
    <row r="5" spans="1:21" s="332" customFormat="1" outlineLevel="1">
      <c r="A5" s="338">
        <v>2000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9">
        <v>146075.6</v>
      </c>
      <c r="M5" s="169">
        <f>N5+O5+S5</f>
        <v>6319.5999999999995</v>
      </c>
      <c r="N5" s="129">
        <v>1847.2</v>
      </c>
      <c r="O5" s="129">
        <v>2969.2</v>
      </c>
      <c r="P5" s="129">
        <v>2003.6</v>
      </c>
      <c r="Q5" s="129">
        <v>426.1</v>
      </c>
      <c r="R5" s="129">
        <v>498.6</v>
      </c>
      <c r="S5" s="129">
        <v>1503.2</v>
      </c>
      <c r="T5" s="129" t="s">
        <v>9</v>
      </c>
      <c r="U5" s="129" t="s">
        <v>9</v>
      </c>
    </row>
    <row r="6" spans="1:21" s="332" customFormat="1" outlineLevel="1">
      <c r="A6" s="338">
        <v>2001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129">
        <v>147740.9</v>
      </c>
      <c r="M6" s="169">
        <f t="shared" ref="M6:M11" si="0">N6+O6+S6</f>
        <v>5556.2999999999993</v>
      </c>
      <c r="N6" s="129">
        <v>1852.7</v>
      </c>
      <c r="O6" s="129">
        <v>2437.5</v>
      </c>
      <c r="P6" s="129">
        <v>1580.6</v>
      </c>
      <c r="Q6" s="129">
        <v>447.2</v>
      </c>
      <c r="R6" s="129">
        <v>405.1</v>
      </c>
      <c r="S6" s="129">
        <v>1266.0999999999999</v>
      </c>
      <c r="T6" s="129" t="s">
        <v>9</v>
      </c>
      <c r="U6" s="129" t="s">
        <v>9</v>
      </c>
    </row>
    <row r="7" spans="1:21" s="332" customFormat="1" outlineLevel="1">
      <c r="A7" s="338">
        <v>2002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129">
        <v>152299.1</v>
      </c>
      <c r="M7" s="169">
        <f t="shared" si="0"/>
        <v>6081.3</v>
      </c>
      <c r="N7" s="129">
        <v>1898.1</v>
      </c>
      <c r="O7" s="129">
        <v>2825</v>
      </c>
      <c r="P7" s="129">
        <v>1827.2</v>
      </c>
      <c r="Q7" s="129">
        <v>500.1</v>
      </c>
      <c r="R7" s="129">
        <v>504.6</v>
      </c>
      <c r="S7" s="129">
        <v>1358.2</v>
      </c>
      <c r="T7" s="129">
        <v>1197.4000000000001</v>
      </c>
      <c r="U7" s="129">
        <v>169</v>
      </c>
    </row>
    <row r="8" spans="1:21" s="332" customFormat="1" outlineLevel="1">
      <c r="A8" s="338">
        <v>2003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129">
        <v>156309.4</v>
      </c>
      <c r="M8" s="169">
        <f t="shared" si="0"/>
        <v>6196.7</v>
      </c>
      <c r="N8" s="129">
        <v>1931.1</v>
      </c>
      <c r="O8" s="129">
        <v>2894.4</v>
      </c>
      <c r="P8" s="129">
        <v>1866.5</v>
      </c>
      <c r="Q8" s="129">
        <v>566.4</v>
      </c>
      <c r="R8" s="129">
        <v>444.3</v>
      </c>
      <c r="S8" s="129">
        <v>1371.2</v>
      </c>
      <c r="T8" s="129">
        <v>1218.4000000000001</v>
      </c>
      <c r="U8" s="129">
        <v>158.80000000000001</v>
      </c>
    </row>
    <row r="9" spans="1:21" s="332" customFormat="1" outlineLevel="1">
      <c r="A9" s="338">
        <v>2004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129">
        <v>162545.70000000001</v>
      </c>
      <c r="M9" s="169">
        <f t="shared" si="0"/>
        <v>6908.2</v>
      </c>
      <c r="N9" s="129">
        <v>2187.3000000000002</v>
      </c>
      <c r="O9" s="129">
        <v>3255.7</v>
      </c>
      <c r="P9" s="129">
        <v>2122.1</v>
      </c>
      <c r="Q9" s="129">
        <v>620.5</v>
      </c>
      <c r="R9" s="129">
        <v>492.2</v>
      </c>
      <c r="S9" s="129">
        <v>1465.2</v>
      </c>
      <c r="T9" s="129">
        <v>1301.2</v>
      </c>
      <c r="U9" s="129">
        <v>170.5</v>
      </c>
    </row>
    <row r="10" spans="1:21" s="332" customFormat="1" outlineLevel="1">
      <c r="A10" s="338">
        <v>2005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129">
        <v>170240.9</v>
      </c>
      <c r="M10" s="169">
        <f t="shared" si="0"/>
        <v>7326.5</v>
      </c>
      <c r="N10" s="129">
        <v>2167.6999999999998</v>
      </c>
      <c r="O10" s="129">
        <v>3595.4</v>
      </c>
      <c r="P10" s="129">
        <v>2306.1999999999998</v>
      </c>
      <c r="Q10" s="129">
        <v>699</v>
      </c>
      <c r="R10" s="129">
        <v>578.9</v>
      </c>
      <c r="S10" s="129">
        <v>1563.4</v>
      </c>
      <c r="T10" s="129">
        <v>1391.1</v>
      </c>
      <c r="U10" s="129">
        <v>178.6</v>
      </c>
    </row>
    <row r="11" spans="1:21" s="332" customFormat="1" outlineLevel="1">
      <c r="A11" s="338">
        <v>2006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129">
        <v>176774.2</v>
      </c>
      <c r="M11" s="169">
        <f t="shared" si="0"/>
        <v>7256.9</v>
      </c>
      <c r="N11" s="129">
        <v>2112.5</v>
      </c>
      <c r="O11" s="129">
        <v>3610.9</v>
      </c>
      <c r="P11" s="129">
        <v>2272.3000000000002</v>
      </c>
      <c r="Q11" s="129">
        <v>702.4</v>
      </c>
      <c r="R11" s="129">
        <v>632</v>
      </c>
      <c r="S11" s="129">
        <v>1533.5</v>
      </c>
      <c r="T11" s="129">
        <v>1376</v>
      </c>
      <c r="U11" s="129">
        <v>160.30000000000001</v>
      </c>
    </row>
    <row r="12" spans="1:21">
      <c r="A12" s="260">
        <v>2007</v>
      </c>
      <c r="B12" s="81">
        <v>181570.7</v>
      </c>
      <c r="C12" s="81">
        <f>D12+E12+I12</f>
        <v>6942.2999999999993</v>
      </c>
      <c r="D12" s="81">
        <v>1998.2</v>
      </c>
      <c r="E12" s="81">
        <v>3373.5</v>
      </c>
      <c r="F12" s="81">
        <v>2017.7</v>
      </c>
      <c r="G12" s="81">
        <v>677.8</v>
      </c>
      <c r="H12" s="81">
        <v>677.9</v>
      </c>
      <c r="I12" s="81">
        <v>1570.6</v>
      </c>
      <c r="J12" s="81">
        <v>1421.7</v>
      </c>
      <c r="K12" s="81">
        <v>149</v>
      </c>
      <c r="L12" s="81">
        <v>181570.7</v>
      </c>
      <c r="M12" s="169">
        <f t="shared" ref="M12:M18" si="1">N12+O12+S12</f>
        <v>6942.2999999999993</v>
      </c>
      <c r="N12" s="81">
        <v>1998.2</v>
      </c>
      <c r="O12" s="81">
        <v>3373.5</v>
      </c>
      <c r="P12" s="81">
        <v>2017.7</v>
      </c>
      <c r="Q12" s="81">
        <v>677.8</v>
      </c>
      <c r="R12" s="81">
        <v>677.9</v>
      </c>
      <c r="S12" s="81">
        <v>1570.6</v>
      </c>
      <c r="T12" s="81">
        <v>1421.7</v>
      </c>
      <c r="U12" s="81">
        <v>149</v>
      </c>
    </row>
    <row r="13" spans="1:21">
      <c r="A13" s="260">
        <v>2008</v>
      </c>
      <c r="B13" s="81">
        <v>189418.1</v>
      </c>
      <c r="C13" s="81">
        <f t="shared" ref="C13:C16" si="2">D13+E13+I13</f>
        <v>5534.2</v>
      </c>
      <c r="D13" s="81">
        <v>1764.8</v>
      </c>
      <c r="E13" s="81">
        <v>2462.4</v>
      </c>
      <c r="F13" s="81">
        <v>1402.3</v>
      </c>
      <c r="G13" s="81">
        <v>487.9</v>
      </c>
      <c r="H13" s="81">
        <v>572.1</v>
      </c>
      <c r="I13" s="81">
        <v>1307</v>
      </c>
      <c r="J13" s="81">
        <v>1167.3</v>
      </c>
      <c r="K13" s="81">
        <v>139.69999999999999</v>
      </c>
      <c r="L13" s="81">
        <v>183333.5</v>
      </c>
      <c r="M13" s="169">
        <f t="shared" si="1"/>
        <v>6078.4</v>
      </c>
      <c r="N13" s="81">
        <v>1775.6</v>
      </c>
      <c r="O13" s="81">
        <v>2883.9</v>
      </c>
      <c r="P13" s="81">
        <v>1753.2</v>
      </c>
      <c r="Q13" s="81">
        <v>561.70000000000005</v>
      </c>
      <c r="R13" s="81">
        <v>571</v>
      </c>
      <c r="S13" s="81">
        <v>1418.9</v>
      </c>
      <c r="T13" s="81">
        <v>1277.4000000000001</v>
      </c>
      <c r="U13" s="81">
        <v>141.4</v>
      </c>
    </row>
    <row r="14" spans="1:21">
      <c r="A14" s="260">
        <v>2009</v>
      </c>
      <c r="B14" s="81">
        <v>181675.3</v>
      </c>
      <c r="C14" s="81">
        <f t="shared" si="2"/>
        <v>4388</v>
      </c>
      <c r="D14" s="81">
        <v>1298</v>
      </c>
      <c r="E14" s="81">
        <v>1808.4</v>
      </c>
      <c r="F14" s="81">
        <v>1008.2</v>
      </c>
      <c r="G14" s="81">
        <v>360.7</v>
      </c>
      <c r="H14" s="81">
        <v>439.5</v>
      </c>
      <c r="I14" s="81">
        <v>1281.5999999999999</v>
      </c>
      <c r="J14" s="81">
        <v>1165.4000000000001</v>
      </c>
      <c r="K14" s="81">
        <v>116.1</v>
      </c>
      <c r="L14" s="81">
        <v>178609.6</v>
      </c>
      <c r="M14" s="169">
        <f t="shared" si="1"/>
        <v>4669.7</v>
      </c>
      <c r="N14" s="81">
        <v>1212.3</v>
      </c>
      <c r="O14" s="81">
        <v>2468.1999999999998</v>
      </c>
      <c r="P14" s="81">
        <v>1545.7</v>
      </c>
      <c r="Q14" s="81">
        <v>490.4</v>
      </c>
      <c r="R14" s="81">
        <v>449</v>
      </c>
      <c r="S14" s="81">
        <v>989.2</v>
      </c>
      <c r="T14" s="81">
        <v>874.4</v>
      </c>
      <c r="U14" s="81">
        <v>116.1</v>
      </c>
    </row>
    <row r="15" spans="1:21">
      <c r="A15" s="260">
        <v>2010</v>
      </c>
      <c r="B15" s="81">
        <v>191089.5</v>
      </c>
      <c r="C15" s="81">
        <f t="shared" si="2"/>
        <v>5097.1000000000004</v>
      </c>
      <c r="D15" s="81">
        <v>1521.9</v>
      </c>
      <c r="E15" s="81">
        <v>2239.6999999999998</v>
      </c>
      <c r="F15" s="81">
        <v>1425</v>
      </c>
      <c r="G15" s="81">
        <v>399.9</v>
      </c>
      <c r="H15" s="81">
        <v>414.8</v>
      </c>
      <c r="I15" s="81">
        <v>1335.5</v>
      </c>
      <c r="J15" s="81">
        <v>1230</v>
      </c>
      <c r="K15" s="81">
        <v>105.5</v>
      </c>
      <c r="L15" s="81">
        <v>184508.79999999999</v>
      </c>
      <c r="M15" s="169">
        <f t="shared" si="1"/>
        <v>5399.4</v>
      </c>
      <c r="N15" s="81">
        <v>1509</v>
      </c>
      <c r="O15" s="81">
        <v>2711.7</v>
      </c>
      <c r="P15" s="81">
        <v>1817.3</v>
      </c>
      <c r="Q15" s="81">
        <v>513.4</v>
      </c>
      <c r="R15" s="81">
        <v>425.8</v>
      </c>
      <c r="S15" s="81">
        <v>1178.7</v>
      </c>
      <c r="T15" s="81">
        <v>1077.4000000000001</v>
      </c>
      <c r="U15" s="81">
        <v>97.4</v>
      </c>
    </row>
    <row r="16" spans="1:21">
      <c r="A16" s="260">
        <v>2011</v>
      </c>
      <c r="B16" s="81">
        <v>201922</v>
      </c>
      <c r="C16" s="81">
        <f t="shared" si="2"/>
        <v>5344.7999999999993</v>
      </c>
      <c r="D16" s="81">
        <v>1671.7</v>
      </c>
      <c r="E16" s="81">
        <v>2138</v>
      </c>
      <c r="F16" s="81">
        <v>1336.4</v>
      </c>
      <c r="G16" s="81">
        <v>355.4</v>
      </c>
      <c r="H16" s="81">
        <v>446.2</v>
      </c>
      <c r="I16" s="81">
        <v>1535.1</v>
      </c>
      <c r="J16" s="81">
        <v>1429.3</v>
      </c>
      <c r="K16" s="81">
        <v>105.8</v>
      </c>
      <c r="L16" s="81">
        <v>189599.1</v>
      </c>
      <c r="M16" s="169">
        <f t="shared" si="1"/>
        <v>5794.7</v>
      </c>
      <c r="N16" s="81">
        <v>1683.4</v>
      </c>
      <c r="O16" s="81">
        <v>2876.5</v>
      </c>
      <c r="P16" s="81">
        <v>1950.3</v>
      </c>
      <c r="Q16" s="81">
        <v>525</v>
      </c>
      <c r="R16" s="81">
        <v>449.4</v>
      </c>
      <c r="S16" s="81">
        <v>1234.8</v>
      </c>
      <c r="T16" s="81">
        <v>1135.5999999999999</v>
      </c>
      <c r="U16" s="81">
        <v>94.6</v>
      </c>
    </row>
    <row r="17" spans="1:21">
      <c r="A17" s="260">
        <v>2012</v>
      </c>
      <c r="B17" s="81" t="s">
        <v>10</v>
      </c>
      <c r="C17" s="81" t="s">
        <v>10</v>
      </c>
      <c r="D17" s="81" t="s">
        <v>10</v>
      </c>
      <c r="E17" s="81" t="s">
        <v>10</v>
      </c>
      <c r="F17" s="81" t="s">
        <v>10</v>
      </c>
      <c r="G17" s="81" t="s">
        <v>10</v>
      </c>
      <c r="H17" s="81" t="s">
        <v>10</v>
      </c>
      <c r="I17" s="81" t="s">
        <v>10</v>
      </c>
      <c r="J17" s="81" t="s">
        <v>10</v>
      </c>
      <c r="K17" s="81" t="s">
        <v>10</v>
      </c>
      <c r="L17" s="81">
        <v>194264.7</v>
      </c>
      <c r="M17" s="169">
        <f t="shared" si="1"/>
        <v>5991.7000000000007</v>
      </c>
      <c r="N17" s="81">
        <v>1696.8</v>
      </c>
      <c r="O17" s="81">
        <v>3142</v>
      </c>
      <c r="P17" s="81">
        <v>2062.3000000000002</v>
      </c>
      <c r="Q17" s="81">
        <v>559.9</v>
      </c>
      <c r="R17" s="81">
        <v>547.5</v>
      </c>
      <c r="S17" s="81">
        <v>1152.9000000000001</v>
      </c>
      <c r="T17" s="81">
        <v>1051.8</v>
      </c>
      <c r="U17" s="81">
        <v>97.6</v>
      </c>
    </row>
    <row r="18" spans="1:21">
      <c r="A18" s="260">
        <v>2013</v>
      </c>
      <c r="B18" s="81" t="s">
        <v>10</v>
      </c>
      <c r="C18" s="81" t="s">
        <v>10</v>
      </c>
      <c r="D18" s="81" t="s">
        <v>10</v>
      </c>
      <c r="E18" s="81" t="s">
        <v>10</v>
      </c>
      <c r="F18" s="81" t="s">
        <v>10</v>
      </c>
      <c r="G18" s="81" t="s">
        <v>10</v>
      </c>
      <c r="H18" s="81" t="s">
        <v>10</v>
      </c>
      <c r="I18" s="81" t="s">
        <v>10</v>
      </c>
      <c r="J18" s="81" t="s">
        <v>10</v>
      </c>
      <c r="K18" s="81" t="s">
        <v>10</v>
      </c>
      <c r="L18" s="81">
        <v>198277.7</v>
      </c>
      <c r="M18" s="169">
        <f t="shared" si="1"/>
        <v>6253.2000000000007</v>
      </c>
      <c r="N18" s="81">
        <v>1801</v>
      </c>
      <c r="O18" s="81">
        <v>3363.8</v>
      </c>
      <c r="P18" s="81">
        <v>2133.5</v>
      </c>
      <c r="Q18" s="81">
        <v>661.3</v>
      </c>
      <c r="R18" s="81">
        <v>596.5</v>
      </c>
      <c r="S18" s="81">
        <v>1088.4000000000001</v>
      </c>
      <c r="T18" s="81">
        <v>1000.9</v>
      </c>
      <c r="U18" s="81">
        <v>83.5</v>
      </c>
    </row>
    <row r="19" spans="1:21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</row>
    <row r="20" spans="1:21" ht="15" customHeight="1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</row>
    <row r="21" spans="1:21" s="339" customFormat="1" ht="15" customHeight="1">
      <c r="A21" s="338" t="s">
        <v>68</v>
      </c>
      <c r="B21" s="81" t="s">
        <v>10</v>
      </c>
      <c r="C21" s="81" t="s">
        <v>10</v>
      </c>
      <c r="D21" s="81" t="s">
        <v>10</v>
      </c>
      <c r="E21" s="81" t="s">
        <v>10</v>
      </c>
      <c r="F21" s="81" t="s">
        <v>10</v>
      </c>
      <c r="G21" s="81" t="s">
        <v>10</v>
      </c>
      <c r="H21" s="81" t="s">
        <v>10</v>
      </c>
      <c r="I21" s="81" t="s">
        <v>10</v>
      </c>
      <c r="J21" s="81" t="s">
        <v>10</v>
      </c>
      <c r="K21" s="81" t="s">
        <v>10</v>
      </c>
      <c r="L21" s="284">
        <f>((L12/L5)^(1/7)-1)*100</f>
        <v>3.1562251270984332</v>
      </c>
      <c r="M21" s="284">
        <f t="shared" ref="M21:S21" si="3">((M12/M5)^(1/7)-1)*100</f>
        <v>1.3515840887236452</v>
      </c>
      <c r="N21" s="284">
        <f t="shared" si="3"/>
        <v>1.1288351736954416</v>
      </c>
      <c r="O21" s="284">
        <f t="shared" si="3"/>
        <v>1.840419683456318</v>
      </c>
      <c r="P21" s="284">
        <f t="shared" si="3"/>
        <v>0.10023143154740399</v>
      </c>
      <c r="Q21" s="284">
        <f t="shared" si="3"/>
        <v>6.8559170318450935</v>
      </c>
      <c r="R21" s="284">
        <f t="shared" si="3"/>
        <v>4.4862280379255326</v>
      </c>
      <c r="S21" s="284">
        <f t="shared" si="3"/>
        <v>0.62856067268579618</v>
      </c>
      <c r="T21" s="284" t="s">
        <v>10</v>
      </c>
      <c r="U21" s="284" t="s">
        <v>10</v>
      </c>
    </row>
    <row r="22" spans="1:21" ht="15" customHeight="1">
      <c r="A22" s="260" t="s">
        <v>368</v>
      </c>
      <c r="B22" s="284">
        <f>((B15/B12)^(1/3)-1)*100</f>
        <v>1.7178141097393018</v>
      </c>
      <c r="C22" s="284">
        <f t="shared" ref="C22:U22" si="4">((C15/C12)^(1/3)-1)*100</f>
        <v>-9.7861413413785847</v>
      </c>
      <c r="D22" s="284">
        <f t="shared" si="4"/>
        <v>-8.6765336729290432</v>
      </c>
      <c r="E22" s="284">
        <f t="shared" si="4"/>
        <v>-12.762533377776208</v>
      </c>
      <c r="F22" s="284">
        <f t="shared" si="4"/>
        <v>-10.94613830340796</v>
      </c>
      <c r="G22" s="284">
        <f t="shared" si="4"/>
        <v>-16.128074555993265</v>
      </c>
      <c r="H22" s="284">
        <f t="shared" si="4"/>
        <v>-15.103255288548</v>
      </c>
      <c r="I22" s="284">
        <f t="shared" si="4"/>
        <v>-5.2615882368891809</v>
      </c>
      <c r="J22" s="284">
        <f t="shared" si="4"/>
        <v>-4.7132789166744793</v>
      </c>
      <c r="K22" s="284">
        <f t="shared" si="4"/>
        <v>-10.870378192432927</v>
      </c>
      <c r="L22" s="284">
        <f t="shared" si="4"/>
        <v>0.5365023564658955</v>
      </c>
      <c r="M22" s="284">
        <f t="shared" si="4"/>
        <v>-8.0368070060814141</v>
      </c>
      <c r="N22" s="284">
        <f t="shared" si="4"/>
        <v>-8.9352929045864329</v>
      </c>
      <c r="O22" s="284">
        <f t="shared" si="4"/>
        <v>-7.0205494301533449</v>
      </c>
      <c r="P22" s="284">
        <f t="shared" si="4"/>
        <v>-3.426787696998157</v>
      </c>
      <c r="Q22" s="284">
        <f t="shared" si="4"/>
        <v>-8.8441035025113024</v>
      </c>
      <c r="R22" s="284">
        <f t="shared" si="4"/>
        <v>-14.359339575393303</v>
      </c>
      <c r="S22" s="284">
        <f t="shared" si="4"/>
        <v>-9.124691791008777</v>
      </c>
      <c r="T22" s="284">
        <f t="shared" si="4"/>
        <v>-8.8290802791286751</v>
      </c>
      <c r="U22" s="284">
        <f t="shared" si="4"/>
        <v>-13.212423151684959</v>
      </c>
    </row>
    <row r="23" spans="1:21" ht="15" customHeight="1">
      <c r="A23" s="260" t="s">
        <v>392</v>
      </c>
      <c r="B23" s="284" t="s">
        <v>10</v>
      </c>
      <c r="C23" s="284" t="s">
        <v>10</v>
      </c>
      <c r="D23" s="284" t="s">
        <v>10</v>
      </c>
      <c r="E23" s="284" t="s">
        <v>10</v>
      </c>
      <c r="F23" s="284" t="s">
        <v>10</v>
      </c>
      <c r="G23" s="284" t="s">
        <v>10</v>
      </c>
      <c r="H23" s="284" t="s">
        <v>10</v>
      </c>
      <c r="I23" s="284" t="s">
        <v>10</v>
      </c>
      <c r="J23" s="284" t="s">
        <v>10</v>
      </c>
      <c r="K23" s="284" t="s">
        <v>10</v>
      </c>
      <c r="L23" s="284">
        <f t="shared" ref="L23:U23" si="5">((L18/L15)^(1/3)-1)*100</f>
        <v>2.428055798924067</v>
      </c>
      <c r="M23" s="284">
        <f t="shared" si="5"/>
        <v>5.0152262413278414</v>
      </c>
      <c r="N23" s="284">
        <f t="shared" si="5"/>
        <v>6.0738074092701044</v>
      </c>
      <c r="O23" s="284">
        <f t="shared" si="5"/>
        <v>7.447465338821857</v>
      </c>
      <c r="P23" s="284">
        <f t="shared" si="5"/>
        <v>5.492602590802198</v>
      </c>
      <c r="Q23" s="284">
        <f t="shared" si="5"/>
        <v>8.8046741825763988</v>
      </c>
      <c r="R23" s="284">
        <f t="shared" si="5"/>
        <v>11.892659641393234</v>
      </c>
      <c r="S23" s="284">
        <f t="shared" si="5"/>
        <v>-2.6217983525312016</v>
      </c>
      <c r="T23" s="284">
        <f t="shared" si="5"/>
        <v>-2.4251469236805434</v>
      </c>
      <c r="U23" s="284">
        <f t="shared" si="5"/>
        <v>-5.003156975796152</v>
      </c>
    </row>
    <row r="24" spans="1:21">
      <c r="A24" s="285" t="s">
        <v>69</v>
      </c>
      <c r="B24" s="192" t="str">
        <f>IFERROR(((B18/B12)^(1/6)-1)*100,"n.a.")</f>
        <v>n.a.</v>
      </c>
      <c r="C24" s="192" t="str">
        <f t="shared" ref="C24:U24" si="6">IFERROR(((C18/C12)^(1/6)-1)*100,"n.a.")</f>
        <v>n.a.</v>
      </c>
      <c r="D24" s="192" t="str">
        <f t="shared" si="6"/>
        <v>n.a.</v>
      </c>
      <c r="E24" s="192" t="str">
        <f t="shared" si="6"/>
        <v>n.a.</v>
      </c>
      <c r="F24" s="192" t="str">
        <f t="shared" si="6"/>
        <v>n.a.</v>
      </c>
      <c r="G24" s="192" t="str">
        <f t="shared" si="6"/>
        <v>n.a.</v>
      </c>
      <c r="H24" s="192" t="str">
        <f t="shared" si="6"/>
        <v>n.a.</v>
      </c>
      <c r="I24" s="192" t="str">
        <f t="shared" si="6"/>
        <v>n.a.</v>
      </c>
      <c r="J24" s="192" t="str">
        <f t="shared" si="6"/>
        <v>n.a.</v>
      </c>
      <c r="K24" s="192" t="str">
        <f t="shared" si="6"/>
        <v>n.a.</v>
      </c>
      <c r="L24" s="192">
        <f t="shared" si="6"/>
        <v>1.4778718401048829</v>
      </c>
      <c r="M24" s="192">
        <f t="shared" si="6"/>
        <v>-1.7272391853609625</v>
      </c>
      <c r="N24" s="192">
        <f t="shared" si="6"/>
        <v>-1.7168366289500692</v>
      </c>
      <c r="O24" s="192">
        <f t="shared" si="6"/>
        <v>-4.7980048793916374E-2</v>
      </c>
      <c r="P24" s="192">
        <f t="shared" si="6"/>
        <v>0.93443171880318587</v>
      </c>
      <c r="Q24" s="192">
        <f t="shared" si="6"/>
        <v>-0.40990200712766045</v>
      </c>
      <c r="R24" s="192">
        <f t="shared" si="6"/>
        <v>-2.1094423943011198</v>
      </c>
      <c r="S24" s="192">
        <f t="shared" si="6"/>
        <v>-5.9294196491218365</v>
      </c>
      <c r="T24" s="192">
        <f t="shared" si="6"/>
        <v>-5.6814488205160334</v>
      </c>
      <c r="U24" s="192">
        <f t="shared" si="6"/>
        <v>-9.2005186451463707</v>
      </c>
    </row>
    <row r="25" spans="1:21" s="339" customFormat="1">
      <c r="A25" s="341" t="s">
        <v>15</v>
      </c>
      <c r="B25" s="81" t="s">
        <v>10</v>
      </c>
      <c r="C25" s="81" t="s">
        <v>10</v>
      </c>
      <c r="D25" s="81" t="s">
        <v>10</v>
      </c>
      <c r="E25" s="81" t="s">
        <v>10</v>
      </c>
      <c r="F25" s="81" t="s">
        <v>10</v>
      </c>
      <c r="G25" s="81" t="s">
        <v>10</v>
      </c>
      <c r="H25" s="81" t="s">
        <v>10</v>
      </c>
      <c r="I25" s="81" t="s">
        <v>10</v>
      </c>
      <c r="J25" s="81" t="s">
        <v>10</v>
      </c>
      <c r="K25" s="81" t="s">
        <v>10</v>
      </c>
      <c r="L25" s="192">
        <f t="shared" ref="L25:S25" si="7">((L18/L5)^(1/13)-1)*100</f>
        <v>2.3781787695474677</v>
      </c>
      <c r="M25" s="192">
        <f t="shared" si="7"/>
        <v>-8.1217633653651866E-2</v>
      </c>
      <c r="N25" s="192">
        <f t="shared" si="7"/>
        <v>-0.19464810565263946</v>
      </c>
      <c r="O25" s="192">
        <f t="shared" si="7"/>
        <v>0.9644575956911039</v>
      </c>
      <c r="P25" s="192">
        <f t="shared" si="7"/>
        <v>0.48438677145377085</v>
      </c>
      <c r="Q25" s="192">
        <f t="shared" si="7"/>
        <v>3.4388335534266012</v>
      </c>
      <c r="R25" s="192">
        <f t="shared" si="7"/>
        <v>1.3885916071831428</v>
      </c>
      <c r="S25" s="192">
        <f t="shared" si="7"/>
        <v>-2.4531582820269793</v>
      </c>
      <c r="T25" s="81" t="s">
        <v>10</v>
      </c>
      <c r="U25" s="81" t="s">
        <v>10</v>
      </c>
    </row>
    <row r="26" spans="1:21">
      <c r="A26" s="263"/>
      <c r="B26" s="192"/>
      <c r="C26" s="192"/>
      <c r="D26" s="192"/>
      <c r="E26" s="192"/>
      <c r="F26" s="192"/>
      <c r="G26" s="192"/>
      <c r="H26" s="192"/>
      <c r="I26" s="169"/>
      <c r="J26" s="169"/>
      <c r="K26" s="169"/>
      <c r="L26" s="192"/>
      <c r="M26" s="169"/>
      <c r="N26" s="192"/>
      <c r="O26" s="192"/>
      <c r="P26" s="192"/>
      <c r="Q26" s="192"/>
      <c r="R26" s="192"/>
      <c r="S26" s="169"/>
      <c r="T26" s="169"/>
      <c r="U26" s="169"/>
    </row>
    <row r="27" spans="1:21">
      <c r="A27" s="263" t="s">
        <v>395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</row>
    <row r="28" spans="1:21">
      <c r="A28" s="490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</row>
    <row r="29" spans="1:21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ht="30" customHeight="1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ht="30" customHeight="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ht="30" customHeight="1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6" spans="3:3">
      <c r="C36" s="272"/>
    </row>
    <row r="37" spans="3:3">
      <c r="C37" s="272"/>
    </row>
    <row r="38" spans="3:3">
      <c r="C38" s="272"/>
    </row>
    <row r="39" spans="3:3">
      <c r="C39" s="272"/>
    </row>
    <row r="40" spans="3:3">
      <c r="C40" s="272"/>
    </row>
    <row r="41" spans="3:3">
      <c r="C41" s="272"/>
    </row>
    <row r="42" spans="3:3">
      <c r="C42" s="272"/>
    </row>
  </sheetData>
  <mergeCells count="9">
    <mergeCell ref="A30:U30"/>
    <mergeCell ref="A31:U31"/>
    <mergeCell ref="A32:U32"/>
    <mergeCell ref="A1:U1"/>
    <mergeCell ref="B2:K2"/>
    <mergeCell ref="L2:U2"/>
    <mergeCell ref="A20:U20"/>
    <mergeCell ref="A28:U28"/>
    <mergeCell ref="A29:U29"/>
  </mergeCells>
  <printOptions gridLines="1"/>
  <pageMargins left="0.7" right="0.7" top="0.75" bottom="0.75" header="0.3" footer="0.3"/>
  <pageSetup scale="55" orientation="landscape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AF49"/>
  <sheetViews>
    <sheetView view="pageBreakPreview" zoomScaleNormal="85" zoomScaleSheetLayoutView="100" workbookViewId="0">
      <pane xSplit="1" ySplit="3" topLeftCell="B4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C28" sqref="C28"/>
    </sheetView>
  </sheetViews>
  <sheetFormatPr defaultRowHeight="15" outlineLevelRow="1"/>
  <cols>
    <col min="1" max="1" width="12.42578125" style="266" customWidth="1"/>
    <col min="2" max="2" width="17.5703125" style="266" customWidth="1"/>
    <col min="3" max="11" width="15.28515625" style="266" customWidth="1"/>
    <col min="12" max="21" width="19.28515625" style="266" customWidth="1"/>
    <col min="22" max="16384" width="9.140625" style="266"/>
  </cols>
  <sheetData>
    <row r="1" spans="1:32" ht="15" customHeight="1">
      <c r="A1" s="471" t="s">
        <v>568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32" ht="84" customHeight="1">
      <c r="A2" s="211"/>
      <c r="B2" s="264" t="s">
        <v>396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32" hidden="1" outlineLevel="1">
      <c r="A3" s="265"/>
      <c r="B3" s="137"/>
      <c r="C3" s="137"/>
      <c r="D3" s="137"/>
      <c r="E3" s="137"/>
      <c r="F3" s="137"/>
      <c r="G3" s="137"/>
      <c r="H3" s="137"/>
      <c r="I3" s="137"/>
      <c r="J3" s="137"/>
      <c r="K3" s="137"/>
    </row>
    <row r="4" spans="1:32" hidden="1" outlineLevel="1" collapsed="1">
      <c r="A4" s="265">
        <v>1984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</row>
    <row r="5" spans="1:32" hidden="1" outlineLevel="1">
      <c r="A5" s="265">
        <v>1985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</row>
    <row r="6" spans="1:32" hidden="1" outlineLevel="1">
      <c r="A6" s="265">
        <v>1986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</row>
    <row r="7" spans="1:32" hidden="1" outlineLevel="1">
      <c r="A7" s="265">
        <v>1987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</row>
    <row r="8" spans="1:32" hidden="1" outlineLevel="1">
      <c r="A8" s="265">
        <v>1988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</row>
    <row r="9" spans="1:32" hidden="1" outlineLevel="1">
      <c r="A9" s="265">
        <v>1989</v>
      </c>
      <c r="B9" s="263"/>
      <c r="C9" s="263"/>
      <c r="D9" s="263"/>
      <c r="E9" s="263"/>
      <c r="F9" s="263"/>
      <c r="G9" s="263"/>
      <c r="H9" s="263"/>
      <c r="I9" s="263"/>
      <c r="J9" s="263"/>
      <c r="K9" s="263"/>
    </row>
    <row r="10" spans="1:32" hidden="1" outlineLevel="1">
      <c r="A10" s="265">
        <v>1990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3"/>
    </row>
    <row r="11" spans="1:32" hidden="1" outlineLevel="1">
      <c r="A11" s="265">
        <v>1991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</row>
    <row r="12" spans="1:32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32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32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32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32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11">
        <v>2000</v>
      </c>
      <c r="B17" s="129">
        <v>26801128</v>
      </c>
      <c r="C17" s="129">
        <f>D17+E17+I17</f>
        <v>601166</v>
      </c>
      <c r="D17" s="129">
        <v>128135</v>
      </c>
      <c r="E17" s="129">
        <v>285378</v>
      </c>
      <c r="F17" s="129">
        <v>140689</v>
      </c>
      <c r="G17" s="129">
        <v>53271</v>
      </c>
      <c r="H17" s="129">
        <v>91418</v>
      </c>
      <c r="I17" s="129">
        <v>187653</v>
      </c>
      <c r="J17" s="129">
        <v>117644</v>
      </c>
      <c r="K17" s="129">
        <v>70010</v>
      </c>
    </row>
    <row r="18" spans="1:11" s="332" customFormat="1" outlineLevel="1">
      <c r="A18" s="211">
        <v>2001</v>
      </c>
      <c r="B18" s="129">
        <v>26955303</v>
      </c>
      <c r="C18" s="129">
        <f t="shared" ref="C18:C30" si="0">D18+E18+I18</f>
        <v>575430</v>
      </c>
      <c r="D18" s="129">
        <v>118887</v>
      </c>
      <c r="E18" s="129">
        <v>273057</v>
      </c>
      <c r="F18" s="129">
        <v>132705</v>
      </c>
      <c r="G18" s="129">
        <v>50672</v>
      </c>
      <c r="H18" s="129">
        <v>89680</v>
      </c>
      <c r="I18" s="129">
        <v>183486</v>
      </c>
      <c r="J18" s="129">
        <v>111420</v>
      </c>
      <c r="K18" s="129">
        <v>72065</v>
      </c>
    </row>
    <row r="19" spans="1:11" s="332" customFormat="1" outlineLevel="1">
      <c r="A19" s="211">
        <v>2002</v>
      </c>
      <c r="B19" s="129">
        <v>27337720</v>
      </c>
      <c r="C19" s="129">
        <f t="shared" si="0"/>
        <v>569883</v>
      </c>
      <c r="D19" s="129">
        <v>122041</v>
      </c>
      <c r="E19" s="129">
        <v>274462</v>
      </c>
      <c r="F19" s="129">
        <v>124418</v>
      </c>
      <c r="G19" s="129">
        <v>53438</v>
      </c>
      <c r="H19" s="129">
        <v>96607</v>
      </c>
      <c r="I19" s="129">
        <v>173380</v>
      </c>
      <c r="J19" s="129">
        <v>101338</v>
      </c>
      <c r="K19" s="129">
        <v>72042</v>
      </c>
    </row>
    <row r="20" spans="1:11" s="332" customFormat="1" outlineLevel="1">
      <c r="A20" s="211">
        <v>2003</v>
      </c>
      <c r="B20" s="129">
        <v>27704314</v>
      </c>
      <c r="C20" s="129">
        <f t="shared" si="0"/>
        <v>557103</v>
      </c>
      <c r="D20" s="129">
        <v>116995</v>
      </c>
      <c r="E20" s="129">
        <v>265945</v>
      </c>
      <c r="F20" s="129">
        <v>117310</v>
      </c>
      <c r="G20" s="129">
        <v>53451</v>
      </c>
      <c r="H20" s="129">
        <v>95185</v>
      </c>
      <c r="I20" s="129">
        <v>174163</v>
      </c>
      <c r="J20" s="129">
        <v>102204</v>
      </c>
      <c r="K20" s="129">
        <v>71960</v>
      </c>
    </row>
    <row r="21" spans="1:11" s="332" customFormat="1" outlineLevel="1">
      <c r="A21" s="211">
        <v>2004</v>
      </c>
      <c r="B21" s="129">
        <v>28487799</v>
      </c>
      <c r="C21" s="129">
        <f t="shared" si="0"/>
        <v>563835</v>
      </c>
      <c r="D21" s="129">
        <v>117369</v>
      </c>
      <c r="E21" s="129">
        <v>269472</v>
      </c>
      <c r="F21" s="129">
        <v>122988</v>
      </c>
      <c r="G21" s="129">
        <v>52288</v>
      </c>
      <c r="H21" s="129">
        <v>94196</v>
      </c>
      <c r="I21" s="129">
        <v>176994</v>
      </c>
      <c r="J21" s="129">
        <v>104540</v>
      </c>
      <c r="K21" s="129">
        <v>72454</v>
      </c>
    </row>
    <row r="22" spans="1:11" s="332" customFormat="1" outlineLevel="1">
      <c r="A22" s="211">
        <v>2005</v>
      </c>
      <c r="B22" s="129">
        <v>28703810</v>
      </c>
      <c r="C22" s="129">
        <f t="shared" si="0"/>
        <v>548777</v>
      </c>
      <c r="D22" s="129">
        <v>113747</v>
      </c>
      <c r="E22" s="129">
        <v>263099</v>
      </c>
      <c r="F22" s="129">
        <v>121797</v>
      </c>
      <c r="G22" s="129">
        <v>47065</v>
      </c>
      <c r="H22" s="129">
        <v>94237</v>
      </c>
      <c r="I22" s="129">
        <v>171931</v>
      </c>
      <c r="J22" s="129">
        <v>99905</v>
      </c>
      <c r="K22" s="129">
        <v>72026</v>
      </c>
    </row>
    <row r="23" spans="1:11" s="332" customFormat="1" outlineLevel="1">
      <c r="A23" s="211">
        <v>2006</v>
      </c>
      <c r="B23" s="129">
        <v>29137021</v>
      </c>
      <c r="C23" s="129">
        <f t="shared" si="0"/>
        <v>508761</v>
      </c>
      <c r="D23" s="129">
        <v>104173</v>
      </c>
      <c r="E23" s="129">
        <v>242459</v>
      </c>
      <c r="F23" s="129">
        <v>102087</v>
      </c>
      <c r="G23" s="129">
        <v>44451</v>
      </c>
      <c r="H23" s="129">
        <v>95922</v>
      </c>
      <c r="I23" s="129">
        <v>162129</v>
      </c>
      <c r="J23" s="129">
        <v>93871</v>
      </c>
      <c r="K23" s="129">
        <v>68258</v>
      </c>
    </row>
    <row r="24" spans="1:11">
      <c r="A24" s="288">
        <v>2007</v>
      </c>
      <c r="B24" s="129">
        <v>29738338</v>
      </c>
      <c r="C24" s="129">
        <f t="shared" si="0"/>
        <v>479328</v>
      </c>
      <c r="D24" s="129">
        <v>96941</v>
      </c>
      <c r="E24" s="129">
        <v>223284</v>
      </c>
      <c r="F24" s="129">
        <v>91461</v>
      </c>
      <c r="G24" s="129">
        <v>38076</v>
      </c>
      <c r="H24" s="129">
        <v>93747</v>
      </c>
      <c r="I24" s="129">
        <v>159103</v>
      </c>
      <c r="J24" s="129">
        <v>91729</v>
      </c>
      <c r="K24" s="129">
        <v>67373</v>
      </c>
    </row>
    <row r="25" spans="1:11">
      <c r="A25" s="288">
        <v>2008</v>
      </c>
      <c r="B25" s="129">
        <v>30116055</v>
      </c>
      <c r="C25" s="129">
        <f t="shared" si="0"/>
        <v>423211</v>
      </c>
      <c r="D25" s="129">
        <v>86286</v>
      </c>
      <c r="E25" s="129">
        <v>194282</v>
      </c>
      <c r="F25" s="129">
        <v>73148</v>
      </c>
      <c r="G25" s="129">
        <v>31588</v>
      </c>
      <c r="H25" s="129">
        <v>89546</v>
      </c>
      <c r="I25" s="129">
        <v>142643</v>
      </c>
      <c r="J25" s="129">
        <v>78906</v>
      </c>
      <c r="K25" s="129">
        <v>63738</v>
      </c>
    </row>
    <row r="26" spans="1:11">
      <c r="A26" s="288">
        <v>2009</v>
      </c>
      <c r="B26" s="129">
        <v>29041044</v>
      </c>
      <c r="C26" s="129">
        <f t="shared" si="0"/>
        <v>368530</v>
      </c>
      <c r="D26" s="129">
        <v>72803</v>
      </c>
      <c r="E26" s="129">
        <v>167316</v>
      </c>
      <c r="F26" s="129">
        <v>59698</v>
      </c>
      <c r="G26" s="129">
        <v>29049</v>
      </c>
      <c r="H26" s="129">
        <v>78569</v>
      </c>
      <c r="I26" s="129">
        <v>128411</v>
      </c>
      <c r="J26" s="129">
        <v>70083</v>
      </c>
      <c r="K26" s="129">
        <v>58328</v>
      </c>
    </row>
    <row r="27" spans="1:11">
      <c r="A27" s="288">
        <v>2010</v>
      </c>
      <c r="B27" s="129">
        <v>29579493</v>
      </c>
      <c r="C27" s="129">
        <f t="shared" si="0"/>
        <v>374196</v>
      </c>
      <c r="D27" s="129">
        <v>72136</v>
      </c>
      <c r="E27" s="129">
        <v>178494</v>
      </c>
      <c r="F27" s="129">
        <v>67051</v>
      </c>
      <c r="G27" s="129">
        <v>34592</v>
      </c>
      <c r="H27" s="129">
        <v>76850</v>
      </c>
      <c r="I27" s="129">
        <v>123566</v>
      </c>
      <c r="J27" s="129">
        <v>65979</v>
      </c>
      <c r="K27" s="129">
        <v>57587</v>
      </c>
    </row>
    <row r="28" spans="1:11">
      <c r="A28" s="288">
        <v>2011</v>
      </c>
      <c r="B28" s="129">
        <v>30019829</v>
      </c>
      <c r="C28" s="129">
        <f t="shared" si="0"/>
        <v>362981</v>
      </c>
      <c r="D28" s="129">
        <v>76491</v>
      </c>
      <c r="E28" s="129">
        <v>169582</v>
      </c>
      <c r="F28" s="129">
        <v>60411</v>
      </c>
      <c r="G28" s="129">
        <v>32419</v>
      </c>
      <c r="H28" s="129">
        <v>76751</v>
      </c>
      <c r="I28" s="129">
        <v>116908</v>
      </c>
      <c r="J28" s="129">
        <v>62988</v>
      </c>
      <c r="K28" s="129">
        <v>53921</v>
      </c>
    </row>
    <row r="29" spans="1:11">
      <c r="A29" s="288">
        <v>2012</v>
      </c>
      <c r="B29" s="129">
        <v>30539100</v>
      </c>
      <c r="C29" s="129">
        <f t="shared" si="0"/>
        <v>354381</v>
      </c>
      <c r="D29" s="129">
        <v>69174</v>
      </c>
      <c r="E29" s="129">
        <v>172857</v>
      </c>
      <c r="F29" s="129">
        <v>60741</v>
      </c>
      <c r="G29" s="129">
        <v>32132</v>
      </c>
      <c r="H29" s="129">
        <v>79984</v>
      </c>
      <c r="I29" s="129">
        <v>112350</v>
      </c>
      <c r="J29" s="129">
        <v>61084</v>
      </c>
      <c r="K29" s="129">
        <v>51267</v>
      </c>
    </row>
    <row r="30" spans="1:11">
      <c r="A30" s="288">
        <v>2013</v>
      </c>
      <c r="B30" s="129">
        <v>30818785</v>
      </c>
      <c r="C30" s="129">
        <f t="shared" si="0"/>
        <v>351234</v>
      </c>
      <c r="D30" s="129">
        <v>67630</v>
      </c>
      <c r="E30" s="129">
        <v>173387</v>
      </c>
      <c r="F30" s="129">
        <v>60934</v>
      </c>
      <c r="G30" s="129">
        <v>32656</v>
      </c>
      <c r="H30" s="129">
        <v>79795</v>
      </c>
      <c r="I30" s="129">
        <v>110217</v>
      </c>
      <c r="J30" s="129">
        <v>60593</v>
      </c>
      <c r="K30" s="129">
        <v>49624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1.4967055302166798</v>
      </c>
      <c r="C32" s="284">
        <f t="shared" ref="C32:K32" si="1">((C24/C17)^(1/7)-1)*100</f>
        <v>-3.1837312242601556</v>
      </c>
      <c r="D32" s="284">
        <f t="shared" si="1"/>
        <v>-3.9070803805854148</v>
      </c>
      <c r="E32" s="284">
        <f t="shared" si="1"/>
        <v>-3.4445637190670508</v>
      </c>
      <c r="F32" s="284">
        <f t="shared" si="1"/>
        <v>-5.9665744076800031</v>
      </c>
      <c r="G32" s="284">
        <f t="shared" si="1"/>
        <v>-4.6840060023489283</v>
      </c>
      <c r="H32" s="284">
        <f t="shared" si="1"/>
        <v>0.36003613181843086</v>
      </c>
      <c r="I32" s="284">
        <f t="shared" si="1"/>
        <v>-2.33017532769485</v>
      </c>
      <c r="J32" s="284">
        <f t="shared" si="1"/>
        <v>-3.492201020031882</v>
      </c>
      <c r="K32" s="284">
        <f t="shared" si="1"/>
        <v>-0.54698065195176726</v>
      </c>
    </row>
    <row r="33" spans="1:16">
      <c r="A33" s="320" t="s">
        <v>368</v>
      </c>
      <c r="B33" s="284">
        <f>((B27/B24)^(1/3)-1)*100</f>
        <v>-0.17836533839934443</v>
      </c>
      <c r="C33" s="284">
        <f t="shared" ref="C33:K33" si="2">((C27/C24)^(1/3)-1)*100</f>
        <v>-7.9220912343198062</v>
      </c>
      <c r="D33" s="284">
        <f t="shared" si="2"/>
        <v>-9.381920506777341</v>
      </c>
      <c r="E33" s="284">
        <f t="shared" si="2"/>
        <v>-7.1913035518988311</v>
      </c>
      <c r="F33" s="284">
        <f t="shared" si="2"/>
        <v>-9.8311692755984836</v>
      </c>
      <c r="G33" s="284">
        <f t="shared" si="2"/>
        <v>-3.1481059998940575</v>
      </c>
      <c r="H33" s="284">
        <f t="shared" si="2"/>
        <v>-6.4101328009064424</v>
      </c>
      <c r="I33" s="284">
        <f t="shared" si="2"/>
        <v>-8.0806651188502272</v>
      </c>
      <c r="J33" s="284">
        <f t="shared" si="2"/>
        <v>-10.401716429970032</v>
      </c>
      <c r="K33" s="284">
        <f t="shared" si="2"/>
        <v>-5.0970914376506808</v>
      </c>
    </row>
    <row r="34" spans="1:16">
      <c r="A34" s="320" t="s">
        <v>392</v>
      </c>
      <c r="B34" s="284">
        <f>((B30/B27)^(1/3)-1)*100</f>
        <v>1.377504336186397</v>
      </c>
      <c r="C34" s="284">
        <f t="shared" ref="C34:K34" si="3">((C30/C27)^(1/3)-1)*100</f>
        <v>-2.0887782856478077</v>
      </c>
      <c r="D34" s="284">
        <f t="shared" si="3"/>
        <v>-2.1271029711845579</v>
      </c>
      <c r="E34" s="284">
        <f t="shared" si="3"/>
        <v>-0.9629634200766124</v>
      </c>
      <c r="F34" s="284">
        <f t="shared" si="3"/>
        <v>-3.138436202352668</v>
      </c>
      <c r="G34" s="284">
        <f t="shared" si="3"/>
        <v>-1.9014838212229157</v>
      </c>
      <c r="H34" s="284">
        <f t="shared" si="3"/>
        <v>1.2614019275886124</v>
      </c>
      <c r="I34" s="284">
        <f t="shared" si="3"/>
        <v>-3.7391115206685588</v>
      </c>
      <c r="J34" s="284">
        <f t="shared" si="3"/>
        <v>-2.7986622323922794</v>
      </c>
      <c r="K34" s="284">
        <f t="shared" si="3"/>
        <v>-4.8397068577016755</v>
      </c>
    </row>
    <row r="35" spans="1:16">
      <c r="A35" s="320" t="s">
        <v>69</v>
      </c>
      <c r="B35" s="253">
        <f>IFERROR(((B30/B24)^(1/6)-1)*100,"n.a.")</f>
        <v>0.59656157519318853</v>
      </c>
      <c r="C35" s="253">
        <f t="shared" ref="C35:K35" si="4">IFERROR(((C30/C24)^(1/6)-1)*100,"n.a.")</f>
        <v>-5.0502209578642159</v>
      </c>
      <c r="D35" s="253">
        <f t="shared" si="4"/>
        <v>-5.8243451671866957</v>
      </c>
      <c r="E35" s="253">
        <f t="shared" si="4"/>
        <v>-4.1276981341033974</v>
      </c>
      <c r="F35" s="253">
        <f t="shared" si="4"/>
        <v>-6.5446954433784903</v>
      </c>
      <c r="G35" s="253">
        <f t="shared" si="4"/>
        <v>-2.5267878311451386</v>
      </c>
      <c r="H35" s="253">
        <f t="shared" si="4"/>
        <v>-2.6499041664721612</v>
      </c>
      <c r="I35" s="253">
        <f t="shared" si="4"/>
        <v>-5.9349329235944381</v>
      </c>
      <c r="J35" s="253">
        <f t="shared" si="4"/>
        <v>-6.6775856254866266</v>
      </c>
      <c r="K35" s="253">
        <f t="shared" si="4"/>
        <v>-4.968486285601581</v>
      </c>
    </row>
    <row r="36" spans="1:16" s="352" customFormat="1">
      <c r="A36" s="442" t="s">
        <v>15</v>
      </c>
      <c r="B36" s="253">
        <f>((B30/B17)^(1/13)-1)*100</f>
        <v>1.0802579530982515</v>
      </c>
      <c r="C36" s="253">
        <f t="shared" ref="C36:K36" si="5">((C30/C17)^(1/13)-1)*100</f>
        <v>-4.0497040953830776</v>
      </c>
      <c r="D36" s="253">
        <f t="shared" si="5"/>
        <v>-4.7967744929106271</v>
      </c>
      <c r="E36" s="253">
        <f t="shared" si="5"/>
        <v>-3.7604592911677948</v>
      </c>
      <c r="F36" s="253">
        <f t="shared" si="5"/>
        <v>-6.2338425588239321</v>
      </c>
      <c r="G36" s="253">
        <f t="shared" si="5"/>
        <v>-3.6943641634183622</v>
      </c>
      <c r="H36" s="253">
        <f t="shared" si="5"/>
        <v>-1.0405602415147541</v>
      </c>
      <c r="I36" s="253">
        <f t="shared" si="5"/>
        <v>-4.0107619870463846</v>
      </c>
      <c r="J36" s="253">
        <f t="shared" si="5"/>
        <v>-4.9756689431613594</v>
      </c>
      <c r="K36" s="253">
        <f t="shared" si="5"/>
        <v>-2.6126748254916343</v>
      </c>
    </row>
    <row r="37" spans="1:16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6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6" hidden="1" outlineLevel="1">
      <c r="A39" s="266" t="s">
        <v>398</v>
      </c>
      <c r="B39" s="289"/>
      <c r="C39" s="289"/>
      <c r="D39" s="287"/>
      <c r="E39" s="287"/>
      <c r="F39" s="287"/>
      <c r="G39" s="287"/>
      <c r="H39" s="287"/>
      <c r="I39" s="287"/>
      <c r="J39" s="287"/>
      <c r="K39" s="287"/>
    </row>
    <row r="40" spans="1:16" collapsed="1">
      <c r="B40" s="289"/>
      <c r="C40" s="289"/>
      <c r="D40" s="287"/>
      <c r="E40" s="287"/>
      <c r="F40" s="287"/>
      <c r="G40" s="287"/>
      <c r="H40" s="287"/>
      <c r="I40" s="287"/>
      <c r="J40" s="287"/>
      <c r="K40" s="287"/>
    </row>
    <row r="41" spans="1:16">
      <c r="B41" s="289"/>
      <c r="C41" s="289"/>
      <c r="D41" s="287"/>
      <c r="E41" s="287"/>
      <c r="F41" s="287"/>
      <c r="G41" s="287"/>
      <c r="H41" s="287"/>
      <c r="I41" s="287"/>
      <c r="J41" s="287"/>
      <c r="K41" s="287"/>
    </row>
    <row r="42" spans="1:16">
      <c r="B42" s="289"/>
      <c r="C42" s="289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</row>
    <row r="43" spans="1:16">
      <c r="B43" s="289"/>
      <c r="C43" s="289"/>
      <c r="D43" s="287"/>
      <c r="E43" s="287"/>
      <c r="F43" s="287"/>
      <c r="G43" s="287"/>
      <c r="H43" s="287"/>
      <c r="I43" s="287"/>
      <c r="J43" s="287"/>
      <c r="K43" s="287"/>
    </row>
    <row r="44" spans="1:16">
      <c r="B44" s="289"/>
      <c r="C44" s="289"/>
      <c r="D44" s="287"/>
      <c r="E44" s="287"/>
      <c r="F44" s="287"/>
      <c r="G44" s="287"/>
      <c r="H44" s="287"/>
      <c r="I44" s="287"/>
      <c r="J44" s="287"/>
      <c r="K44" s="287"/>
    </row>
    <row r="45" spans="1:16">
      <c r="B45" s="289"/>
      <c r="C45" s="289"/>
      <c r="D45" s="287"/>
      <c r="E45" s="287"/>
      <c r="F45" s="287"/>
      <c r="G45" s="287"/>
      <c r="H45" s="287"/>
      <c r="I45" s="287"/>
      <c r="J45" s="287"/>
      <c r="K45" s="287"/>
    </row>
    <row r="46" spans="1:16">
      <c r="C46" s="289"/>
    </row>
    <row r="47" spans="1:16">
      <c r="C47" s="289"/>
    </row>
    <row r="48" spans="1:16">
      <c r="C48" s="289"/>
    </row>
    <row r="49" spans="3:3">
      <c r="C49" s="289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55"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AF45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J35" sqref="J35"/>
    </sheetView>
  </sheetViews>
  <sheetFormatPr defaultRowHeight="15" outlineLevelRow="1"/>
  <cols>
    <col min="1" max="1" width="12.42578125" style="266" customWidth="1"/>
    <col min="2" max="2" width="17.5703125" style="266" customWidth="1"/>
    <col min="3" max="11" width="15.28515625" style="266" customWidth="1"/>
    <col min="12" max="21" width="19.28515625" style="266" customWidth="1"/>
    <col min="22" max="16384" width="9.140625" style="266"/>
  </cols>
  <sheetData>
    <row r="1" spans="1:32" ht="15" customHeight="1">
      <c r="A1" s="471" t="s">
        <v>569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32" ht="84" customHeight="1">
      <c r="A2" s="211"/>
      <c r="B2" s="264" t="s">
        <v>396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32" hidden="1" outlineLevel="1">
      <c r="A3" s="265"/>
      <c r="B3" s="137"/>
      <c r="C3" s="137"/>
      <c r="D3" s="137"/>
      <c r="E3" s="137"/>
      <c r="F3" s="137"/>
      <c r="G3" s="137"/>
      <c r="H3" s="137"/>
      <c r="I3" s="137"/>
      <c r="J3" s="137"/>
      <c r="K3" s="137"/>
    </row>
    <row r="4" spans="1:32" hidden="1" outlineLevel="1" collapsed="1">
      <c r="A4" s="265">
        <v>1984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</row>
    <row r="5" spans="1:32" hidden="1" outlineLevel="1">
      <c r="A5" s="265">
        <v>1985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</row>
    <row r="6" spans="1:32" hidden="1" outlineLevel="1">
      <c r="A6" s="265">
        <v>1986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</row>
    <row r="7" spans="1:32" hidden="1" outlineLevel="1">
      <c r="A7" s="265">
        <v>1987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</row>
    <row r="8" spans="1:32" hidden="1" outlineLevel="1">
      <c r="A8" s="265">
        <v>1988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</row>
    <row r="9" spans="1:32" hidden="1" outlineLevel="1">
      <c r="A9" s="265">
        <v>1989</v>
      </c>
      <c r="B9" s="263"/>
      <c r="C9" s="263"/>
      <c r="D9" s="263"/>
      <c r="E9" s="263"/>
      <c r="F9" s="263"/>
      <c r="G9" s="263"/>
      <c r="H9" s="263"/>
      <c r="I9" s="263"/>
      <c r="J9" s="263"/>
      <c r="K9" s="263"/>
    </row>
    <row r="10" spans="1:32" hidden="1" outlineLevel="1">
      <c r="A10" s="265">
        <v>1990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3"/>
    </row>
    <row r="11" spans="1:32" hidden="1" outlineLevel="1">
      <c r="A11" s="265">
        <v>1991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</row>
    <row r="12" spans="1:32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32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32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32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32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358563</v>
      </c>
      <c r="C17" s="284" t="s">
        <v>10</v>
      </c>
      <c r="D17" s="129">
        <v>2640</v>
      </c>
      <c r="E17" s="129">
        <v>1882</v>
      </c>
      <c r="F17" s="129" t="s">
        <v>9</v>
      </c>
      <c r="G17" s="129" t="s">
        <v>9</v>
      </c>
      <c r="H17" s="129" t="s">
        <v>9</v>
      </c>
      <c r="I17" s="129" t="s">
        <v>9</v>
      </c>
      <c r="J17" s="129" t="s">
        <v>9</v>
      </c>
      <c r="K17" s="129">
        <v>199</v>
      </c>
    </row>
    <row r="18" spans="1:11" s="332" customFormat="1" outlineLevel="1">
      <c r="A18" s="288">
        <v>2001</v>
      </c>
      <c r="B18" s="129">
        <v>367356</v>
      </c>
      <c r="C18" s="284" t="s">
        <v>10</v>
      </c>
      <c r="D18" s="129">
        <v>2610</v>
      </c>
      <c r="E18" s="129" t="s">
        <v>9</v>
      </c>
      <c r="F18" s="129" t="s">
        <v>9</v>
      </c>
      <c r="G18" s="129" t="s">
        <v>9</v>
      </c>
      <c r="H18" s="129" t="s">
        <v>9</v>
      </c>
      <c r="I18" s="129" t="s">
        <v>9</v>
      </c>
      <c r="J18" s="129" t="s">
        <v>9</v>
      </c>
      <c r="K18" s="129">
        <v>221</v>
      </c>
    </row>
    <row r="19" spans="1:11" s="332" customFormat="1" outlineLevel="1">
      <c r="A19" s="288">
        <v>2002</v>
      </c>
      <c r="B19" s="129">
        <v>368712</v>
      </c>
      <c r="C19" s="284" t="s">
        <v>10</v>
      </c>
      <c r="D19" s="129">
        <v>2507</v>
      </c>
      <c r="E19" s="129">
        <v>1626</v>
      </c>
      <c r="F19" s="129" t="s">
        <v>9</v>
      </c>
      <c r="G19" s="129" t="s">
        <v>9</v>
      </c>
      <c r="H19" s="129" t="s">
        <v>9</v>
      </c>
      <c r="I19" s="129" t="s">
        <v>9</v>
      </c>
      <c r="J19" s="129" t="s">
        <v>9</v>
      </c>
      <c r="K19" s="129" t="s">
        <v>9</v>
      </c>
    </row>
    <row r="20" spans="1:11" s="332" customFormat="1" outlineLevel="1">
      <c r="A20" s="288">
        <v>2003</v>
      </c>
      <c r="B20" s="129">
        <v>369141</v>
      </c>
      <c r="C20" s="169">
        <f t="shared" ref="C20:C21" si="0">D20+E20+I20</f>
        <v>6256</v>
      </c>
      <c r="D20" s="129">
        <v>2045</v>
      </c>
      <c r="E20" s="129">
        <v>1095</v>
      </c>
      <c r="F20" s="129" t="s">
        <v>9</v>
      </c>
      <c r="G20" s="129">
        <v>78</v>
      </c>
      <c r="H20" s="129" t="s">
        <v>9</v>
      </c>
      <c r="I20" s="129">
        <v>3116</v>
      </c>
      <c r="J20" s="129" t="s">
        <v>9</v>
      </c>
      <c r="K20" s="129" t="s">
        <v>9</v>
      </c>
    </row>
    <row r="21" spans="1:11" s="332" customFormat="1" outlineLevel="1">
      <c r="A21" s="288">
        <v>2004</v>
      </c>
      <c r="B21" s="129">
        <v>376355</v>
      </c>
      <c r="C21" s="169">
        <f t="shared" si="0"/>
        <v>6819</v>
      </c>
      <c r="D21" s="129">
        <v>2251</v>
      </c>
      <c r="E21" s="129">
        <v>1267</v>
      </c>
      <c r="F21" s="129" t="s">
        <v>9</v>
      </c>
      <c r="G21" s="129" t="s">
        <v>9</v>
      </c>
      <c r="H21" s="129" t="s">
        <v>9</v>
      </c>
      <c r="I21" s="129">
        <v>3301</v>
      </c>
      <c r="J21" s="129" t="s">
        <v>9</v>
      </c>
      <c r="K21" s="129" t="s">
        <v>9</v>
      </c>
    </row>
    <row r="22" spans="1:11" s="332" customFormat="1" outlineLevel="1">
      <c r="A22" s="288">
        <v>2005</v>
      </c>
      <c r="B22" s="129">
        <v>375505</v>
      </c>
      <c r="C22" s="284" t="s">
        <v>10</v>
      </c>
      <c r="D22" s="129">
        <v>1803</v>
      </c>
      <c r="E22" s="129">
        <v>1120</v>
      </c>
      <c r="F22" s="129" t="s">
        <v>9</v>
      </c>
      <c r="G22" s="129" t="s">
        <v>9</v>
      </c>
      <c r="H22" s="129">
        <v>256</v>
      </c>
      <c r="I22" s="129" t="s">
        <v>9</v>
      </c>
      <c r="J22" s="129" t="s">
        <v>9</v>
      </c>
      <c r="K22" s="129" t="s">
        <v>9</v>
      </c>
    </row>
    <row r="23" spans="1:11" s="332" customFormat="1" outlineLevel="1">
      <c r="A23" s="288">
        <v>2006</v>
      </c>
      <c r="B23" s="129">
        <v>383578</v>
      </c>
      <c r="C23" s="284" t="s">
        <v>10</v>
      </c>
      <c r="D23" s="129">
        <v>1776</v>
      </c>
      <c r="E23" s="129">
        <v>959</v>
      </c>
      <c r="F23" s="129">
        <v>644</v>
      </c>
      <c r="G23" s="129" t="s">
        <v>9</v>
      </c>
      <c r="H23" s="129" t="s">
        <v>9</v>
      </c>
      <c r="I23" s="129" t="s">
        <v>9</v>
      </c>
      <c r="J23" s="129" t="s">
        <v>9</v>
      </c>
      <c r="K23" s="129" t="s">
        <v>9</v>
      </c>
    </row>
    <row r="24" spans="1:11">
      <c r="A24" s="288">
        <v>2007</v>
      </c>
      <c r="B24" s="129">
        <v>385564</v>
      </c>
      <c r="C24" s="284" t="s">
        <v>10</v>
      </c>
      <c r="D24" s="129">
        <v>1605</v>
      </c>
      <c r="E24" s="129">
        <v>917</v>
      </c>
      <c r="F24" s="129">
        <v>571</v>
      </c>
      <c r="G24" s="129" t="s">
        <v>9</v>
      </c>
      <c r="H24" s="129" t="s">
        <v>9</v>
      </c>
      <c r="I24" s="129" t="s">
        <v>9</v>
      </c>
      <c r="J24" s="129" t="s">
        <v>9</v>
      </c>
      <c r="K24" s="129" t="s">
        <v>9</v>
      </c>
    </row>
    <row r="25" spans="1:11">
      <c r="A25" s="288">
        <v>2008</v>
      </c>
      <c r="B25" s="129">
        <v>389800</v>
      </c>
      <c r="C25" s="284" t="s">
        <v>10</v>
      </c>
      <c r="D25" s="129">
        <v>1358</v>
      </c>
      <c r="E25" s="129">
        <v>915</v>
      </c>
      <c r="F25" s="129">
        <v>494</v>
      </c>
      <c r="G25" s="129" t="s">
        <v>9</v>
      </c>
      <c r="H25" s="129" t="s">
        <v>9</v>
      </c>
      <c r="I25" s="129" t="s">
        <v>9</v>
      </c>
      <c r="J25" s="129" t="s">
        <v>9</v>
      </c>
      <c r="K25" s="129" t="s">
        <v>9</v>
      </c>
    </row>
    <row r="26" spans="1:11">
      <c r="A26" s="288">
        <v>2009</v>
      </c>
      <c r="B26" s="129">
        <v>371397</v>
      </c>
      <c r="C26" s="284" t="s">
        <v>10</v>
      </c>
      <c r="D26" s="129">
        <v>978</v>
      </c>
      <c r="E26" s="129">
        <v>812</v>
      </c>
      <c r="F26" s="129">
        <v>303</v>
      </c>
      <c r="G26" s="129" t="s">
        <v>9</v>
      </c>
      <c r="H26" s="129" t="s">
        <v>9</v>
      </c>
      <c r="I26" s="129" t="s">
        <v>9</v>
      </c>
      <c r="J26" s="129" t="s">
        <v>9</v>
      </c>
      <c r="K26" s="129" t="s">
        <v>9</v>
      </c>
    </row>
    <row r="27" spans="1:11">
      <c r="A27" s="288">
        <v>2010</v>
      </c>
      <c r="B27" s="129">
        <v>382017</v>
      </c>
      <c r="C27" s="284" t="s">
        <v>10</v>
      </c>
      <c r="D27" s="129">
        <v>879</v>
      </c>
      <c r="E27" s="129">
        <v>884</v>
      </c>
      <c r="F27" s="129">
        <v>305</v>
      </c>
      <c r="G27" s="129" t="s">
        <v>9</v>
      </c>
      <c r="H27" s="129" t="s">
        <v>9</v>
      </c>
      <c r="I27" s="129" t="s">
        <v>9</v>
      </c>
      <c r="J27" s="129" t="s">
        <v>9</v>
      </c>
      <c r="K27" s="129" t="s">
        <v>9</v>
      </c>
    </row>
    <row r="28" spans="1:11">
      <c r="A28" s="288">
        <v>2011</v>
      </c>
      <c r="B28" s="129">
        <v>400073</v>
      </c>
      <c r="C28" s="284" t="s">
        <v>10</v>
      </c>
      <c r="D28" s="129">
        <v>922</v>
      </c>
      <c r="E28" s="129">
        <v>799</v>
      </c>
      <c r="F28" s="129">
        <v>322</v>
      </c>
      <c r="G28" s="129">
        <v>200</v>
      </c>
      <c r="H28" s="129">
        <v>277</v>
      </c>
      <c r="I28" s="129" t="s">
        <v>9</v>
      </c>
      <c r="J28" s="129" t="s">
        <v>9</v>
      </c>
      <c r="K28" s="129" t="s">
        <v>9</v>
      </c>
    </row>
    <row r="29" spans="1:11">
      <c r="A29" s="288">
        <v>2012</v>
      </c>
      <c r="B29" s="129">
        <v>414029</v>
      </c>
      <c r="C29" s="284" t="s">
        <v>10</v>
      </c>
      <c r="D29" s="129">
        <v>790</v>
      </c>
      <c r="E29" s="129">
        <v>841</v>
      </c>
      <c r="F29" s="129">
        <v>406</v>
      </c>
      <c r="G29" s="129">
        <v>228</v>
      </c>
      <c r="H29" s="129">
        <v>207</v>
      </c>
      <c r="I29" s="129" t="s">
        <v>9</v>
      </c>
      <c r="J29" s="129" t="s">
        <v>9</v>
      </c>
      <c r="K29" s="129" t="s">
        <v>9</v>
      </c>
    </row>
    <row r="30" spans="1:11">
      <c r="A30" s="288">
        <v>2013</v>
      </c>
      <c r="B30" s="129">
        <v>412545</v>
      </c>
      <c r="C30" s="284" t="s">
        <v>10</v>
      </c>
      <c r="D30" s="129">
        <v>649</v>
      </c>
      <c r="E30" s="129">
        <v>774</v>
      </c>
      <c r="F30" s="129">
        <v>405</v>
      </c>
      <c r="G30" s="129">
        <v>183</v>
      </c>
      <c r="H30" s="129">
        <v>186</v>
      </c>
      <c r="I30" s="129" t="s">
        <v>9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1.0425805394854049</v>
      </c>
      <c r="C32" s="284" t="s">
        <v>10</v>
      </c>
      <c r="D32" s="284">
        <f t="shared" ref="D32:E32" si="1">((D24/D17)^(1/7)-1)*100</f>
        <v>-6.8625283379918471</v>
      </c>
      <c r="E32" s="284">
        <f t="shared" si="1"/>
        <v>-9.7613028012090926</v>
      </c>
      <c r="F32" s="284" t="s">
        <v>10</v>
      </c>
      <c r="G32" s="284" t="s">
        <v>10</v>
      </c>
      <c r="H32" s="284" t="s">
        <v>10</v>
      </c>
      <c r="I32" s="284" t="s">
        <v>10</v>
      </c>
      <c r="J32" s="284" t="s">
        <v>10</v>
      </c>
      <c r="K32" s="284" t="s">
        <v>10</v>
      </c>
    </row>
    <row r="33" spans="1:16">
      <c r="A33" s="320" t="s">
        <v>368</v>
      </c>
      <c r="B33" s="284">
        <f>((B27/B24)^(1/3)-1)*100</f>
        <v>-0.30759552421769643</v>
      </c>
      <c r="C33" s="284" t="s">
        <v>10</v>
      </c>
      <c r="D33" s="284">
        <f t="shared" ref="D33:F33" si="2">((D27/D24)^(1/3)-1)*100</f>
        <v>-18.184055919193309</v>
      </c>
      <c r="E33" s="284">
        <f t="shared" si="2"/>
        <v>-1.214248103364568</v>
      </c>
      <c r="F33" s="284">
        <f t="shared" si="2"/>
        <v>-18.862570702188307</v>
      </c>
      <c r="G33" s="284" t="s">
        <v>10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6">
      <c r="A34" s="320" t="s">
        <v>392</v>
      </c>
      <c r="B34" s="284">
        <f>((B30/B27)^(1/3)-1)*100</f>
        <v>2.5957914430029705</v>
      </c>
      <c r="C34" s="284" t="s">
        <v>10</v>
      </c>
      <c r="D34" s="284">
        <f t="shared" ref="D34:F34" si="3">((D30/D27)^(1/3)-1)*100</f>
        <v>-9.6173076893159237</v>
      </c>
      <c r="E34" s="284">
        <f t="shared" si="3"/>
        <v>-4.3328362594638126</v>
      </c>
      <c r="F34" s="284">
        <f t="shared" si="3"/>
        <v>9.9136747638293166</v>
      </c>
      <c r="G34" s="284" t="s">
        <v>10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6">
      <c r="A35" s="320" t="s">
        <v>69</v>
      </c>
      <c r="B35" s="253">
        <f>IFERROR(((B30/B24)^(1/6)-1)*100,"n.a.")</f>
        <v>1.1336795437052016</v>
      </c>
      <c r="C35" s="253" t="str">
        <f t="shared" ref="C35:K35" si="4">IFERROR(((C30/C24)^(1/6)-1)*100,"n.a.")</f>
        <v>n.a.</v>
      </c>
      <c r="D35" s="253">
        <f t="shared" si="4"/>
        <v>-14.007295077060844</v>
      </c>
      <c r="E35" s="253">
        <f t="shared" si="4"/>
        <v>-2.7860467734831529</v>
      </c>
      <c r="F35" s="253">
        <f t="shared" si="4"/>
        <v>-5.5642386856924357</v>
      </c>
      <c r="G35" s="253" t="str">
        <f t="shared" si="4"/>
        <v>n.a.</v>
      </c>
      <c r="H35" s="253" t="str">
        <f t="shared" si="4"/>
        <v>n.a.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6" s="352" customFormat="1">
      <c r="A36" s="442" t="s">
        <v>15</v>
      </c>
      <c r="B36" s="253">
        <f>((B30/B17)^(1/13)-1)*100</f>
        <v>1.0846160324601506</v>
      </c>
      <c r="C36" s="284" t="s">
        <v>10</v>
      </c>
      <c r="D36" s="253">
        <f t="shared" ref="D36:E36" si="5">((D30/D17)^(1/13)-1)*100</f>
        <v>-10.231036012900397</v>
      </c>
      <c r="E36" s="253">
        <f t="shared" si="5"/>
        <v>-6.60641935366999</v>
      </c>
      <c r="F36" s="284" t="s">
        <v>10</v>
      </c>
      <c r="G36" s="284" t="s">
        <v>10</v>
      </c>
      <c r="H36" s="284" t="s">
        <v>10</v>
      </c>
      <c r="I36" s="284" t="s">
        <v>10</v>
      </c>
      <c r="J36" s="284" t="s">
        <v>10</v>
      </c>
      <c r="K36" s="284" t="s">
        <v>10</v>
      </c>
    </row>
    <row r="37" spans="1:16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6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6" hidden="1" outlineLevel="1">
      <c r="A39" s="266" t="s">
        <v>398</v>
      </c>
      <c r="B39" s="289"/>
      <c r="C39" s="289"/>
      <c r="D39" s="287"/>
      <c r="E39" s="287"/>
      <c r="F39" s="287"/>
      <c r="G39" s="287"/>
      <c r="H39" s="287"/>
      <c r="I39" s="287"/>
      <c r="J39" s="287"/>
      <c r="K39" s="287"/>
    </row>
    <row r="40" spans="1:16" collapsed="1">
      <c r="B40" s="289"/>
      <c r="C40" s="289"/>
      <c r="D40" s="287"/>
      <c r="E40" s="287"/>
      <c r="F40" s="287"/>
      <c r="G40" s="287"/>
      <c r="H40" s="287"/>
      <c r="I40" s="287"/>
      <c r="J40" s="287"/>
      <c r="K40" s="287"/>
    </row>
    <row r="41" spans="1:16">
      <c r="B41" s="289"/>
      <c r="C41" s="289"/>
      <c r="D41" s="287"/>
      <c r="E41" s="287"/>
      <c r="F41" s="287"/>
      <c r="G41" s="287"/>
      <c r="H41" s="287"/>
      <c r="I41" s="287"/>
      <c r="J41" s="287"/>
      <c r="K41" s="287"/>
    </row>
    <row r="42" spans="1:16">
      <c r="B42" s="289"/>
      <c r="C42" s="289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</row>
    <row r="43" spans="1:16">
      <c r="B43" s="289"/>
      <c r="C43" s="289"/>
      <c r="D43" s="287"/>
      <c r="E43" s="287"/>
      <c r="F43" s="287"/>
      <c r="G43" s="287"/>
      <c r="H43" s="287"/>
      <c r="I43" s="287"/>
      <c r="J43" s="287"/>
      <c r="K43" s="287"/>
    </row>
    <row r="44" spans="1:16">
      <c r="B44" s="289"/>
      <c r="C44" s="289"/>
      <c r="D44" s="287"/>
      <c r="E44" s="287"/>
      <c r="F44" s="287"/>
      <c r="G44" s="287"/>
      <c r="H44" s="287"/>
      <c r="I44" s="287"/>
      <c r="J44" s="287"/>
      <c r="K44" s="287"/>
    </row>
    <row r="45" spans="1:16">
      <c r="B45" s="289"/>
      <c r="C45" s="289"/>
      <c r="D45" s="287"/>
      <c r="E45" s="287"/>
      <c r="F45" s="287"/>
      <c r="G45" s="287"/>
      <c r="H45" s="287"/>
      <c r="I45" s="287"/>
      <c r="J45" s="287"/>
      <c r="K45" s="287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55"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K46"/>
  <sheetViews>
    <sheetView view="pageBreakPreview" zoomScaleNormal="85" zoomScaleSheetLayoutView="100" workbookViewId="0">
      <pane xSplit="1" ySplit="3" topLeftCell="B17" activePane="bottomRight" state="frozen"/>
      <selection activeCell="D42" sqref="D42"/>
      <selection pane="topRight" activeCell="D42" sqref="D42"/>
      <selection pane="bottomLeft" activeCell="D42" sqref="D42"/>
      <selection pane="bottomRight" activeCell="K33" sqref="K33"/>
    </sheetView>
  </sheetViews>
  <sheetFormatPr defaultRowHeight="15" outlineLevelRow="1"/>
  <cols>
    <col min="1" max="1" width="12.42578125" style="266" customWidth="1"/>
    <col min="2" max="2" width="13.85546875" style="266" customWidth="1"/>
    <col min="3" max="11" width="15.28515625" style="266" customWidth="1"/>
    <col min="12" max="16384" width="9.140625" style="266"/>
  </cols>
  <sheetData>
    <row r="1" spans="1:11">
      <c r="A1" s="456" t="s">
        <v>570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105.75" customHeight="1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3"/>
      <c r="C10" s="263"/>
      <c r="D10" s="263"/>
      <c r="E10" s="263"/>
      <c r="F10" s="263"/>
      <c r="G10" s="263"/>
      <c r="H10" s="263"/>
      <c r="I10" s="263"/>
      <c r="J10" s="263"/>
      <c r="K10" s="263"/>
    </row>
    <row r="11" spans="1:11" hidden="1" outlineLevel="1">
      <c r="A11" s="265">
        <v>1991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</row>
    <row r="12" spans="1:11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11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116308</v>
      </c>
      <c r="C17" s="284" t="s">
        <v>10</v>
      </c>
      <c r="D17" s="129">
        <v>188</v>
      </c>
      <c r="E17" s="129" t="s">
        <v>9</v>
      </c>
      <c r="F17" s="129" t="s">
        <v>9</v>
      </c>
      <c r="G17" s="129" t="s">
        <v>9</v>
      </c>
      <c r="H17" s="129" t="s">
        <v>9</v>
      </c>
      <c r="I17" s="129" t="s">
        <v>9</v>
      </c>
      <c r="J17" s="129">
        <v>13</v>
      </c>
      <c r="K17" s="129" t="s">
        <v>9</v>
      </c>
    </row>
    <row r="18" spans="1:11" s="332" customFormat="1" outlineLevel="1">
      <c r="A18" s="288">
        <v>2001</v>
      </c>
      <c r="B18" s="129">
        <v>117301</v>
      </c>
      <c r="C18" s="284" t="s">
        <v>10</v>
      </c>
      <c r="D18" s="129">
        <v>128</v>
      </c>
      <c r="E18" s="129">
        <v>897</v>
      </c>
      <c r="F18" s="129" t="s">
        <v>9</v>
      </c>
      <c r="G18" s="129" t="s">
        <v>9</v>
      </c>
      <c r="H18" s="129" t="s">
        <v>9</v>
      </c>
      <c r="I18" s="129" t="s">
        <v>9</v>
      </c>
      <c r="J18" s="129">
        <v>33</v>
      </c>
      <c r="K18" s="129" t="s">
        <v>9</v>
      </c>
    </row>
    <row r="19" spans="1:11" s="332" customFormat="1" outlineLevel="1">
      <c r="A19" s="288">
        <v>2002</v>
      </c>
      <c r="B19" s="129">
        <v>117804</v>
      </c>
      <c r="C19" s="284" t="s">
        <v>10</v>
      </c>
      <c r="D19" s="129">
        <v>133</v>
      </c>
      <c r="E19" s="129" t="s">
        <v>9</v>
      </c>
      <c r="F19" s="129" t="s">
        <v>9</v>
      </c>
      <c r="G19" s="129">
        <v>149</v>
      </c>
      <c r="H19" s="129" t="s">
        <v>9</v>
      </c>
      <c r="I19" s="129" t="s">
        <v>9</v>
      </c>
      <c r="J19" s="129" t="s">
        <v>9</v>
      </c>
      <c r="K19" s="129" t="s">
        <v>9</v>
      </c>
    </row>
    <row r="20" spans="1:11" s="332" customFormat="1" outlineLevel="1">
      <c r="A20" s="288">
        <v>2003</v>
      </c>
      <c r="B20" s="129">
        <v>118868</v>
      </c>
      <c r="C20" s="169">
        <f t="shared" ref="C20:C21" si="0">D20+E20+I20</f>
        <v>1088</v>
      </c>
      <c r="D20" s="129">
        <v>163</v>
      </c>
      <c r="E20" s="129">
        <v>780</v>
      </c>
      <c r="F20" s="129">
        <v>303</v>
      </c>
      <c r="G20" s="129" t="s">
        <v>9</v>
      </c>
      <c r="H20" s="129" t="s">
        <v>9</v>
      </c>
      <c r="I20" s="129">
        <v>145</v>
      </c>
      <c r="J20" s="129">
        <v>0</v>
      </c>
      <c r="K20" s="129">
        <v>145</v>
      </c>
    </row>
    <row r="21" spans="1:11" s="332" customFormat="1" outlineLevel="1">
      <c r="A21" s="288">
        <v>2004</v>
      </c>
      <c r="B21" s="129">
        <v>117519</v>
      </c>
      <c r="C21" s="169">
        <f t="shared" si="0"/>
        <v>1153</v>
      </c>
      <c r="D21" s="129">
        <v>82</v>
      </c>
      <c r="E21" s="129">
        <v>818</v>
      </c>
      <c r="F21" s="129" t="s">
        <v>9</v>
      </c>
      <c r="G21" s="129" t="s">
        <v>9</v>
      </c>
      <c r="H21" s="129" t="s">
        <v>9</v>
      </c>
      <c r="I21" s="129">
        <v>253</v>
      </c>
      <c r="J21" s="129">
        <v>0</v>
      </c>
      <c r="K21" s="129">
        <v>253</v>
      </c>
    </row>
    <row r="22" spans="1:11" s="332" customFormat="1" outlineLevel="1">
      <c r="A22" s="288">
        <v>2005</v>
      </c>
      <c r="B22" s="129">
        <v>120720</v>
      </c>
      <c r="C22" s="284" t="s">
        <v>10</v>
      </c>
      <c r="D22" s="129">
        <v>65</v>
      </c>
      <c r="E22" s="129">
        <v>889</v>
      </c>
      <c r="F22" s="129" t="s">
        <v>9</v>
      </c>
      <c r="G22" s="129" t="s">
        <v>9</v>
      </c>
      <c r="H22" s="129" t="s">
        <v>9</v>
      </c>
      <c r="I22" s="129" t="s">
        <v>9</v>
      </c>
      <c r="J22" s="129">
        <v>0</v>
      </c>
      <c r="K22" s="129" t="s">
        <v>9</v>
      </c>
    </row>
    <row r="23" spans="1:11" s="332" customFormat="1" outlineLevel="1">
      <c r="A23" s="288">
        <v>2006</v>
      </c>
      <c r="B23" s="129">
        <v>123522</v>
      </c>
      <c r="C23" s="284" t="s">
        <v>10</v>
      </c>
      <c r="D23" s="129">
        <v>75</v>
      </c>
      <c r="E23" s="129" t="s">
        <v>9</v>
      </c>
      <c r="F23" s="129" t="s">
        <v>9</v>
      </c>
      <c r="G23" s="129" t="s">
        <v>9</v>
      </c>
      <c r="H23" s="129" t="s">
        <v>9</v>
      </c>
      <c r="I23" s="129" t="s">
        <v>9</v>
      </c>
      <c r="J23" s="129">
        <v>0</v>
      </c>
      <c r="K23" s="129" t="s">
        <v>9</v>
      </c>
    </row>
    <row r="24" spans="1:11">
      <c r="A24" s="288">
        <v>2007</v>
      </c>
      <c r="B24" s="129">
        <v>121690</v>
      </c>
      <c r="C24" s="284" t="s">
        <v>10</v>
      </c>
      <c r="D24" s="129">
        <v>53</v>
      </c>
      <c r="E24" s="129" t="s">
        <v>9</v>
      </c>
      <c r="F24" s="129">
        <v>172</v>
      </c>
      <c r="G24" s="129" t="s">
        <v>9</v>
      </c>
      <c r="H24" s="129" t="s">
        <v>9</v>
      </c>
      <c r="I24" s="129" t="s">
        <v>9</v>
      </c>
      <c r="J24" s="129">
        <v>0</v>
      </c>
      <c r="K24" s="129" t="s">
        <v>9</v>
      </c>
    </row>
    <row r="25" spans="1:11">
      <c r="A25" s="288">
        <v>2008</v>
      </c>
      <c r="B25" s="129">
        <v>122706</v>
      </c>
      <c r="C25" s="284" t="s">
        <v>10</v>
      </c>
      <c r="D25" s="129">
        <v>33</v>
      </c>
      <c r="E25" s="129" t="s">
        <v>9</v>
      </c>
      <c r="F25" s="129" t="s">
        <v>9</v>
      </c>
      <c r="G25" s="129" t="s">
        <v>9</v>
      </c>
      <c r="H25" s="129" t="s">
        <v>9</v>
      </c>
      <c r="I25" s="129" t="s">
        <v>9</v>
      </c>
      <c r="J25" s="129">
        <v>0</v>
      </c>
      <c r="K25" s="129" t="s">
        <v>9</v>
      </c>
    </row>
    <row r="26" spans="1:11">
      <c r="A26" s="288">
        <v>2009</v>
      </c>
      <c r="B26" s="129">
        <v>120660</v>
      </c>
      <c r="C26" s="284" t="s">
        <v>10</v>
      </c>
      <c r="D26" s="129">
        <v>30</v>
      </c>
      <c r="E26" s="129" t="s">
        <v>9</v>
      </c>
      <c r="F26" s="129" t="s">
        <v>9</v>
      </c>
      <c r="G26" s="129" t="s">
        <v>9</v>
      </c>
      <c r="H26" s="129" t="s">
        <v>9</v>
      </c>
      <c r="I26" s="129" t="s">
        <v>9</v>
      </c>
      <c r="J26" s="129">
        <v>0</v>
      </c>
      <c r="K26" s="129" t="s">
        <v>9</v>
      </c>
    </row>
    <row r="27" spans="1:11">
      <c r="A27" s="288">
        <v>2010</v>
      </c>
      <c r="B27" s="129">
        <v>121569</v>
      </c>
      <c r="C27" s="284" t="s">
        <v>10</v>
      </c>
      <c r="D27" s="129">
        <v>28</v>
      </c>
      <c r="E27" s="129" t="s">
        <v>9</v>
      </c>
      <c r="F27" s="129" t="s">
        <v>9</v>
      </c>
      <c r="G27" s="129" t="s">
        <v>9</v>
      </c>
      <c r="H27" s="129" t="s">
        <v>9</v>
      </c>
      <c r="I27" s="129" t="s">
        <v>9</v>
      </c>
      <c r="J27" s="129">
        <v>0</v>
      </c>
      <c r="K27" s="129" t="s">
        <v>9</v>
      </c>
    </row>
    <row r="28" spans="1:11" ht="16.5" customHeight="1">
      <c r="A28" s="288">
        <v>2011</v>
      </c>
      <c r="B28" s="129">
        <v>125403</v>
      </c>
      <c r="C28" s="284" t="s">
        <v>10</v>
      </c>
      <c r="D28" s="129">
        <v>37</v>
      </c>
      <c r="E28" s="129" t="s">
        <v>9</v>
      </c>
      <c r="F28" s="129" t="s">
        <v>9</v>
      </c>
      <c r="G28" s="129" t="s">
        <v>9</v>
      </c>
      <c r="H28" s="129" t="s">
        <v>9</v>
      </c>
      <c r="I28" s="129" t="s">
        <v>9</v>
      </c>
      <c r="J28" s="129">
        <v>0</v>
      </c>
      <c r="K28" s="129" t="s">
        <v>9</v>
      </c>
    </row>
    <row r="29" spans="1:11" ht="16.5" customHeight="1">
      <c r="A29" s="288">
        <v>2012</v>
      </c>
      <c r="B29" s="129">
        <v>126438</v>
      </c>
      <c r="C29" s="284" t="s">
        <v>10</v>
      </c>
      <c r="D29" s="129">
        <v>40</v>
      </c>
      <c r="E29" s="129" t="s">
        <v>9</v>
      </c>
      <c r="F29" s="129" t="s">
        <v>9</v>
      </c>
      <c r="G29" s="129" t="s">
        <v>9</v>
      </c>
      <c r="H29" s="129" t="s">
        <v>9</v>
      </c>
      <c r="I29" s="129" t="s">
        <v>9</v>
      </c>
      <c r="J29" s="129">
        <v>0</v>
      </c>
      <c r="K29" s="129" t="s">
        <v>9</v>
      </c>
    </row>
    <row r="30" spans="1:11" ht="16.5" customHeight="1">
      <c r="A30" s="288">
        <v>2013</v>
      </c>
      <c r="B30" s="129">
        <v>128775</v>
      </c>
      <c r="C30" s="284" t="s">
        <v>10</v>
      </c>
      <c r="D30" s="129">
        <v>47</v>
      </c>
      <c r="E30" s="129" t="s">
        <v>9</v>
      </c>
      <c r="F30" s="129" t="s">
        <v>9</v>
      </c>
      <c r="G30" s="129" t="s">
        <v>9</v>
      </c>
      <c r="H30" s="129" t="s">
        <v>9</v>
      </c>
      <c r="I30" s="129" t="s">
        <v>9</v>
      </c>
      <c r="J30" s="129">
        <v>0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0.64830650448899352</v>
      </c>
      <c r="C32" s="284" t="s">
        <v>10</v>
      </c>
      <c r="D32" s="284">
        <f t="shared" ref="D32" si="1">((D24/D17)^(1/7)-1)*100</f>
        <v>-16.546331673345271</v>
      </c>
      <c r="E32" s="284" t="s">
        <v>10</v>
      </c>
      <c r="F32" s="284" t="s">
        <v>10</v>
      </c>
      <c r="G32" s="284" t="s">
        <v>10</v>
      </c>
      <c r="H32" s="284" t="s">
        <v>10</v>
      </c>
      <c r="I32" s="284" t="s">
        <v>10</v>
      </c>
      <c r="J32" s="284" t="s">
        <v>10</v>
      </c>
      <c r="K32" s="284" t="s">
        <v>10</v>
      </c>
    </row>
    <row r="33" spans="1:11">
      <c r="A33" s="320" t="s">
        <v>368</v>
      </c>
      <c r="B33" s="253">
        <f>((B27/B24)^(1/3)-1)*100</f>
        <v>-3.3155320022515422E-2</v>
      </c>
      <c r="C33" s="284" t="s">
        <v>10</v>
      </c>
      <c r="D33" s="253">
        <f t="shared" ref="D33" si="2">((D27/D24)^(1/3)-1)*100</f>
        <v>-19.159798520031668</v>
      </c>
      <c r="E33" s="284" t="s">
        <v>10</v>
      </c>
      <c r="F33" s="284" t="s">
        <v>10</v>
      </c>
      <c r="G33" s="284" t="s">
        <v>10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1">
      <c r="A34" s="320" t="s">
        <v>392</v>
      </c>
      <c r="B34" s="284">
        <f>((B30/B27)^(1/3)-1)*100</f>
        <v>1.9380303975487179</v>
      </c>
      <c r="C34" s="284" t="s">
        <v>10</v>
      </c>
      <c r="D34" s="284">
        <f t="shared" ref="D34" si="3">((D30/D27)^(1/3)-1)*100</f>
        <v>18.844733797131873</v>
      </c>
      <c r="E34" s="284" t="s">
        <v>10</v>
      </c>
      <c r="F34" s="284" t="s">
        <v>10</v>
      </c>
      <c r="G34" s="284" t="s">
        <v>10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1">
      <c r="A35" s="320" t="s">
        <v>69</v>
      </c>
      <c r="B35" s="253">
        <f>IFERROR(((B30/B24)^(1/6)-1)*100,"n.a.")</f>
        <v>0.94762628083226996</v>
      </c>
      <c r="C35" s="253" t="str">
        <f t="shared" ref="C35:K35" si="4">IFERROR(((C30/C24)^(1/6)-1)*100,"n.a.")</f>
        <v>n.a.</v>
      </c>
      <c r="D35" s="253">
        <f t="shared" si="4"/>
        <v>-1.9824902122414612</v>
      </c>
      <c r="E35" s="253" t="str">
        <f t="shared" si="4"/>
        <v>n.a.</v>
      </c>
      <c r="F35" s="253" t="str">
        <f t="shared" si="4"/>
        <v>n.a.</v>
      </c>
      <c r="G35" s="253" t="str">
        <f t="shared" si="4"/>
        <v>n.a.</v>
      </c>
      <c r="H35" s="253" t="str">
        <f t="shared" si="4"/>
        <v>n.a.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1" s="352" customFormat="1">
      <c r="A36" s="442" t="s">
        <v>15</v>
      </c>
      <c r="B36" s="253">
        <f>((B30/B17)^(1/13)-1)*100</f>
        <v>0.78634365129410799</v>
      </c>
      <c r="C36" s="284" t="s">
        <v>10</v>
      </c>
      <c r="D36" s="253">
        <f t="shared" ref="D36" si="5">((D30/D17)^(1/13)-1)*100</f>
        <v>-10.114902680445814</v>
      </c>
      <c r="E36" s="284" t="s">
        <v>10</v>
      </c>
      <c r="F36" s="284" t="s">
        <v>10</v>
      </c>
      <c r="G36" s="284" t="s">
        <v>10</v>
      </c>
      <c r="H36" s="284" t="s">
        <v>10</v>
      </c>
      <c r="I36" s="284" t="s">
        <v>10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t="15" hidden="1" customHeight="1" outlineLevel="1">
      <c r="A39" s="266" t="s">
        <v>398</v>
      </c>
      <c r="C39" s="289"/>
    </row>
    <row r="40" spans="1:11" collapsed="1">
      <c r="B40" s="289"/>
      <c r="C40" s="289"/>
      <c r="D40" s="287"/>
      <c r="E40" s="287"/>
      <c r="F40" s="287"/>
      <c r="G40" s="287"/>
      <c r="H40" s="287"/>
      <c r="I40" s="287"/>
      <c r="J40" s="287"/>
      <c r="K40" s="287"/>
    </row>
    <row r="41" spans="1:11">
      <c r="B41" s="289"/>
      <c r="C41" s="289"/>
      <c r="D41" s="287"/>
      <c r="E41" s="287"/>
      <c r="F41" s="287"/>
      <c r="G41" s="287"/>
      <c r="H41" s="287"/>
      <c r="I41" s="287"/>
      <c r="J41" s="287"/>
      <c r="K41" s="287"/>
    </row>
    <row r="42" spans="1:11">
      <c r="B42" s="289"/>
      <c r="C42" s="289"/>
      <c r="D42" s="287"/>
      <c r="E42" s="287"/>
      <c r="F42" s="287"/>
      <c r="G42" s="287"/>
      <c r="H42" s="287"/>
      <c r="I42" s="287"/>
      <c r="J42" s="287"/>
      <c r="K42" s="287"/>
    </row>
    <row r="43" spans="1:11">
      <c r="B43" s="289"/>
      <c r="C43" s="289"/>
      <c r="D43" s="287"/>
      <c r="E43" s="287"/>
      <c r="F43" s="287"/>
      <c r="G43" s="287"/>
      <c r="H43" s="287"/>
      <c r="I43" s="287"/>
      <c r="J43" s="287"/>
      <c r="K43" s="287"/>
    </row>
    <row r="44" spans="1:11">
      <c r="B44" s="289"/>
      <c r="C44" s="289"/>
      <c r="D44" s="287"/>
      <c r="E44" s="287"/>
      <c r="F44" s="287"/>
      <c r="G44" s="287"/>
      <c r="H44" s="287"/>
      <c r="I44" s="287"/>
      <c r="J44" s="287"/>
      <c r="K44" s="287"/>
    </row>
    <row r="45" spans="1:11">
      <c r="B45" s="289"/>
      <c r="C45" s="289"/>
      <c r="D45" s="287"/>
      <c r="E45" s="287"/>
      <c r="F45" s="287"/>
      <c r="G45" s="287"/>
      <c r="H45" s="287"/>
      <c r="I45" s="287"/>
      <c r="J45" s="287"/>
      <c r="K45" s="287"/>
    </row>
    <row r="46" spans="1:11">
      <c r="B46" s="289"/>
      <c r="D46" s="287"/>
      <c r="E46" s="287"/>
      <c r="F46" s="287"/>
      <c r="G46" s="287"/>
      <c r="H46" s="287"/>
      <c r="I46" s="287"/>
      <c r="J46" s="287"/>
      <c r="K46" s="287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6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5"/>
  <sheetViews>
    <sheetView view="pageBreakPreview" topLeftCell="A10" zoomScaleNormal="100" zoomScaleSheetLayoutView="100" workbookViewId="0">
      <selection activeCell="E25" sqref="E25"/>
    </sheetView>
  </sheetViews>
  <sheetFormatPr defaultRowHeight="15"/>
  <cols>
    <col min="1" max="1" width="9.140625" style="91"/>
    <col min="2" max="2" width="13.85546875" style="91" bestFit="1" customWidth="1"/>
    <col min="3" max="3" width="11.140625" style="91" bestFit="1" customWidth="1"/>
    <col min="4" max="5" width="10.140625" style="91" bestFit="1" customWidth="1"/>
    <col min="6" max="8" width="10.140625" style="91" customWidth="1"/>
    <col min="9" max="11" width="10.140625" style="91" bestFit="1" customWidth="1"/>
    <col min="12" max="12" width="9.140625" style="91"/>
    <col min="13" max="33" width="0" style="91" hidden="1" customWidth="1"/>
    <col min="34" max="16384" width="9.140625" style="91"/>
  </cols>
  <sheetData>
    <row r="1" spans="1:29">
      <c r="A1" s="454" t="s">
        <v>167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6"/>
      <c r="B2" s="66" t="s">
        <v>16</v>
      </c>
      <c r="C2" s="66" t="s">
        <v>8</v>
      </c>
      <c r="D2" s="66" t="s">
        <v>3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17</v>
      </c>
      <c r="J2" s="66" t="s">
        <v>6</v>
      </c>
      <c r="K2" s="66" t="s">
        <v>7</v>
      </c>
    </row>
    <row r="3" spans="1:29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6">
        <v>1984</v>
      </c>
      <c r="B4" s="11" t="s">
        <v>10</v>
      </c>
      <c r="C4" s="11" t="s">
        <v>10</v>
      </c>
      <c r="D4" s="11" t="s">
        <v>10</v>
      </c>
      <c r="E4" s="11" t="s">
        <v>10</v>
      </c>
      <c r="F4" s="11" t="s">
        <v>10</v>
      </c>
      <c r="G4" s="11" t="s">
        <v>10</v>
      </c>
      <c r="H4" s="11" t="s">
        <v>10</v>
      </c>
      <c r="I4" s="11" t="s">
        <v>10</v>
      </c>
      <c r="J4" s="11" t="s">
        <v>10</v>
      </c>
      <c r="K4" s="11" t="s">
        <v>10</v>
      </c>
    </row>
    <row r="5" spans="1:29">
      <c r="A5" s="66">
        <v>1985</v>
      </c>
      <c r="B5" s="11" t="s">
        <v>10</v>
      </c>
      <c r="C5" s="11" t="s">
        <v>10</v>
      </c>
      <c r="D5" s="11" t="s">
        <v>10</v>
      </c>
      <c r="E5" s="11" t="s">
        <v>10</v>
      </c>
      <c r="F5" s="11" t="s">
        <v>10</v>
      </c>
      <c r="G5" s="11" t="s">
        <v>10</v>
      </c>
      <c r="H5" s="11" t="s">
        <v>10</v>
      </c>
      <c r="I5" s="11" t="s">
        <v>10</v>
      </c>
      <c r="J5" s="11" t="s">
        <v>10</v>
      </c>
      <c r="K5" s="11" t="s">
        <v>10</v>
      </c>
    </row>
    <row r="6" spans="1:29">
      <c r="A6" s="66">
        <v>1986</v>
      </c>
      <c r="B6" s="11" t="s">
        <v>10</v>
      </c>
      <c r="C6" s="11" t="s">
        <v>10</v>
      </c>
      <c r="D6" s="11" t="s">
        <v>10</v>
      </c>
      <c r="E6" s="11" t="s">
        <v>10</v>
      </c>
      <c r="F6" s="11" t="s">
        <v>10</v>
      </c>
      <c r="G6" s="11" t="s">
        <v>10</v>
      </c>
      <c r="H6" s="11" t="s">
        <v>10</v>
      </c>
      <c r="I6" s="11" t="s">
        <v>10</v>
      </c>
      <c r="J6" s="11" t="s">
        <v>10</v>
      </c>
      <c r="K6" s="11" t="s">
        <v>10</v>
      </c>
    </row>
    <row r="7" spans="1:29">
      <c r="A7" s="66">
        <v>1987</v>
      </c>
      <c r="B7" s="11" t="s">
        <v>10</v>
      </c>
      <c r="C7" s="11" t="s">
        <v>10</v>
      </c>
      <c r="D7" s="11" t="s">
        <v>10</v>
      </c>
      <c r="E7" s="11" t="s">
        <v>10</v>
      </c>
      <c r="F7" s="11" t="s">
        <v>10</v>
      </c>
      <c r="G7" s="11" t="s">
        <v>10</v>
      </c>
      <c r="H7" s="11" t="s">
        <v>10</v>
      </c>
      <c r="I7" s="11" t="s">
        <v>10</v>
      </c>
      <c r="J7" s="11" t="s">
        <v>10</v>
      </c>
      <c r="K7" s="11" t="s">
        <v>10</v>
      </c>
    </row>
    <row r="8" spans="1:29">
      <c r="A8" s="66">
        <v>1988</v>
      </c>
      <c r="B8" s="11" t="s">
        <v>10</v>
      </c>
      <c r="C8" s="11" t="s">
        <v>10</v>
      </c>
      <c r="D8" s="11" t="s">
        <v>10</v>
      </c>
      <c r="E8" s="11" t="s">
        <v>10</v>
      </c>
      <c r="F8" s="11" t="s">
        <v>10</v>
      </c>
      <c r="G8" s="11" t="s">
        <v>10</v>
      </c>
      <c r="H8" s="11" t="s">
        <v>10</v>
      </c>
      <c r="I8" s="11" t="s">
        <v>10</v>
      </c>
      <c r="J8" s="11" t="s">
        <v>10</v>
      </c>
      <c r="K8" s="11" t="s">
        <v>10</v>
      </c>
    </row>
    <row r="9" spans="1:29">
      <c r="A9" s="66">
        <v>1989</v>
      </c>
      <c r="B9" s="11" t="s">
        <v>10</v>
      </c>
      <c r="C9" s="11" t="s">
        <v>10</v>
      </c>
      <c r="D9" s="11" t="s">
        <v>10</v>
      </c>
      <c r="E9" s="11" t="s">
        <v>10</v>
      </c>
      <c r="F9" s="11" t="s">
        <v>10</v>
      </c>
      <c r="G9" s="11" t="s">
        <v>10</v>
      </c>
      <c r="H9" s="11" t="s">
        <v>10</v>
      </c>
      <c r="I9" s="11" t="s">
        <v>10</v>
      </c>
      <c r="J9" s="11" t="s">
        <v>10</v>
      </c>
      <c r="K9" s="11" t="s">
        <v>10</v>
      </c>
    </row>
    <row r="10" spans="1:29">
      <c r="A10" s="66">
        <v>1990</v>
      </c>
      <c r="B10" s="11" t="s">
        <v>10</v>
      </c>
      <c r="C10" s="11" t="s">
        <v>10</v>
      </c>
      <c r="D10" s="11" t="s">
        <v>10</v>
      </c>
      <c r="E10" s="11" t="s">
        <v>10</v>
      </c>
      <c r="F10" s="11" t="s">
        <v>10</v>
      </c>
      <c r="G10" s="11" t="s">
        <v>10</v>
      </c>
      <c r="H10" s="11" t="s">
        <v>10</v>
      </c>
      <c r="I10" s="11" t="s">
        <v>10</v>
      </c>
      <c r="J10" s="11" t="s">
        <v>10</v>
      </c>
      <c r="K10" s="11" t="s">
        <v>10</v>
      </c>
    </row>
    <row r="11" spans="1:29">
      <c r="A11" s="66">
        <v>1991</v>
      </c>
      <c r="B11" s="11" t="s">
        <v>10</v>
      </c>
      <c r="C11" s="11" t="s">
        <v>10</v>
      </c>
      <c r="D11" s="11" t="s">
        <v>10</v>
      </c>
      <c r="E11" s="11" t="s">
        <v>10</v>
      </c>
      <c r="F11" s="11" t="s">
        <v>10</v>
      </c>
      <c r="G11" s="11" t="s">
        <v>10</v>
      </c>
      <c r="H11" s="11" t="s">
        <v>10</v>
      </c>
      <c r="I11" s="11" t="s">
        <v>10</v>
      </c>
      <c r="J11" s="11" t="s">
        <v>10</v>
      </c>
      <c r="K11" s="11" t="s">
        <v>10</v>
      </c>
    </row>
    <row r="12" spans="1:29">
      <c r="A12" s="66">
        <v>1992</v>
      </c>
      <c r="B12" s="11" t="s">
        <v>10</v>
      </c>
      <c r="C12" s="11" t="s">
        <v>10</v>
      </c>
      <c r="D12" s="11" t="s">
        <v>10</v>
      </c>
      <c r="E12" s="11" t="s">
        <v>10</v>
      </c>
      <c r="F12" s="11" t="s">
        <v>10</v>
      </c>
      <c r="G12" s="11" t="s">
        <v>10</v>
      </c>
      <c r="H12" s="11" t="s">
        <v>10</v>
      </c>
      <c r="I12" s="11" t="s">
        <v>10</v>
      </c>
      <c r="J12" s="11" t="s">
        <v>10</v>
      </c>
      <c r="K12" s="11" t="s">
        <v>10</v>
      </c>
    </row>
    <row r="13" spans="1:29">
      <c r="A13" s="66">
        <v>1993</v>
      </c>
      <c r="B13" s="11" t="s">
        <v>10</v>
      </c>
      <c r="C13" s="11" t="s">
        <v>10</v>
      </c>
      <c r="D13" s="11" t="s">
        <v>10</v>
      </c>
      <c r="E13" s="11" t="s">
        <v>10</v>
      </c>
      <c r="F13" s="11" t="s">
        <v>10</v>
      </c>
      <c r="G13" s="11" t="s">
        <v>10</v>
      </c>
      <c r="H13" s="11" t="s">
        <v>10</v>
      </c>
      <c r="I13" s="11" t="s">
        <v>10</v>
      </c>
      <c r="J13" s="11" t="s">
        <v>10</v>
      </c>
      <c r="K13" s="11" t="s">
        <v>10</v>
      </c>
    </row>
    <row r="14" spans="1:29">
      <c r="A14" s="66">
        <v>1994</v>
      </c>
      <c r="B14" s="11" t="s">
        <v>10</v>
      </c>
      <c r="C14" s="11" t="s">
        <v>10</v>
      </c>
      <c r="D14" s="11" t="s">
        <v>10</v>
      </c>
      <c r="E14" s="11" t="s">
        <v>10</v>
      </c>
      <c r="F14" s="11" t="s">
        <v>10</v>
      </c>
      <c r="G14" s="11" t="s">
        <v>10</v>
      </c>
      <c r="H14" s="11" t="s">
        <v>10</v>
      </c>
      <c r="I14" s="11" t="s">
        <v>10</v>
      </c>
      <c r="J14" s="11" t="s">
        <v>10</v>
      </c>
      <c r="K14" s="11" t="s">
        <v>10</v>
      </c>
      <c r="W14" s="91" t="s">
        <v>32</v>
      </c>
    </row>
    <row r="15" spans="1:29">
      <c r="A15" s="66">
        <v>1995</v>
      </c>
      <c r="B15" s="11" t="s">
        <v>10</v>
      </c>
      <c r="C15" s="11" t="s">
        <v>10</v>
      </c>
      <c r="D15" s="11" t="s">
        <v>10</v>
      </c>
      <c r="E15" s="11" t="s">
        <v>10</v>
      </c>
      <c r="F15" s="11" t="s">
        <v>10</v>
      </c>
      <c r="G15" s="11" t="s">
        <v>10</v>
      </c>
      <c r="H15" s="11" t="s">
        <v>10</v>
      </c>
      <c r="I15" s="11" t="s">
        <v>10</v>
      </c>
      <c r="J15" s="11" t="s">
        <v>10</v>
      </c>
      <c r="K15" s="11" t="s">
        <v>10</v>
      </c>
      <c r="N15" s="91" t="s">
        <v>24</v>
      </c>
      <c r="W15" s="91" t="s">
        <v>16</v>
      </c>
      <c r="X15" s="91" t="s">
        <v>8</v>
      </c>
      <c r="Y15" s="91" t="s">
        <v>3</v>
      </c>
      <c r="Z15" s="91" t="s">
        <v>4</v>
      </c>
      <c r="AA15" s="91" t="s">
        <v>17</v>
      </c>
      <c r="AB15" s="91" t="s">
        <v>6</v>
      </c>
      <c r="AC15" s="91" t="s">
        <v>7</v>
      </c>
    </row>
    <row r="16" spans="1:29">
      <c r="A16" s="66">
        <v>1996</v>
      </c>
      <c r="B16" s="11" t="s">
        <v>10</v>
      </c>
      <c r="C16" s="11" t="s">
        <v>10</v>
      </c>
      <c r="D16" s="11" t="s">
        <v>10</v>
      </c>
      <c r="E16" s="11" t="s">
        <v>10</v>
      </c>
      <c r="F16" s="11" t="s">
        <v>10</v>
      </c>
      <c r="G16" s="11" t="s">
        <v>10</v>
      </c>
      <c r="H16" s="11" t="s">
        <v>10</v>
      </c>
      <c r="I16" s="11" t="s">
        <v>10</v>
      </c>
      <c r="J16" s="11" t="s">
        <v>10</v>
      </c>
      <c r="K16" s="11" t="s">
        <v>10</v>
      </c>
      <c r="N16" s="91" t="s">
        <v>16</v>
      </c>
      <c r="O16" s="91" t="s">
        <v>8</v>
      </c>
      <c r="P16" s="91" t="s">
        <v>3</v>
      </c>
      <c r="Q16" s="91" t="s">
        <v>4</v>
      </c>
      <c r="R16" s="91" t="s">
        <v>17</v>
      </c>
      <c r="S16" s="91" t="s">
        <v>6</v>
      </c>
      <c r="T16" s="91" t="s">
        <v>7</v>
      </c>
      <c r="V16" s="91" t="s">
        <v>19</v>
      </c>
      <c r="W16" s="91">
        <f>((B20/B17)^(1/3)-1)*100</f>
        <v>0</v>
      </c>
      <c r="X16" s="91">
        <f>((C20/C17)^(1/3)-1)*100</f>
        <v>-2.708819695839304</v>
      </c>
      <c r="Y16" s="91">
        <f>((D20/D17)^(1/3)-1)*100</f>
        <v>-2.7744164053266518</v>
      </c>
      <c r="Z16" s="91">
        <f>((E20/E17)^(1/3)-1)*100</f>
        <v>-1.7964199007575066</v>
      </c>
      <c r="AA16" s="91">
        <f t="shared" ref="AA16:AC16" si="0">((I20/I17)^(1/3)-1)*100</f>
        <v>-3.525414041615671</v>
      </c>
      <c r="AB16" s="91">
        <f t="shared" si="0"/>
        <v>-7.4270667047328542</v>
      </c>
      <c r="AC16" s="91">
        <f t="shared" si="0"/>
        <v>5.2462172416611885E-2</v>
      </c>
    </row>
    <row r="17" spans="1:29">
      <c r="A17" s="66">
        <v>1997</v>
      </c>
      <c r="B17" s="11">
        <f>'2B'!B17/'2B'!$B17*100</f>
        <v>100</v>
      </c>
      <c r="C17" s="11">
        <f>'2B'!C17/'2B'!$B17*100</f>
        <v>1.4892793676586211</v>
      </c>
      <c r="D17" s="11">
        <f>'2B'!D17/'2B'!$B17*100</f>
        <v>0.21029919741779066</v>
      </c>
      <c r="E17" s="11">
        <f>'2B'!E17/'2B'!$B17*100</f>
        <v>0.60635941550806582</v>
      </c>
      <c r="F17" s="11">
        <f>'2B'!F17/'2B'!$B17*100</f>
        <v>0.17882093027987259</v>
      </c>
      <c r="G17" s="11">
        <f>'2B'!G17/'2B'!$B17*100</f>
        <v>0.13554864048070039</v>
      </c>
      <c r="H17" s="11">
        <f>'2B'!H17/'2B'!$B17*100</f>
        <v>0.29200017226295794</v>
      </c>
      <c r="I17" s="11">
        <f>'2B'!I17/'2B'!$B17*100</f>
        <v>0.67262075473276473</v>
      </c>
      <c r="J17" s="11">
        <f>'2B'!J17/'2B'!$B17*100</f>
        <v>0.33478706883526588</v>
      </c>
      <c r="K17" s="11">
        <f>'2B'!K17/'2B'!$B17*100</f>
        <v>0.33783368589749879</v>
      </c>
      <c r="M17" s="91">
        <v>1998</v>
      </c>
      <c r="N17" s="91">
        <f>((B18/B17)-1)*100</f>
        <v>0</v>
      </c>
      <c r="O17" s="91">
        <f>((C18/C17)-1)*100</f>
        <v>-5.4606790887559375</v>
      </c>
      <c r="P17" s="91">
        <f>((D18/D17)-1)*100</f>
        <v>-14.343530325798159</v>
      </c>
      <c r="Q17" s="91">
        <f>((E18/E17)-1)*100</f>
        <v>0.99959766031756381</v>
      </c>
      <c r="R17" s="91">
        <f t="shared" ref="R17:T32" si="1">((I18/I17)-1)*100</f>
        <v>-8.5072593990395795</v>
      </c>
      <c r="S17" s="91">
        <f t="shared" si="1"/>
        <v>-15.186148557240365</v>
      </c>
      <c r="T17" s="91">
        <f t="shared" si="1"/>
        <v>-1.8886011133525282</v>
      </c>
      <c r="V17" s="91" t="s">
        <v>21</v>
      </c>
      <c r="W17" s="91">
        <f>((B28/B20)^(1/8)-1)*100</f>
        <v>0</v>
      </c>
      <c r="X17" s="91">
        <f>((C28/C20)^(1/8)-1)*100</f>
        <v>-5.2251295568333962</v>
      </c>
      <c r="Y17" s="91">
        <f>((D28/D20)^(1/8)-1)*100</f>
        <v>-7.8451665712240821</v>
      </c>
      <c r="Z17" s="91">
        <f>((E28/E20)^(1/8)-1)*100</f>
        <v>-5.3839630358767714</v>
      </c>
      <c r="AA17" s="91">
        <f t="shared" ref="AA17:AC17" si="2">((I28/I20)^(1/8)-1)*100</f>
        <v>-4.3426326343389494</v>
      </c>
      <c r="AB17" s="91">
        <f t="shared" si="2"/>
        <v>-8.954662228486221</v>
      </c>
      <c r="AC17" s="91">
        <f t="shared" si="2"/>
        <v>-1.5749757779307205</v>
      </c>
    </row>
    <row r="18" spans="1:29">
      <c r="A18" s="66">
        <v>1998</v>
      </c>
      <c r="B18" s="11">
        <f>'2B'!B18/'2B'!$B18*100</f>
        <v>100</v>
      </c>
      <c r="C18" s="11">
        <f>'2B'!C18/'2B'!$B18*100</f>
        <v>1.4079546006557302</v>
      </c>
      <c r="D18" s="11">
        <f>'2B'!D18/'2B'!$B18*100</f>
        <v>0.18013486826125971</v>
      </c>
      <c r="E18" s="11">
        <f>'2B'!E18/'2B'!$B18*100</f>
        <v>0.61242057003859973</v>
      </c>
      <c r="F18" s="11">
        <f>'2B'!F18/'2B'!$B18*100</f>
        <v>0.17777598307040093</v>
      </c>
      <c r="G18" s="11">
        <f>'2B'!G18/'2B'!$B18*100</f>
        <v>0.13048833121466796</v>
      </c>
      <c r="H18" s="11">
        <f>'2B'!H18/'2B'!$B18*100</f>
        <v>0.3041662510297633</v>
      </c>
      <c r="I18" s="11">
        <f>'2B'!I18/'2B'!$B18*100</f>
        <v>0.61539916235587067</v>
      </c>
      <c r="J18" s="11">
        <f>'2B'!J18/'2B'!$B18*100</f>
        <v>0.28394580721151186</v>
      </c>
      <c r="K18" s="11">
        <f>'2B'!K18/'2B'!$B18*100</f>
        <v>0.33145335514435875</v>
      </c>
      <c r="M18" s="91">
        <v>1999</v>
      </c>
      <c r="N18" s="91">
        <f t="shared" ref="N18:Q32" si="3">((B19/B18)-1)*100</f>
        <v>0</v>
      </c>
      <c r="O18" s="91">
        <f t="shared" si="3"/>
        <v>1.4338485609862728</v>
      </c>
      <c r="P18" s="91">
        <f t="shared" si="3"/>
        <v>-0.50505186084989218</v>
      </c>
      <c r="Q18" s="91">
        <f t="shared" si="3"/>
        <v>0.18023183234803231</v>
      </c>
      <c r="R18" s="91">
        <f t="shared" si="1"/>
        <v>3.2489375502946283</v>
      </c>
      <c r="S18" s="91">
        <f t="shared" si="1"/>
        <v>6.4515172011945898</v>
      </c>
      <c r="T18" s="91">
        <f t="shared" si="1"/>
        <v>0.50538691181067907</v>
      </c>
      <c r="V18" s="91" t="s">
        <v>22</v>
      </c>
      <c r="W18" s="91">
        <f>((B33/B28)^(1/5)-1)*100</f>
        <v>0</v>
      </c>
      <c r="X18" s="91">
        <f>((C33/C28)^(1/5)-1)*100</f>
        <v>-6.04820664030985</v>
      </c>
      <c r="Y18" s="91">
        <f>((D33/D28)^(1/5)-1)*100</f>
        <v>-6.1841147934341141</v>
      </c>
      <c r="Z18" s="91">
        <f>((E33/E28)^(1/5)-1)*100</f>
        <v>-6.3669989975323809</v>
      </c>
      <c r="AA18" s="91">
        <f t="shared" ref="AA18:AC18" si="4">((I33/I28)^(1/5)-1)*100</f>
        <v>-5.7422031744167823</v>
      </c>
      <c r="AB18" s="91">
        <f t="shared" si="4"/>
        <v>-4.9951767287873095</v>
      </c>
      <c r="AC18" s="91">
        <f t="shared" si="4"/>
        <v>-6.0637429326679264</v>
      </c>
    </row>
    <row r="19" spans="1:29">
      <c r="A19" s="66">
        <v>1999</v>
      </c>
      <c r="B19" s="11">
        <f>'2B'!B19/'2B'!$B19*100</f>
        <v>100</v>
      </c>
      <c r="C19" s="11">
        <f>'2B'!C19/'2B'!$B19*100</f>
        <v>1.4281425374365724</v>
      </c>
      <c r="D19" s="11">
        <f>'2B'!D19/'2B'!$B19*100</f>
        <v>0.17922509375706672</v>
      </c>
      <c r="E19" s="11">
        <f>'2B'!E19/'2B'!$B19*100</f>
        <v>0.61352434685365653</v>
      </c>
      <c r="F19" s="11">
        <f>'2B'!F19/'2B'!$B19*100</f>
        <v>0.15355518556325912</v>
      </c>
      <c r="G19" s="11">
        <f>'2B'!G19/'2B'!$B19*100</f>
        <v>0.15211403397287579</v>
      </c>
      <c r="H19" s="11">
        <f>'2B'!H19/'2B'!$B19*100</f>
        <v>0.30786479947584638</v>
      </c>
      <c r="I19" s="11">
        <f>'2B'!I19/'2B'!$B19*100</f>
        <v>0.6353930968258491</v>
      </c>
      <c r="J19" s="11">
        <f>'2B'!J19/'2B'!$B19*100</f>
        <v>0.30226461980583336</v>
      </c>
      <c r="K19" s="11">
        <f>'2B'!K19/'2B'!$B19*100</f>
        <v>0.33312847702001575</v>
      </c>
      <c r="M19" s="91">
        <v>2000</v>
      </c>
      <c r="N19" s="91">
        <f t="shared" si="3"/>
        <v>0</v>
      </c>
      <c r="O19" s="91">
        <f t="shared" si="3"/>
        <v>-3.9659964657394076</v>
      </c>
      <c r="P19" s="91">
        <f t="shared" si="3"/>
        <v>7.840147951238996</v>
      </c>
      <c r="Q19" s="91">
        <f t="shared" si="3"/>
        <v>-6.399043691921924</v>
      </c>
      <c r="R19" s="91">
        <f t="shared" si="1"/>
        <v>-4.9468438070908283</v>
      </c>
      <c r="S19" s="91">
        <f t="shared" si="1"/>
        <v>-12.131455089577891</v>
      </c>
      <c r="T19" s="91">
        <f t="shared" si="1"/>
        <v>1.5721239412688215</v>
      </c>
      <c r="V19" s="91" t="s">
        <v>18</v>
      </c>
      <c r="W19" s="91">
        <f>((B33/B17)^(1/16)-1)*100</f>
        <v>0</v>
      </c>
      <c r="X19" s="91">
        <f>((C33/C17)^(1/16)-1)*100</f>
        <v>-5.0175841640476948</v>
      </c>
      <c r="Y19" s="91">
        <f>((D33/D17)^(1/16)-1)*100</f>
        <v>-6.3938715991895601</v>
      </c>
      <c r="Z19" s="91">
        <f>((E33/E17)^(1/16)-1)*100</f>
        <v>-5.0318902079761969</v>
      </c>
      <c r="AA19" s="91">
        <f t="shared" ref="AA19:AC19" si="5">((I33/I17)^(1/16)-1)*100</f>
        <v>-4.6302187191295303</v>
      </c>
      <c r="AB19" s="91">
        <f t="shared" si="5"/>
        <v>-7.447079497851683</v>
      </c>
      <c r="AC19" s="91">
        <f t="shared" si="5"/>
        <v>-2.7015627076657944</v>
      </c>
    </row>
    <row r="20" spans="1:29">
      <c r="A20" s="66">
        <v>2000</v>
      </c>
      <c r="B20" s="11">
        <f>'2B'!B20/'2B'!$B20*100</f>
        <v>100</v>
      </c>
      <c r="C20" s="11">
        <f>'2B'!C20/'2B'!$B20*100</f>
        <v>1.3715024548761168</v>
      </c>
      <c r="D20" s="11">
        <f>'2B'!D20/'2B'!$B20*100</f>
        <v>0.19327660627336757</v>
      </c>
      <c r="E20" s="11">
        <f>'2B'!E20/'2B'!$B20*100</f>
        <v>0.57426465583791242</v>
      </c>
      <c r="F20" s="11">
        <f>'2B'!F20/'2B'!$B20*100</f>
        <v>0.13929828559137941</v>
      </c>
      <c r="G20" s="11">
        <f>'2B'!G20/'2B'!$B20*100</f>
        <v>0.1384898328608585</v>
      </c>
      <c r="H20" s="11">
        <f>'2B'!H20/'2B'!$B20*100</f>
        <v>0.29648593799882006</v>
      </c>
      <c r="I20" s="11">
        <f>'2B'!I20/'2B'!$B20*100</f>
        <v>0.60396119276483695</v>
      </c>
      <c r="J20" s="11">
        <f>'2B'!J20/'2B'!$B20*100</f>
        <v>0.26559552320240531</v>
      </c>
      <c r="K20" s="11">
        <f>'2B'!K20/'2B'!$B20*100</f>
        <v>0.33836566956243158</v>
      </c>
      <c r="M20" s="91">
        <v>2001</v>
      </c>
      <c r="N20" s="91">
        <f t="shared" si="3"/>
        <v>0</v>
      </c>
      <c r="O20" s="91">
        <f t="shared" si="3"/>
        <v>-1.164736947912548</v>
      </c>
      <c r="P20" s="91">
        <f t="shared" si="3"/>
        <v>-14.616982234983656</v>
      </c>
      <c r="Q20" s="91">
        <f t="shared" si="3"/>
        <v>1.8264819323499104E-2</v>
      </c>
      <c r="R20" s="91">
        <f t="shared" si="1"/>
        <v>2.015348521374194</v>
      </c>
      <c r="S20" s="91">
        <f t="shared" si="1"/>
        <v>-3.615922834097185</v>
      </c>
      <c r="T20" s="91">
        <f t="shared" si="1"/>
        <v>6.4355382642794723</v>
      </c>
    </row>
    <row r="21" spans="1:29">
      <c r="A21" s="66">
        <v>2001</v>
      </c>
      <c r="B21" s="11">
        <f>'2B'!B21/'2B'!$B21*100</f>
        <v>100</v>
      </c>
      <c r="C21" s="11">
        <f>'2B'!C21/'2B'!$B21*100</f>
        <v>1.3555280590426471</v>
      </c>
      <c r="D21" s="11">
        <f>'2B'!D21/'2B'!$B21*100</f>
        <v>0.16502539907001013</v>
      </c>
      <c r="E21" s="11">
        <f>'2B'!E21/'2B'!$B21*100</f>
        <v>0.57436954423973996</v>
      </c>
      <c r="F21" s="11">
        <f>'2B'!F21/'2B'!$B21*100</f>
        <v>0.1570488163158823</v>
      </c>
      <c r="G21" s="11">
        <f>'2B'!G21/'2B'!$B21*100</f>
        <v>0.12574466634352705</v>
      </c>
      <c r="H21" s="11">
        <f>'2B'!H21/'2B'!$B21*100</f>
        <v>0.29157606158033056</v>
      </c>
      <c r="I21" s="11">
        <f>'2B'!I21/'2B'!$B21*100</f>
        <v>0.61613311573289697</v>
      </c>
      <c r="J21" s="11">
        <f>'2B'!J21/'2B'!$B21*100</f>
        <v>0.25599179403258965</v>
      </c>
      <c r="K21" s="11">
        <f>'2B'!K21/'2B'!$B21*100</f>
        <v>0.36014132170030733</v>
      </c>
      <c r="M21" s="91">
        <v>2002</v>
      </c>
      <c r="N21" s="91">
        <f t="shared" si="3"/>
        <v>0</v>
      </c>
      <c r="O21" s="91">
        <f t="shared" si="3"/>
        <v>-0.36211485317522163</v>
      </c>
      <c r="P21" s="91">
        <f t="shared" si="3"/>
        <v>-3.8883623809116252</v>
      </c>
      <c r="Q21" s="91">
        <f t="shared" si="3"/>
        <v>-0.3842927668499363</v>
      </c>
      <c r="R21" s="91">
        <f t="shared" si="1"/>
        <v>0.60303165245694235</v>
      </c>
      <c r="S21" s="91">
        <f t="shared" si="1"/>
        <v>-2.0153187487375601</v>
      </c>
      <c r="T21" s="91">
        <f t="shared" si="1"/>
        <v>2.4667282160186099</v>
      </c>
    </row>
    <row r="22" spans="1:29">
      <c r="A22" s="66">
        <v>2002</v>
      </c>
      <c r="B22" s="11">
        <f>'2B'!B22/'2B'!$B22*100</f>
        <v>100</v>
      </c>
      <c r="C22" s="11">
        <f>'2B'!C22/'2B'!$B22*100</f>
        <v>1.3506194906018958</v>
      </c>
      <c r="D22" s="11">
        <f>'2B'!D22/'2B'!$B22*100</f>
        <v>0.15860861353362257</v>
      </c>
      <c r="E22" s="11">
        <f>'2B'!E22/'2B'!$B22*100</f>
        <v>0.57216228362623767</v>
      </c>
      <c r="F22" s="11">
        <f>'2B'!F22/'2B'!$B22*100</f>
        <v>0.1426917586307172</v>
      </c>
      <c r="G22" s="11">
        <f>'2B'!G22/'2B'!$B22*100</f>
        <v>0.13000600691456082</v>
      </c>
      <c r="H22" s="11">
        <f>'2B'!H22/'2B'!$B22*100</f>
        <v>0.29948287662179351</v>
      </c>
      <c r="I22" s="11">
        <f>'2B'!I22/'2B'!$B22*100</f>
        <v>0.61984859344203547</v>
      </c>
      <c r="J22" s="11">
        <f>'2B'!J22/'2B'!$B22*100</f>
        <v>0.25083274341222123</v>
      </c>
      <c r="K22" s="11">
        <f>'2B'!K22/'2B'!$B22*100</f>
        <v>0.36902502930023118</v>
      </c>
      <c r="M22" s="91">
        <v>2003</v>
      </c>
      <c r="N22" s="91">
        <f t="shared" si="3"/>
        <v>0</v>
      </c>
      <c r="O22" s="91">
        <f t="shared" si="3"/>
        <v>-4.0459318592457656</v>
      </c>
      <c r="P22" s="91">
        <f t="shared" si="3"/>
        <v>-0.80773350581626602</v>
      </c>
      <c r="Q22" s="91">
        <f t="shared" si="3"/>
        <v>-4.8839643752596418</v>
      </c>
      <c r="R22" s="91">
        <f t="shared" si="1"/>
        <v>-4.1009703854757218</v>
      </c>
      <c r="S22" s="91">
        <f t="shared" si="1"/>
        <v>-9.8196476073985082</v>
      </c>
      <c r="T22" s="91">
        <f t="shared" si="1"/>
        <v>-0.21627124770526862</v>
      </c>
    </row>
    <row r="23" spans="1:29">
      <c r="A23" s="66">
        <v>2003</v>
      </c>
      <c r="B23" s="11">
        <f>'2B'!B23/'2B'!$B23*100</f>
        <v>100</v>
      </c>
      <c r="C23" s="11">
        <f>'2B'!C23/'2B'!$B23*100</f>
        <v>1.2959743463344509</v>
      </c>
      <c r="D23" s="11">
        <f>'2B'!D23/'2B'!$B23*100</f>
        <v>0.15732747861900087</v>
      </c>
      <c r="E23" s="11">
        <f>'2B'!E23/'2B'!$B23*100</f>
        <v>0.54421808152526019</v>
      </c>
      <c r="F23" s="11">
        <f>'2B'!F23/'2B'!$B23*100</f>
        <v>0.13260264768601768</v>
      </c>
      <c r="G23" s="11">
        <f>'2B'!G23/'2B'!$B23*100</f>
        <v>0.13740446534614265</v>
      </c>
      <c r="H23" s="11">
        <f>'2B'!H23/'2B'!$B23*100</f>
        <v>0.27420190845977893</v>
      </c>
      <c r="I23" s="11">
        <f>'2B'!I23/'2B'!$B23*100</f>
        <v>0.5944287861901898</v>
      </c>
      <c r="J23" s="11">
        <f>'2B'!J23/'2B'!$B23*100</f>
        <v>0.226201851925171</v>
      </c>
      <c r="K23" s="11">
        <f>'2B'!K23/'2B'!$B23*100</f>
        <v>0.36822693426501885</v>
      </c>
      <c r="M23" s="91">
        <v>2004</v>
      </c>
      <c r="N23" s="91">
        <f t="shared" si="3"/>
        <v>0</v>
      </c>
      <c r="O23" s="91">
        <f t="shared" si="3"/>
        <v>-3.2261121265647175</v>
      </c>
      <c r="P23" s="91">
        <f t="shared" si="3"/>
        <v>-8.8891540559412068</v>
      </c>
      <c r="Q23" s="91">
        <f t="shared" si="3"/>
        <v>-2.6627628974888462</v>
      </c>
      <c r="R23" s="91">
        <f t="shared" si="1"/>
        <v>-2.2430384851763074</v>
      </c>
      <c r="S23" s="91">
        <f t="shared" si="1"/>
        <v>-0.45746777164452634</v>
      </c>
      <c r="T23" s="91">
        <f t="shared" si="1"/>
        <v>-3.3422990536375097</v>
      </c>
    </row>
    <row r="24" spans="1:29">
      <c r="A24" s="66">
        <v>2004</v>
      </c>
      <c r="B24" s="11">
        <f>'2B'!B24/'2B'!$B24*100</f>
        <v>100</v>
      </c>
      <c r="C24" s="11">
        <f>'2B'!C24/'2B'!$B24*100</f>
        <v>1.2541647607901873</v>
      </c>
      <c r="D24" s="11">
        <f>'2B'!D24/'2B'!$B24*100</f>
        <v>0.14334239667222992</v>
      </c>
      <c r="E24" s="11">
        <f>'2B'!E24/'2B'!$B24*100</f>
        <v>0.52972684436897999</v>
      </c>
      <c r="F24" s="11">
        <f>'2B'!F24/'2B'!$B24*100</f>
        <v>0.13727578332620732</v>
      </c>
      <c r="G24" s="11">
        <f>'2B'!G24/'2B'!$B24*100</f>
        <v>0.12722329087874587</v>
      </c>
      <c r="H24" s="11">
        <f>'2B'!H24/'2B'!$B24*100</f>
        <v>0.26522777016402682</v>
      </c>
      <c r="I24" s="11">
        <f>'2B'!I24/'2B'!$B24*100</f>
        <v>0.58109551974897744</v>
      </c>
      <c r="J24" s="11">
        <f>'2B'!J24/'2B'!$B24*100</f>
        <v>0.22516705135375029</v>
      </c>
      <c r="K24" s="11">
        <f>'2B'!K24/'2B'!$B24*100</f>
        <v>0.35591968892584069</v>
      </c>
      <c r="M24" s="91">
        <v>2005</v>
      </c>
      <c r="N24" s="91">
        <f t="shared" si="3"/>
        <v>0</v>
      </c>
      <c r="O24" s="91">
        <f t="shared" si="3"/>
        <v>-6.0448703450142087</v>
      </c>
      <c r="P24" s="91">
        <f t="shared" si="3"/>
        <v>-2.5681880725094364</v>
      </c>
      <c r="Q24" s="91">
        <f t="shared" si="3"/>
        <v>-5.8763960059330049</v>
      </c>
      <c r="R24" s="91">
        <f t="shared" si="1"/>
        <v>-7.0560661457685363</v>
      </c>
      <c r="S24" s="91">
        <f t="shared" si="1"/>
        <v>-19.230512340262795</v>
      </c>
      <c r="T24" s="91">
        <f t="shared" si="1"/>
        <v>0.64820039305852895</v>
      </c>
    </row>
    <row r="25" spans="1:29">
      <c r="A25" s="66">
        <v>2005</v>
      </c>
      <c r="B25" s="11">
        <f>'2B'!B25/'2B'!$B25*100</f>
        <v>100</v>
      </c>
      <c r="C25" s="11">
        <f>'2B'!C25/'2B'!$B25*100</f>
        <v>1.178352127087563</v>
      </c>
      <c r="D25" s="11">
        <f>'2B'!D25/'2B'!$B25*100</f>
        <v>0.13966109433804455</v>
      </c>
      <c r="E25" s="11">
        <f>'2B'!E25/'2B'!$B25*100</f>
        <v>0.49859799724412629</v>
      </c>
      <c r="F25" s="11">
        <f>'2B'!F25/'2B'!$B25*100</f>
        <v>0.13246324383888983</v>
      </c>
      <c r="G25" s="11">
        <f>'2B'!G25/'2B'!$B25*100</f>
        <v>0.1137628600207449</v>
      </c>
      <c r="H25" s="11">
        <f>'2B'!H25/'2B'!$B25*100</f>
        <v>0.25236312620970575</v>
      </c>
      <c r="I25" s="11">
        <f>'2B'!I25/'2B'!$B25*100</f>
        <v>0.54009303550539212</v>
      </c>
      <c r="J25" s="11">
        <f>'2B'!J25/'2B'!$B25*100</f>
        <v>0.18186627375696146</v>
      </c>
      <c r="K25" s="11">
        <f>'2B'!K25/'2B'!$B25*100</f>
        <v>0.35822676174843066</v>
      </c>
      <c r="M25" s="91">
        <v>2006</v>
      </c>
      <c r="N25" s="91">
        <f t="shared" si="3"/>
        <v>0</v>
      </c>
      <c r="O25" s="91">
        <f t="shared" si="3"/>
        <v>-4.447144463967156</v>
      </c>
      <c r="P25" s="91">
        <f t="shared" si="3"/>
        <v>-4.7974590195865252</v>
      </c>
      <c r="Q25" s="91">
        <f t="shared" si="3"/>
        <v>-2.6235658300733267</v>
      </c>
      <c r="R25" s="91">
        <f t="shared" si="1"/>
        <v>-6.0400317702647648</v>
      </c>
      <c r="S25" s="91">
        <f t="shared" si="1"/>
        <v>-9.6011847206281189</v>
      </c>
      <c r="T25" s="91">
        <f t="shared" si="1"/>
        <v>-4.2320886277699588</v>
      </c>
    </row>
    <row r="26" spans="1:29">
      <c r="A26" s="66">
        <v>2006</v>
      </c>
      <c r="B26" s="235">
        <f>'2B'!B26/'2B'!$B26*100</f>
        <v>100</v>
      </c>
      <c r="C26" s="235">
        <f>'2B'!C26/'2B'!$B26*100</f>
        <v>1.1259491057017492</v>
      </c>
      <c r="D26" s="235">
        <f>'2B'!D26/'2B'!$B26*100</f>
        <v>0.13296091057087078</v>
      </c>
      <c r="E26" s="235">
        <f>'2B'!E26/'2B'!$B26*100</f>
        <v>0.48551695055899946</v>
      </c>
      <c r="F26" s="235">
        <f>'2B'!F26/'2B'!$B26*100</f>
        <v>0.11719104724070013</v>
      </c>
      <c r="G26" s="235">
        <f>'2B'!G26/'2B'!$B26*100</f>
        <v>0.10625739130797839</v>
      </c>
      <c r="H26" s="235">
        <f>'2B'!H26/'2B'!$B26*100</f>
        <v>0.262068512010321</v>
      </c>
      <c r="I26" s="235">
        <f>'2B'!I26/'2B'!$B26*100</f>
        <v>0.50747124457187909</v>
      </c>
      <c r="J26" s="235">
        <f>'2B'!J26/'2B'!$B26*100</f>
        <v>0.16440495686903236</v>
      </c>
      <c r="K26" s="235">
        <f>'2B'!K26/'2B'!$B26*100</f>
        <v>0.34306628770284675</v>
      </c>
      <c r="M26" s="91">
        <v>2007</v>
      </c>
      <c r="N26" s="91">
        <f t="shared" si="3"/>
        <v>0</v>
      </c>
      <c r="O26" s="91">
        <f t="shared" si="3"/>
        <v>-12.928571990952275</v>
      </c>
      <c r="P26" s="91">
        <f t="shared" si="3"/>
        <v>-17.700866825522464</v>
      </c>
      <c r="Q26" s="91">
        <f t="shared" si="3"/>
        <v>-14.159983208168869</v>
      </c>
      <c r="R26" s="91">
        <f t="shared" si="1"/>
        <v>-10.500060624118179</v>
      </c>
      <c r="S26" s="91">
        <f t="shared" si="1"/>
        <v>-11.286467789198984</v>
      </c>
      <c r="T26" s="91">
        <f t="shared" si="1"/>
        <v>-10.123196908005704</v>
      </c>
    </row>
    <row r="27" spans="1:29">
      <c r="A27" s="66">
        <v>2007</v>
      </c>
      <c r="B27" s="11">
        <f>'2B'!B27/'2B'!$B27*100</f>
        <v>100</v>
      </c>
      <c r="C27" s="11">
        <f>'2B'!C27/'2B'!$B27*100</f>
        <v>0.98037996498961522</v>
      </c>
      <c r="D27" s="11">
        <f>'2B'!D27/'2B'!$B27*100</f>
        <v>0.10942567686071893</v>
      </c>
      <c r="E27" s="11">
        <f>'2B'!E27/'2B'!$B27*100</f>
        <v>0.41676783188703159</v>
      </c>
      <c r="F27" s="11">
        <f>'2B'!F27/'2B'!$B27*100</f>
        <v>9.4468518741344848E-2</v>
      </c>
      <c r="G27" s="11">
        <f>'2B'!G27/'2B'!$B27*100</f>
        <v>7.9674311312491489E-2</v>
      </c>
      <c r="H27" s="11">
        <f>'2B'!H27/'2B'!$B27*100</f>
        <v>0.2426164254810626</v>
      </c>
      <c r="I27" s="11">
        <f>'2B'!I27/'2B'!$B27*100</f>
        <v>0.45418645624186477</v>
      </c>
      <c r="J27" s="11">
        <f>'2B'!J27/'2B'!$B27*100</f>
        <v>0.14584944436816255</v>
      </c>
      <c r="K27" s="11">
        <f>'2B'!K27/'2B'!$B27*100</f>
        <v>0.30833701187370222</v>
      </c>
      <c r="M27" s="91">
        <v>2008</v>
      </c>
      <c r="N27" s="91">
        <f t="shared" si="3"/>
        <v>0</v>
      </c>
      <c r="O27" s="91">
        <f t="shared" si="3"/>
        <v>-8.9357831107259145</v>
      </c>
      <c r="P27" s="91">
        <f t="shared" si="3"/>
        <v>-8.1233826372873796</v>
      </c>
      <c r="Q27" s="91">
        <f t="shared" si="3"/>
        <v>-11.501496936472677</v>
      </c>
      <c r="R27" s="91">
        <f t="shared" si="1"/>
        <v>-6.7771773151603103</v>
      </c>
      <c r="S27" s="91">
        <f t="shared" si="1"/>
        <v>-14.023915430968103</v>
      </c>
      <c r="T27" s="91">
        <f t="shared" si="1"/>
        <v>-3.3493282831891569</v>
      </c>
    </row>
    <row r="28" spans="1:29">
      <c r="A28" s="66">
        <v>2008</v>
      </c>
      <c r="B28" s="11">
        <f>'2B'!B28/'2B'!$B28*100</f>
        <v>100</v>
      </c>
      <c r="C28" s="11">
        <f>'2B'!C28/'2B'!$B28*100</f>
        <v>0.89277533765713257</v>
      </c>
      <c r="D28" s="11">
        <f>'2B'!D28/'2B'!$B28*100</f>
        <v>0.10053661042588109</v>
      </c>
      <c r="E28" s="11">
        <f>'2B'!E28/'2B'!$B28*100</f>
        <v>0.36883329247034108</v>
      </c>
      <c r="F28" s="11">
        <f>'2B'!F28/'2B'!$B28*100</f>
        <v>7.2495554976592075E-2</v>
      </c>
      <c r="G28" s="11">
        <f>'2B'!G28/'2B'!$B28*100</f>
        <v>6.837513216490769E-2</v>
      </c>
      <c r="H28" s="11">
        <f>'2B'!H28/'2B'!$B28*100</f>
        <v>0.2279626053288413</v>
      </c>
      <c r="I28" s="11">
        <f>'2B'!I28/'2B'!$B28*100</f>
        <v>0.42340543476091058</v>
      </c>
      <c r="J28" s="11">
        <f>'2B'!J28/'2B'!$B28*100</f>
        <v>0.12539564163343456</v>
      </c>
      <c r="K28" s="11">
        <f>'2B'!K28/'2B'!$B28*100</f>
        <v>0.298009793127476</v>
      </c>
      <c r="M28" s="91">
        <v>2009</v>
      </c>
      <c r="N28" s="91">
        <f t="shared" si="3"/>
        <v>0</v>
      </c>
      <c r="O28" s="91">
        <f t="shared" si="3"/>
        <v>-14.361818849149765</v>
      </c>
      <c r="P28" s="91">
        <f t="shared" si="3"/>
        <v>-22.552741890567919</v>
      </c>
      <c r="Q28" s="91">
        <f t="shared" si="3"/>
        <v>-19.329493946762099</v>
      </c>
      <c r="R28" s="91">
        <f t="shared" si="1"/>
        <v>-8.0895054044290085</v>
      </c>
      <c r="S28" s="91">
        <f t="shared" si="1"/>
        <v>-11.955784714979856</v>
      </c>
      <c r="T28" s="91">
        <f t="shared" si="1"/>
        <v>-6.4626643204743868</v>
      </c>
    </row>
    <row r="29" spans="1:29">
      <c r="A29" s="66">
        <v>2009</v>
      </c>
      <c r="B29" s="11">
        <f>'2B'!B29/'2B'!$B29*100</f>
        <v>100</v>
      </c>
      <c r="C29" s="11">
        <f>'2B'!C29/'2B'!$B29*100</f>
        <v>0.76455656093293001</v>
      </c>
      <c r="D29" s="11">
        <f>'2B'!D29/'2B'!$B29*100</f>
        <v>7.7862848171006332E-2</v>
      </c>
      <c r="E29" s="11">
        <f>'2B'!E29/'2B'!$B29*100</f>
        <v>0.29753968352864313</v>
      </c>
      <c r="F29" s="11">
        <f>'2B'!F29/'2B'!$B29*100</f>
        <v>5.1223215732069199E-2</v>
      </c>
      <c r="G29" s="11">
        <f>'2B'!G29/'2B'!$B29*100</f>
        <v>5.9545319417470544E-2</v>
      </c>
      <c r="H29" s="11">
        <f>'2B'!H29/'2B'!$B29*100</f>
        <v>0.18677114837910341</v>
      </c>
      <c r="I29" s="11">
        <f>'2B'!I29/'2B'!$B29*100</f>
        <v>0.38915402923328057</v>
      </c>
      <c r="J29" s="11">
        <f>'2B'!J29/'2B'!$B29*100</f>
        <v>0.11040360867777348</v>
      </c>
      <c r="K29" s="11">
        <f>'2B'!K29/'2B'!$B29*100</f>
        <v>0.27875042055550708</v>
      </c>
      <c r="M29" s="91">
        <v>2010</v>
      </c>
      <c r="N29" s="91">
        <f t="shared" si="3"/>
        <v>0</v>
      </c>
      <c r="O29" s="91">
        <f t="shared" si="3"/>
        <v>-3.6966231807262995</v>
      </c>
      <c r="P29" s="91">
        <f t="shared" si="3"/>
        <v>-3.1595392013578638</v>
      </c>
      <c r="Q29" s="91">
        <f t="shared" si="3"/>
        <v>2.8202812261505894</v>
      </c>
      <c r="R29" s="91">
        <f t="shared" si="1"/>
        <v>-8.7867839251799413</v>
      </c>
      <c r="S29" s="91">
        <f t="shared" si="1"/>
        <v>-8.3109827884286105</v>
      </c>
      <c r="T29" s="91">
        <f t="shared" si="1"/>
        <v>-8.9752326543537144</v>
      </c>
    </row>
    <row r="30" spans="1:29">
      <c r="A30" s="66">
        <v>2010</v>
      </c>
      <c r="B30" s="11">
        <f>'2B'!B30/'2B'!$B30*100</f>
        <v>100</v>
      </c>
      <c r="C30" s="11">
        <f>'2B'!C30/'2B'!$B30*100</f>
        <v>0.73629378587171956</v>
      </c>
      <c r="D30" s="11">
        <f>'2B'!D30/'2B'!$B30*100</f>
        <v>7.5402740959749637E-2</v>
      </c>
      <c r="E30" s="11">
        <f>'2B'!E30/'2B'!$B30*100</f>
        <v>0.30593113936354932</v>
      </c>
      <c r="F30" s="11">
        <f>'2B'!F30/'2B'!$B30*100</f>
        <v>5.7921708141658208E-2</v>
      </c>
      <c r="G30" s="11">
        <f>'2B'!G30/'2B'!$B30*100</f>
        <v>5.9785654839750665E-2</v>
      </c>
      <c r="H30" s="11">
        <f>'2B'!H30/'2B'!$B30*100</f>
        <v>0.18822377638214044</v>
      </c>
      <c r="I30" s="11">
        <f>'2B'!I30/'2B'!$B30*100</f>
        <v>0.35495990554842061</v>
      </c>
      <c r="J30" s="11">
        <f>'2B'!J30/'2B'!$B30*100</f>
        <v>0.10122798376275964</v>
      </c>
      <c r="K30" s="11">
        <f>'2B'!K30/'2B'!$B30*100</f>
        <v>0.2537319217856609</v>
      </c>
      <c r="M30" s="91">
        <v>2011</v>
      </c>
      <c r="N30" s="91">
        <f t="shared" si="3"/>
        <v>0</v>
      </c>
      <c r="O30" s="91">
        <f t="shared" si="3"/>
        <v>-0.74388603044660551</v>
      </c>
      <c r="P30" s="91">
        <f t="shared" si="3"/>
        <v>13.225606747194929</v>
      </c>
      <c r="Q30" s="91">
        <f t="shared" si="3"/>
        <v>-5.9443743091066477</v>
      </c>
      <c r="R30" s="91">
        <f t="shared" si="1"/>
        <v>0.7708012643197204</v>
      </c>
      <c r="S30" s="91">
        <f t="shared" si="1"/>
        <v>2.325317320164566</v>
      </c>
      <c r="T30" s="91">
        <f t="shared" si="1"/>
        <v>0.15061707561945248</v>
      </c>
    </row>
    <row r="31" spans="1:29">
      <c r="A31" s="66">
        <v>2011</v>
      </c>
      <c r="B31" s="11">
        <f>'2B'!B31/'2B'!$B31*100</f>
        <v>100</v>
      </c>
      <c r="C31" s="11">
        <f>'2B'!C31/'2B'!$B31*100</f>
        <v>0.73081659925557341</v>
      </c>
      <c r="D31" s="11">
        <f>'2B'!D31/'2B'!$B31*100</f>
        <v>8.5375210955692199E-2</v>
      </c>
      <c r="E31" s="11">
        <f>'2B'!E31/'2B'!$B31*100</f>
        <v>0.28774544731166524</v>
      </c>
      <c r="F31" s="11">
        <f>'2B'!F31/'2B'!$B31*100</f>
        <v>5.7992485885784512E-2</v>
      </c>
      <c r="G31" s="11">
        <f>'2B'!G31/'2B'!$B31*100</f>
        <v>5.0982028920403322E-2</v>
      </c>
      <c r="H31" s="11">
        <f>'2B'!H31/'2B'!$B31*100</f>
        <v>0.1787709325054774</v>
      </c>
      <c r="I31" s="11">
        <f>'2B'!I31/'2B'!$B31*100</f>
        <v>0.35769594098821594</v>
      </c>
      <c r="J31" s="11">
        <f>'2B'!J31/'2B'!$B31*100</f>
        <v>0.10358185560204847</v>
      </c>
      <c r="K31" s="11">
        <f>'2B'!K31/'2B'!$B31*100</f>
        <v>0.25411408538616748</v>
      </c>
      <c r="M31" s="91">
        <v>2012</v>
      </c>
      <c r="N31" s="91">
        <f t="shared" si="3"/>
        <v>0</v>
      </c>
      <c r="O31" s="91">
        <f t="shared" si="3"/>
        <v>-10.755228366152537</v>
      </c>
      <c r="P31" s="91">
        <f t="shared" si="3"/>
        <v>-14.646315908248154</v>
      </c>
      <c r="Q31" s="91">
        <f t="shared" si="3"/>
        <v>-11.036799941249964</v>
      </c>
      <c r="R31" s="91">
        <f t="shared" si="1"/>
        <v>-9.5999920013268074</v>
      </c>
      <c r="S31" s="91">
        <f t="shared" si="1"/>
        <v>-8.5028248960868034</v>
      </c>
      <c r="T31" s="91">
        <f t="shared" si="1"/>
        <v>-10.047218704614746</v>
      </c>
    </row>
    <row r="32" spans="1:29">
      <c r="A32" s="66">
        <v>2012</v>
      </c>
      <c r="B32" s="11">
        <f>'2B'!B32/'2B'!$B32*100</f>
        <v>100</v>
      </c>
      <c r="C32" s="11">
        <f>'2B'!C32/'2B'!$B32*100</f>
        <v>0.65221560506788667</v>
      </c>
      <c r="D32" s="11">
        <f>'2B'!D32/'2B'!$B32*100</f>
        <v>7.2870887851788232E-2</v>
      </c>
      <c r="E32" s="11">
        <f>'2B'!E32/'2B'!$B32*100</f>
        <v>0.25598755795182193</v>
      </c>
      <c r="F32" s="11">
        <f>'2B'!F32/'2B'!$B32*100</f>
        <v>3.5555238079600739E-2</v>
      </c>
      <c r="G32" s="11">
        <f>'2B'!G32/'2B'!$B32*100</f>
        <v>5.0806497070184052E-2</v>
      </c>
      <c r="H32" s="11">
        <f>'2B'!H32/'2B'!$B32*100</f>
        <v>0.16962582280203714</v>
      </c>
      <c r="I32" s="11">
        <f>'2B'!I32/'2B'!$B32*100</f>
        <v>0.32335715926427655</v>
      </c>
      <c r="J32" s="11">
        <f>'2B'!J32/'2B'!$B32*100</f>
        <v>9.4774471796088805E-2</v>
      </c>
      <c r="K32" s="11">
        <f>'2B'!K32/'2B'!$B32*100</f>
        <v>0.22858268746818777</v>
      </c>
      <c r="M32" s="91">
        <v>2013</v>
      </c>
      <c r="N32" s="91">
        <f t="shared" si="3"/>
        <v>0</v>
      </c>
      <c r="O32" s="91">
        <f t="shared" si="3"/>
        <v>0.20199558245888038</v>
      </c>
      <c r="P32" s="91">
        <f t="shared" si="3"/>
        <v>0.2656287887809361</v>
      </c>
      <c r="Q32" s="91">
        <f t="shared" si="3"/>
        <v>3.6945600489065811</v>
      </c>
      <c r="R32" s="91">
        <f t="shared" si="1"/>
        <v>-2.5772534035278905</v>
      </c>
      <c r="S32" s="91">
        <f t="shared" si="1"/>
        <v>2.4045707377963188</v>
      </c>
      <c r="T32" s="91">
        <f t="shared" si="1"/>
        <v>-4.6428068223130285</v>
      </c>
    </row>
    <row r="33" spans="1:20">
      <c r="A33" s="66">
        <v>2013</v>
      </c>
      <c r="B33" s="11">
        <f>'2B'!B33/'2B'!$B33*100</f>
        <v>100</v>
      </c>
      <c r="C33" s="11">
        <f>'2B'!C33/'2B'!$B33*100</f>
        <v>0.65353305177823129</v>
      </c>
      <c r="D33" s="11">
        <f>'2B'!D33/'2B'!$B33*100</f>
        <v>7.3064453908562851E-2</v>
      </c>
      <c r="E33" s="11">
        <f>'2B'!E33/'2B'!$B33*100</f>
        <v>0.26544517199808154</v>
      </c>
      <c r="F33" s="11">
        <f>'2B'!F33/'2B'!$B33*100</f>
        <v>3.4454247072478267E-2</v>
      </c>
      <c r="G33" s="11">
        <f>'2B'!G33/'2B'!$B33*100</f>
        <v>5.6691983388226633E-2</v>
      </c>
      <c r="H33" s="11">
        <f>'2B'!H33/'2B'!$B33*100</f>
        <v>0.17429056258624034</v>
      </c>
      <c r="I33" s="11">
        <f>'2B'!I33/'2B'!$B33*100</f>
        <v>0.31502342587158688</v>
      </c>
      <c r="J33" s="11">
        <f>'2B'!J33/'2B'!$B33*100</f>
        <v>9.7053391011798579E-2</v>
      </c>
      <c r="K33" s="11">
        <f>'2B'!K33/'2B'!$B33*100</f>
        <v>0.21797003485978828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91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91" t="s">
        <v>16</v>
      </c>
      <c r="O35" s="91" t="s">
        <v>8</v>
      </c>
      <c r="P35" s="91" t="s">
        <v>3</v>
      </c>
      <c r="Q35" s="91" t="s">
        <v>4</v>
      </c>
      <c r="R35" s="91" t="s">
        <v>17</v>
      </c>
      <c r="S35" s="91" t="s">
        <v>6</v>
      </c>
      <c r="T35" s="91" t="s">
        <v>7</v>
      </c>
    </row>
    <row r="36" spans="1:20" ht="30">
      <c r="A36" s="66" t="s">
        <v>19</v>
      </c>
      <c r="B36" s="11">
        <f>((B20/B17)^(1/3)-1)*100</f>
        <v>0</v>
      </c>
      <c r="C36" s="11">
        <f t="shared" ref="C36:K36" si="6">((C20/C17)^(1/3)-1)*100</f>
        <v>-2.708819695839304</v>
      </c>
      <c r="D36" s="11">
        <f t="shared" si="6"/>
        <v>-2.7744164053266518</v>
      </c>
      <c r="E36" s="11">
        <f t="shared" si="6"/>
        <v>-1.7964199007575066</v>
      </c>
      <c r="F36" s="11" t="s">
        <v>10</v>
      </c>
      <c r="G36" s="11" t="s">
        <v>10</v>
      </c>
      <c r="H36" s="11" t="s">
        <v>10</v>
      </c>
      <c r="I36" s="11">
        <f t="shared" si="6"/>
        <v>-3.525414041615671</v>
      </c>
      <c r="J36" s="11">
        <f t="shared" si="6"/>
        <v>-7.4270667047328542</v>
      </c>
      <c r="K36" s="11">
        <f t="shared" si="6"/>
        <v>5.2462172416611885E-2</v>
      </c>
      <c r="M36" s="91">
        <v>1999</v>
      </c>
      <c r="N36" s="91">
        <f>B19/$B$20</f>
        <v>1</v>
      </c>
      <c r="O36" s="91">
        <f t="shared" ref="O36:O38" si="7">C19/$C$20</f>
        <v>1.0412978353477111</v>
      </c>
      <c r="P36" s="91">
        <f t="shared" ref="P36:P38" si="8">D19/$D$20</f>
        <v>0.92729843105571397</v>
      </c>
      <c r="Q36" s="91">
        <f t="shared" ref="Q36:Q38" si="9">E19/$E$20</f>
        <v>1.0683651529249352</v>
      </c>
      <c r="R36" s="91">
        <f t="shared" ref="R36:R38" si="10">I19/$I$20</f>
        <v>1.052042920037829</v>
      </c>
      <c r="S36" s="91">
        <f t="shared" ref="S36:S38" si="11">J19/$J$20</f>
        <v>1.1380636848140064</v>
      </c>
      <c r="T36" s="91">
        <f t="shared" ref="T36:T38" si="12">K19/$K$20</f>
        <v>0.98452209247708711</v>
      </c>
    </row>
    <row r="37" spans="1:20" ht="30">
      <c r="A37" s="325" t="s">
        <v>68</v>
      </c>
      <c r="B37" s="11">
        <f>((B27/B20)^(1/7)-1)*100</f>
        <v>0</v>
      </c>
      <c r="C37" s="11">
        <f t="shared" ref="C37:K37" si="13">((C27/C20)^(1/7)-1)*100</f>
        <v>-4.6828343402152246</v>
      </c>
      <c r="D37" s="11">
        <f t="shared" si="13"/>
        <v>-7.8053527044998798</v>
      </c>
      <c r="E37" s="11">
        <f t="shared" si="13"/>
        <v>-4.4761695691953873</v>
      </c>
      <c r="F37" s="11" t="s">
        <v>10</v>
      </c>
      <c r="G37" s="11" t="s">
        <v>10</v>
      </c>
      <c r="H37" s="11" t="s">
        <v>10</v>
      </c>
      <c r="I37" s="11">
        <f t="shared" si="13"/>
        <v>-3.9896886834333345</v>
      </c>
      <c r="J37" s="11">
        <f t="shared" si="13"/>
        <v>-8.2064842190106457</v>
      </c>
      <c r="K37" s="11">
        <f t="shared" si="13"/>
        <v>-1.3188515532111311</v>
      </c>
      <c r="M37" s="91">
        <v>2000</v>
      </c>
      <c r="N37" s="91">
        <f>B20/$B$20</f>
        <v>1</v>
      </c>
      <c r="O37" s="91">
        <f t="shared" si="7"/>
        <v>1</v>
      </c>
      <c r="P37" s="91">
        <f t="shared" si="8"/>
        <v>1</v>
      </c>
      <c r="Q37" s="91">
        <f t="shared" si="9"/>
        <v>1</v>
      </c>
      <c r="R37" s="91">
        <f t="shared" si="10"/>
        <v>1</v>
      </c>
      <c r="S37" s="91">
        <f t="shared" si="11"/>
        <v>1</v>
      </c>
      <c r="T37" s="91">
        <f t="shared" si="12"/>
        <v>1</v>
      </c>
    </row>
    <row r="38" spans="1:20" ht="30">
      <c r="A38" s="66" t="s">
        <v>69</v>
      </c>
      <c r="B38" s="11">
        <f>((B33/B27)^(1/6)-1)*100</f>
        <v>0</v>
      </c>
      <c r="C38" s="11">
        <f t="shared" ref="C38:K38" si="14">((C33/C27)^(1/6)-1)*100</f>
        <v>-6.5357508264968782</v>
      </c>
      <c r="D38" s="11">
        <f t="shared" si="14"/>
        <v>-6.5101455811548909</v>
      </c>
      <c r="E38" s="11">
        <f t="shared" si="14"/>
        <v>-7.2429830550067358</v>
      </c>
      <c r="F38" s="11">
        <f t="shared" si="14"/>
        <v>-15.47355387109639</v>
      </c>
      <c r="G38" s="11">
        <f t="shared" si="14"/>
        <v>-5.5140525751621317</v>
      </c>
      <c r="H38" s="11">
        <f t="shared" si="14"/>
        <v>-5.3634400372792657</v>
      </c>
      <c r="I38" s="11">
        <f t="shared" si="14"/>
        <v>-5.9154933873598381</v>
      </c>
      <c r="J38" s="11">
        <f t="shared" si="14"/>
        <v>-6.5632646644247501</v>
      </c>
      <c r="K38" s="11">
        <f t="shared" si="14"/>
        <v>-5.6166932202547422</v>
      </c>
      <c r="M38" s="91">
        <v>2001</v>
      </c>
      <c r="N38" s="91">
        <f>B21/$B$20</f>
        <v>1</v>
      </c>
      <c r="O38" s="91">
        <f t="shared" si="7"/>
        <v>0.98835263052087452</v>
      </c>
      <c r="P38" s="91">
        <f t="shared" si="8"/>
        <v>0.85383017765016345</v>
      </c>
      <c r="Q38" s="91">
        <f t="shared" si="9"/>
        <v>1.000182648193235</v>
      </c>
      <c r="R38" s="91">
        <f t="shared" si="10"/>
        <v>1.0201534852137419</v>
      </c>
      <c r="S38" s="91">
        <f t="shared" si="11"/>
        <v>0.96384077165902815</v>
      </c>
      <c r="T38" s="91">
        <f t="shared" si="12"/>
        <v>1.0643553826427947</v>
      </c>
    </row>
    <row r="39" spans="1:20" s="259" customFormat="1" ht="30">
      <c r="A39" s="325" t="s">
        <v>15</v>
      </c>
      <c r="B39" s="11">
        <f>((B33/B20)^(1/13)-1)*100</f>
        <v>0</v>
      </c>
      <c r="C39" s="11">
        <f t="shared" ref="C39:K39" si="15">((C33/C20)^(1/13)-1)*100</f>
        <v>-5.5425475677983833</v>
      </c>
      <c r="D39" s="11">
        <f t="shared" si="15"/>
        <v>-7.2098096806770045</v>
      </c>
      <c r="E39" s="11">
        <f t="shared" si="15"/>
        <v>-5.7632692954020737</v>
      </c>
      <c r="F39" s="11" t="s">
        <v>10</v>
      </c>
      <c r="G39" s="11" t="s">
        <v>10</v>
      </c>
      <c r="H39" s="11" t="s">
        <v>10</v>
      </c>
      <c r="I39" s="11">
        <f t="shared" si="15"/>
        <v>-4.8833716128031117</v>
      </c>
      <c r="J39" s="11">
        <f t="shared" si="15"/>
        <v>-7.451697220284526</v>
      </c>
      <c r="K39" s="11">
        <f t="shared" si="15"/>
        <v>-3.3262645327138851</v>
      </c>
    </row>
    <row r="40" spans="1:20">
      <c r="M40" s="91">
        <v>2003</v>
      </c>
      <c r="N40" s="91">
        <f>B23/$B$20</f>
        <v>1</v>
      </c>
      <c r="O40" s="91">
        <f>C23/$C$20</f>
        <v>0.94493038763938042</v>
      </c>
      <c r="P40" s="91">
        <f>D23/$D$20</f>
        <v>0.81400166141410413</v>
      </c>
      <c r="Q40" s="91">
        <f>E23/$E$20</f>
        <v>0.94767817589468195</v>
      </c>
      <c r="R40" s="91">
        <f>I23/$I$20</f>
        <v>0.98421685583636698</v>
      </c>
      <c r="S40" s="91">
        <f>J23/$J$20</f>
        <v>0.85167795449920614</v>
      </c>
      <c r="T40" s="91">
        <f>K23/$K$20</f>
        <v>1.0882514610338669</v>
      </c>
    </row>
    <row r="41" spans="1:20">
      <c r="A41" s="28" t="s">
        <v>305</v>
      </c>
      <c r="M41" s="91">
        <v>2007</v>
      </c>
      <c r="N41" s="91">
        <f>B27/$B$20</f>
        <v>1</v>
      </c>
      <c r="O41" s="91">
        <f>C27/$C$20</f>
        <v>0.71482188129088664</v>
      </c>
      <c r="P41" s="91">
        <f>D27/$D$20</f>
        <v>0.56616100091259292</v>
      </c>
      <c r="Q41" s="91">
        <f>E27/$E$20</f>
        <v>0.7257417423311967</v>
      </c>
      <c r="R41" s="91">
        <f>I27/$I$20</f>
        <v>0.75201264863173145</v>
      </c>
      <c r="S41" s="91">
        <f>J27/$J$20</f>
        <v>0.54914120015875967</v>
      </c>
      <c r="T41" s="91">
        <f>K27/$K$20</f>
        <v>0.91125382865359272</v>
      </c>
    </row>
    <row r="42" spans="1:20">
      <c r="A42" s="231" t="s">
        <v>144</v>
      </c>
      <c r="M42" s="91">
        <v>2010</v>
      </c>
      <c r="N42" s="91">
        <f>B30/$B$20</f>
        <v>1</v>
      </c>
      <c r="O42" s="91">
        <f>C30/$C$20</f>
        <v>0.53685196351925346</v>
      </c>
      <c r="P42" s="91">
        <f>D30/$D$20</f>
        <v>0.39012864729785829</v>
      </c>
      <c r="Q42" s="91">
        <f>E30/$E$20</f>
        <v>0.53273544915830429</v>
      </c>
      <c r="R42" s="91">
        <f>I30/$I$20</f>
        <v>0.5877197240496056</v>
      </c>
      <c r="S42" s="91">
        <f>J30/$J$20</f>
        <v>0.381135881140646</v>
      </c>
      <c r="T42" s="91">
        <f>K30/$K$20</f>
        <v>0.74987489751481728</v>
      </c>
    </row>
    <row r="43" spans="1:20">
      <c r="M43" s="91">
        <v>2011</v>
      </c>
      <c r="N43" s="91">
        <f>B31/$B$20</f>
        <v>1</v>
      </c>
      <c r="O43" s="91">
        <f>C31/$C$20</f>
        <v>0.53285839675845537</v>
      </c>
      <c r="P43" s="91">
        <f>D31/$D$20</f>
        <v>0.4417255279976241</v>
      </c>
      <c r="Q43" s="91">
        <f>E31/$E$20</f>
        <v>0.50106765998303415</v>
      </c>
      <c r="R43" s="91">
        <f>I31/$I$20</f>
        <v>0.59224987511323635</v>
      </c>
      <c r="S43" s="91">
        <f>J31/$J$20</f>
        <v>0.38999849979817131</v>
      </c>
      <c r="T43" s="91">
        <f>K31/$K$20</f>
        <v>0.75100433715625836</v>
      </c>
    </row>
    <row r="44" spans="1:20">
      <c r="M44" s="91">
        <v>2012</v>
      </c>
      <c r="N44" s="91">
        <f>B32/$B$20</f>
        <v>1</v>
      </c>
      <c r="O44" s="91">
        <f>C32/$C$20</f>
        <v>0.47554825931886441</v>
      </c>
      <c r="P44" s="91">
        <f>D32/$D$20</f>
        <v>0.37702901171971492</v>
      </c>
      <c r="Q44" s="91">
        <f>E32/$E$20</f>
        <v>0.44576582478040411</v>
      </c>
      <c r="R44" s="91">
        <f>I32/$I$20</f>
        <v>0.53539393447449768</v>
      </c>
      <c r="S44" s="91">
        <f>J32/$J$20</f>
        <v>0.35683761026296734</v>
      </c>
      <c r="T44" s="91">
        <f>K32/$K$20</f>
        <v>0.67554928892102684</v>
      </c>
    </row>
    <row r="45" spans="1:20">
      <c r="M45" s="91">
        <v>2013</v>
      </c>
      <c r="N45" s="91">
        <f>B33/$B$20</f>
        <v>1</v>
      </c>
      <c r="O45" s="91">
        <f>C33/$C$20</f>
        <v>0.47650884579514863</v>
      </c>
      <c r="P45" s="91">
        <f>D33/$D$20</f>
        <v>0.37803050931689874</v>
      </c>
      <c r="Q45" s="91">
        <f>E33/$E$20</f>
        <v>0.46223491085441987</v>
      </c>
      <c r="R45" s="91">
        <f>I33/$I$20</f>
        <v>0.52159547607597179</v>
      </c>
      <c r="S45" s="91">
        <f>J33/$J$20</f>
        <v>0.36541802302080229</v>
      </c>
      <c r="T45" s="91">
        <f>K33/$K$20</f>
        <v>0.64418484044691415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8" orientation="portrait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J33" sqref="J33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571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11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755739</v>
      </c>
      <c r="C17" s="169">
        <f>D17+E17+I17</f>
        <v>20300</v>
      </c>
      <c r="D17" s="129">
        <v>4865</v>
      </c>
      <c r="E17" s="129">
        <v>9978</v>
      </c>
      <c r="F17" s="129">
        <v>7025</v>
      </c>
      <c r="G17" s="129" t="s">
        <v>9</v>
      </c>
      <c r="H17" s="129" t="s">
        <v>9</v>
      </c>
      <c r="I17" s="129">
        <v>5457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760279</v>
      </c>
      <c r="C18" s="169">
        <f t="shared" ref="C18:C20" si="0">D18+E18+I18</f>
        <v>19551</v>
      </c>
      <c r="D18" s="129">
        <v>4564</v>
      </c>
      <c r="E18" s="129">
        <v>9491</v>
      </c>
      <c r="F18" s="129">
        <v>6803</v>
      </c>
      <c r="G18" s="129" t="s">
        <v>9</v>
      </c>
      <c r="H18" s="129" t="s">
        <v>9</v>
      </c>
      <c r="I18" s="129">
        <v>5496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768675</v>
      </c>
      <c r="C19" s="169">
        <f t="shared" si="0"/>
        <v>17941</v>
      </c>
      <c r="D19" s="129">
        <v>4661</v>
      </c>
      <c r="E19" s="129">
        <v>8701</v>
      </c>
      <c r="F19" s="129">
        <v>6079</v>
      </c>
      <c r="G19" s="129" t="s">
        <v>9</v>
      </c>
      <c r="H19" s="129" t="s">
        <v>9</v>
      </c>
      <c r="I19" s="129">
        <v>4579</v>
      </c>
      <c r="J19" s="129" t="s">
        <v>9</v>
      </c>
      <c r="K19" s="129" t="s">
        <v>9</v>
      </c>
    </row>
    <row r="20" spans="1:11" s="332" customFormat="1" outlineLevel="1">
      <c r="A20" s="288">
        <v>2003</v>
      </c>
      <c r="B20" s="129">
        <v>777202</v>
      </c>
      <c r="C20" s="169">
        <f t="shared" si="0"/>
        <v>18080</v>
      </c>
      <c r="D20" s="129">
        <v>4420</v>
      </c>
      <c r="E20" s="129">
        <v>9129</v>
      </c>
      <c r="F20" s="129" t="s">
        <v>9</v>
      </c>
      <c r="G20" s="129" t="s">
        <v>9</v>
      </c>
      <c r="H20" s="129" t="s">
        <v>9</v>
      </c>
      <c r="I20" s="129">
        <v>4531</v>
      </c>
      <c r="J20" s="129" t="s">
        <v>9</v>
      </c>
      <c r="K20" s="129" t="s">
        <v>9</v>
      </c>
    </row>
    <row r="21" spans="1:11" s="332" customFormat="1" outlineLevel="1">
      <c r="A21" s="288">
        <v>2004</v>
      </c>
      <c r="B21" s="129">
        <v>774340</v>
      </c>
      <c r="C21" s="284" t="s">
        <v>10</v>
      </c>
      <c r="D21" s="129">
        <v>4717</v>
      </c>
      <c r="E21" s="129">
        <v>8920</v>
      </c>
      <c r="F21" s="129" t="s">
        <v>9</v>
      </c>
      <c r="G21" s="129" t="s">
        <v>9</v>
      </c>
      <c r="H21" s="129" t="s">
        <v>9</v>
      </c>
      <c r="I21" s="129" t="s">
        <v>9</v>
      </c>
      <c r="J21" s="129" t="s">
        <v>9</v>
      </c>
      <c r="K21" s="129" t="s">
        <v>9</v>
      </c>
    </row>
    <row r="22" spans="1:11" s="332" customFormat="1" outlineLevel="1">
      <c r="A22" s="288">
        <v>2005</v>
      </c>
      <c r="B22" s="129">
        <v>788639</v>
      </c>
      <c r="C22" s="284" t="s">
        <v>10</v>
      </c>
      <c r="D22" s="129">
        <v>4549</v>
      </c>
      <c r="E22" s="129">
        <v>9559</v>
      </c>
      <c r="F22" s="129" t="s">
        <v>9</v>
      </c>
      <c r="G22" s="129" t="s">
        <v>9</v>
      </c>
      <c r="H22" s="129" t="s">
        <v>9</v>
      </c>
      <c r="I22" s="129" t="s">
        <v>9</v>
      </c>
      <c r="J22" s="129" t="s">
        <v>9</v>
      </c>
      <c r="K22" s="129" t="s">
        <v>9</v>
      </c>
    </row>
    <row r="23" spans="1:11" s="332" customFormat="1" outlineLevel="1">
      <c r="A23" s="288">
        <v>2006</v>
      </c>
      <c r="B23" s="129">
        <v>786495</v>
      </c>
      <c r="C23" s="284" t="s">
        <v>10</v>
      </c>
      <c r="D23" s="129">
        <v>4025</v>
      </c>
      <c r="E23" s="129">
        <v>8454</v>
      </c>
      <c r="F23" s="129" t="s">
        <v>9</v>
      </c>
      <c r="G23" s="129" t="s">
        <v>9</v>
      </c>
      <c r="H23" s="129">
        <v>1506</v>
      </c>
      <c r="I23" s="129" t="s">
        <v>9</v>
      </c>
      <c r="J23" s="129" t="s">
        <v>9</v>
      </c>
      <c r="K23" s="129" t="s">
        <v>9</v>
      </c>
    </row>
    <row r="24" spans="1:11">
      <c r="A24" s="288">
        <v>2007</v>
      </c>
      <c r="B24" s="129">
        <v>799741</v>
      </c>
      <c r="C24" s="284" t="s">
        <v>10</v>
      </c>
      <c r="D24" s="129">
        <v>3840</v>
      </c>
      <c r="E24" s="129">
        <v>8199</v>
      </c>
      <c r="F24" s="129">
        <v>5408</v>
      </c>
      <c r="G24" s="129">
        <v>1252</v>
      </c>
      <c r="H24" s="129">
        <v>1539</v>
      </c>
      <c r="I24" s="129" t="s">
        <v>9</v>
      </c>
      <c r="J24" s="129" t="s">
        <v>9</v>
      </c>
      <c r="K24" s="129" t="s">
        <v>9</v>
      </c>
    </row>
    <row r="25" spans="1:11">
      <c r="A25" s="288">
        <v>2008</v>
      </c>
      <c r="B25" s="129">
        <v>805556</v>
      </c>
      <c r="C25" s="284" t="s">
        <v>10</v>
      </c>
      <c r="D25" s="129">
        <v>3459</v>
      </c>
      <c r="E25" s="129">
        <v>7696</v>
      </c>
      <c r="F25" s="129">
        <v>4953</v>
      </c>
      <c r="G25" s="129">
        <v>1255</v>
      </c>
      <c r="H25" s="129">
        <v>1490</v>
      </c>
      <c r="I25" s="129" t="s">
        <v>9</v>
      </c>
      <c r="J25" s="129" t="s">
        <v>9</v>
      </c>
      <c r="K25" s="129" t="s">
        <v>9</v>
      </c>
    </row>
    <row r="26" spans="1:11">
      <c r="A26" s="288">
        <v>2009</v>
      </c>
      <c r="B26" s="129">
        <v>800401</v>
      </c>
      <c r="C26" s="284" t="s">
        <v>10</v>
      </c>
      <c r="D26" s="129">
        <v>2814</v>
      </c>
      <c r="E26" s="129">
        <v>6475</v>
      </c>
      <c r="F26" s="129">
        <v>3997</v>
      </c>
      <c r="G26" s="129">
        <v>1079</v>
      </c>
      <c r="H26" s="129">
        <v>1400</v>
      </c>
      <c r="I26" s="129" t="s">
        <v>9</v>
      </c>
      <c r="J26" s="129" t="s">
        <v>9</v>
      </c>
      <c r="K26" s="129" t="s">
        <v>9</v>
      </c>
    </row>
    <row r="27" spans="1:11">
      <c r="A27" s="288">
        <v>2010</v>
      </c>
      <c r="B27" s="129">
        <v>804468</v>
      </c>
      <c r="C27" s="284" t="s">
        <v>10</v>
      </c>
      <c r="D27" s="129">
        <v>2920</v>
      </c>
      <c r="E27" s="129">
        <v>5889</v>
      </c>
      <c r="F27" s="129" t="s">
        <v>9</v>
      </c>
      <c r="G27" s="129">
        <v>926</v>
      </c>
      <c r="H27" s="129" t="s">
        <v>9</v>
      </c>
      <c r="I27" s="129" t="s">
        <v>9</v>
      </c>
      <c r="J27" s="129" t="s">
        <v>9</v>
      </c>
      <c r="K27" s="129" t="s">
        <v>9</v>
      </c>
    </row>
    <row r="28" spans="1:11">
      <c r="A28" s="288">
        <v>2011</v>
      </c>
      <c r="B28" s="129">
        <v>794414</v>
      </c>
      <c r="C28" s="284" t="s">
        <v>10</v>
      </c>
      <c r="D28" s="129">
        <v>2593</v>
      </c>
      <c r="E28" s="129">
        <v>4094</v>
      </c>
      <c r="F28" s="129" t="s">
        <v>9</v>
      </c>
      <c r="G28" s="129" t="s">
        <v>9</v>
      </c>
      <c r="H28" s="129" t="s">
        <v>9</v>
      </c>
      <c r="I28" s="129" t="s">
        <v>9</v>
      </c>
      <c r="J28" s="129" t="s">
        <v>9</v>
      </c>
      <c r="K28" s="129" t="s">
        <v>9</v>
      </c>
    </row>
    <row r="29" spans="1:11">
      <c r="A29" s="288">
        <v>2012</v>
      </c>
      <c r="B29" s="129">
        <v>801447</v>
      </c>
      <c r="C29" s="284" t="s">
        <v>10</v>
      </c>
      <c r="D29" s="129">
        <v>2165</v>
      </c>
      <c r="E29" s="129">
        <v>4171</v>
      </c>
      <c r="F29" s="129" t="s">
        <v>9</v>
      </c>
      <c r="G29" s="129">
        <v>830</v>
      </c>
      <c r="H29" s="129" t="s">
        <v>9</v>
      </c>
      <c r="I29" s="129" t="s">
        <v>9</v>
      </c>
      <c r="J29" s="129" t="s">
        <v>9</v>
      </c>
      <c r="K29" s="129" t="s">
        <v>9</v>
      </c>
    </row>
    <row r="30" spans="1:11">
      <c r="A30" s="288">
        <v>2013</v>
      </c>
      <c r="B30" s="129">
        <v>791986</v>
      </c>
      <c r="C30" s="284" t="s">
        <v>10</v>
      </c>
      <c r="D30" s="129">
        <v>1815</v>
      </c>
      <c r="E30" s="129">
        <v>4482</v>
      </c>
      <c r="F30" s="129" t="s">
        <v>9</v>
      </c>
      <c r="G30" s="129">
        <v>950</v>
      </c>
      <c r="H30" s="129" t="s">
        <v>9</v>
      </c>
      <c r="I30" s="129" t="s">
        <v>9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0.81173177556206344</v>
      </c>
      <c r="C32" s="284" t="s">
        <v>10</v>
      </c>
      <c r="D32" s="284">
        <f t="shared" ref="D32:F32" si="1">((D24/D17)^(1/7)-1)*100</f>
        <v>-3.3234381278383074</v>
      </c>
      <c r="E32" s="284">
        <f t="shared" si="1"/>
        <v>-2.7663095327992382</v>
      </c>
      <c r="F32" s="284">
        <f t="shared" si="1"/>
        <v>-3.6681167569158513</v>
      </c>
      <c r="G32" s="284" t="s">
        <v>10</v>
      </c>
      <c r="H32" s="284" t="s">
        <v>10</v>
      </c>
      <c r="I32" s="284" t="s">
        <v>10</v>
      </c>
      <c r="J32" s="284" t="s">
        <v>10</v>
      </c>
      <c r="K32" s="284" t="s">
        <v>10</v>
      </c>
    </row>
    <row r="33" spans="1:11">
      <c r="A33" s="320" t="s">
        <v>368</v>
      </c>
      <c r="B33" s="284">
        <f>((B27/B24)^(1/3)-1)*100</f>
        <v>0.19663521174677623</v>
      </c>
      <c r="C33" s="284" t="s">
        <v>10</v>
      </c>
      <c r="D33" s="284">
        <f t="shared" ref="D33:G33" si="2">((D27/D24)^(1/3)-1)*100</f>
        <v>-8.7252730633663447</v>
      </c>
      <c r="E33" s="284">
        <f t="shared" si="2"/>
        <v>-10.444233367678624</v>
      </c>
      <c r="F33" s="284" t="s">
        <v>10</v>
      </c>
      <c r="G33" s="284">
        <f t="shared" si="2"/>
        <v>-9.5652062180329729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1">
      <c r="A34" s="320" t="s">
        <v>392</v>
      </c>
      <c r="B34" s="284">
        <f>((B30/B27)^(1/3)-1)*100</f>
        <v>-0.51989300368531222</v>
      </c>
      <c r="C34" s="284" t="s">
        <v>10</v>
      </c>
      <c r="D34" s="284">
        <f t="shared" ref="D34:G34" si="3">((D30/D27)^(1/3)-1)*100</f>
        <v>-14.657650952272661</v>
      </c>
      <c r="E34" s="284">
        <f t="shared" si="3"/>
        <v>-8.6987410684691397</v>
      </c>
      <c r="F34" s="284" t="s">
        <v>10</v>
      </c>
      <c r="G34" s="284">
        <f t="shared" si="3"/>
        <v>0.85657276707882257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1">
      <c r="A35" s="320" t="s">
        <v>69</v>
      </c>
      <c r="B35" s="253">
        <f>IFERROR(((B30/B24)^(1/6)-1)*100,"n.a.")</f>
        <v>-0.16227170285132431</v>
      </c>
      <c r="C35" s="253" t="str">
        <f t="shared" ref="C35:K35" si="4">IFERROR(((C30/C24)^(1/6)-1)*100,"n.a.")</f>
        <v>n.a.</v>
      </c>
      <c r="D35" s="253">
        <f t="shared" si="4"/>
        <v>-11.741291616848425</v>
      </c>
      <c r="E35" s="253">
        <f t="shared" si="4"/>
        <v>-9.5756988519716266</v>
      </c>
      <c r="F35" s="253" t="str">
        <f t="shared" si="4"/>
        <v>n.a.</v>
      </c>
      <c r="G35" s="253">
        <f t="shared" si="4"/>
        <v>-4.4963699132502866</v>
      </c>
      <c r="H35" s="253" t="str">
        <f t="shared" si="4"/>
        <v>n.a.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1" s="352" customFormat="1">
      <c r="A36" s="442" t="s">
        <v>15</v>
      </c>
      <c r="B36" s="253">
        <f>((B30/B17)^(1/13)-1)*100</f>
        <v>0.36101653447226933</v>
      </c>
      <c r="C36" s="284" t="s">
        <v>10</v>
      </c>
      <c r="D36" s="253">
        <f t="shared" ref="D36:E36" si="5">((D30/D17)^(1/13)-1)*100</f>
        <v>-7.3039858254104857</v>
      </c>
      <c r="E36" s="253">
        <f t="shared" si="5"/>
        <v>-5.9705881917712533</v>
      </c>
      <c r="F36" s="284" t="s">
        <v>10</v>
      </c>
      <c r="G36" s="284" t="s">
        <v>10</v>
      </c>
      <c r="H36" s="284" t="s">
        <v>10</v>
      </c>
      <c r="I36" s="284" t="s">
        <v>10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idden="1" outlineLevel="1">
      <c r="A39" s="266" t="s">
        <v>398</v>
      </c>
      <c r="C39" s="289"/>
    </row>
    <row r="40" spans="1:11" collapsed="1">
      <c r="C40" s="289"/>
    </row>
    <row r="41" spans="1:11">
      <c r="C41" s="289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R41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I36" sqref="I36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572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</row>
    <row r="12" spans="1:11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11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619864</v>
      </c>
      <c r="C17" s="169">
        <f>D17+E17+I17</f>
        <v>30744</v>
      </c>
      <c r="D17" s="129">
        <v>10900</v>
      </c>
      <c r="E17" s="129">
        <v>11326</v>
      </c>
      <c r="F17" s="129">
        <v>7526</v>
      </c>
      <c r="G17" s="129">
        <v>1365</v>
      </c>
      <c r="H17" s="129">
        <v>2435</v>
      </c>
      <c r="I17" s="129">
        <v>8518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609773</v>
      </c>
      <c r="C18" s="169">
        <f t="shared" ref="C18:C20" si="0">D18+E18+I18</f>
        <v>31399</v>
      </c>
      <c r="D18" s="129">
        <v>10710</v>
      </c>
      <c r="E18" s="129">
        <v>12376</v>
      </c>
      <c r="F18" s="129">
        <v>8340</v>
      </c>
      <c r="G18" s="129">
        <v>1532</v>
      </c>
      <c r="H18" s="129">
        <v>2503</v>
      </c>
      <c r="I18" s="129">
        <v>8313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629657</v>
      </c>
      <c r="C19" s="169">
        <f t="shared" si="0"/>
        <v>32344</v>
      </c>
      <c r="D19" s="129">
        <v>11996</v>
      </c>
      <c r="E19" s="129">
        <v>11487</v>
      </c>
      <c r="F19" s="129">
        <v>7211</v>
      </c>
      <c r="G19" s="129" t="s">
        <v>9</v>
      </c>
      <c r="H19" s="129">
        <v>2909</v>
      </c>
      <c r="I19" s="129">
        <v>8861</v>
      </c>
      <c r="J19" s="129">
        <v>7282</v>
      </c>
      <c r="K19" s="129">
        <v>1579</v>
      </c>
    </row>
    <row r="20" spans="1:11" s="332" customFormat="1" outlineLevel="1">
      <c r="A20" s="288">
        <v>2003</v>
      </c>
      <c r="B20" s="129">
        <v>627245</v>
      </c>
      <c r="C20" s="169">
        <f t="shared" si="0"/>
        <v>29094</v>
      </c>
      <c r="D20" s="129">
        <v>8911</v>
      </c>
      <c r="E20" s="129">
        <v>10957</v>
      </c>
      <c r="F20" s="129">
        <v>6550</v>
      </c>
      <c r="G20" s="129">
        <v>1442</v>
      </c>
      <c r="H20" s="129">
        <v>2965</v>
      </c>
      <c r="I20" s="129">
        <v>9226</v>
      </c>
      <c r="J20" s="129">
        <v>7654</v>
      </c>
      <c r="K20" s="129">
        <v>1572</v>
      </c>
    </row>
    <row r="21" spans="1:11" s="332" customFormat="1" outlineLevel="1">
      <c r="A21" s="288">
        <v>2004</v>
      </c>
      <c r="B21" s="129">
        <v>634935</v>
      </c>
      <c r="C21" s="284" t="s">
        <v>10</v>
      </c>
      <c r="D21" s="129">
        <v>7672</v>
      </c>
      <c r="E21" s="129">
        <v>11228</v>
      </c>
      <c r="F21" s="129">
        <v>6640</v>
      </c>
      <c r="G21" s="129">
        <v>1379</v>
      </c>
      <c r="H21" s="129">
        <v>3209</v>
      </c>
      <c r="I21" s="129" t="s">
        <v>9</v>
      </c>
      <c r="J21" s="129" t="s">
        <v>9</v>
      </c>
      <c r="K21" s="129" t="s">
        <v>9</v>
      </c>
    </row>
    <row r="22" spans="1:11" s="332" customFormat="1" outlineLevel="1">
      <c r="A22" s="288">
        <v>2005</v>
      </c>
      <c r="B22" s="129">
        <v>629189</v>
      </c>
      <c r="C22" s="284" t="s">
        <v>10</v>
      </c>
      <c r="D22" s="129">
        <v>8102</v>
      </c>
      <c r="E22" s="129">
        <v>10346</v>
      </c>
      <c r="F22" s="129">
        <v>6242</v>
      </c>
      <c r="G22" s="129">
        <v>1088</v>
      </c>
      <c r="H22" s="129">
        <v>3016</v>
      </c>
      <c r="I22" s="129" t="s">
        <v>9</v>
      </c>
      <c r="J22" s="129" t="s">
        <v>9</v>
      </c>
      <c r="K22" s="129" t="s">
        <v>9</v>
      </c>
    </row>
    <row r="23" spans="1:11" s="332" customFormat="1" outlineLevel="1">
      <c r="A23" s="288">
        <v>2006</v>
      </c>
      <c r="B23" s="129">
        <v>639841</v>
      </c>
      <c r="C23" s="284" t="s">
        <v>10</v>
      </c>
      <c r="D23" s="129">
        <v>7117</v>
      </c>
      <c r="E23" s="129">
        <v>9679</v>
      </c>
      <c r="F23" s="129">
        <v>5364</v>
      </c>
      <c r="G23" s="129">
        <v>1592</v>
      </c>
      <c r="H23" s="129">
        <v>2723</v>
      </c>
      <c r="I23" s="129" t="s">
        <v>9</v>
      </c>
      <c r="J23" s="129" t="s">
        <v>9</v>
      </c>
      <c r="K23" s="129" t="s">
        <v>9</v>
      </c>
    </row>
    <row r="24" spans="1:11">
      <c r="A24" s="288">
        <v>2007</v>
      </c>
      <c r="B24" s="129">
        <v>646546</v>
      </c>
      <c r="C24" s="284" t="s">
        <v>10</v>
      </c>
      <c r="D24" s="129">
        <v>6725</v>
      </c>
      <c r="E24" s="129">
        <v>9094</v>
      </c>
      <c r="F24" s="129">
        <v>4998</v>
      </c>
      <c r="G24" s="129">
        <v>1219</v>
      </c>
      <c r="H24" s="129">
        <v>2876</v>
      </c>
      <c r="I24" s="129" t="s">
        <v>9</v>
      </c>
      <c r="J24" s="129" t="s">
        <v>9</v>
      </c>
      <c r="K24" s="129" t="s">
        <v>9</v>
      </c>
    </row>
    <row r="25" spans="1:11">
      <c r="A25" s="288">
        <v>2008</v>
      </c>
      <c r="B25" s="129">
        <v>649285</v>
      </c>
      <c r="C25" s="284" t="s">
        <v>10</v>
      </c>
      <c r="D25" s="129">
        <v>5966</v>
      </c>
      <c r="E25" s="129">
        <v>8965</v>
      </c>
      <c r="F25" s="129" t="s">
        <v>9</v>
      </c>
      <c r="G25" s="129">
        <v>1208</v>
      </c>
      <c r="H25" s="129" t="s">
        <v>9</v>
      </c>
      <c r="I25" s="129" t="s">
        <v>9</v>
      </c>
      <c r="J25" s="129" t="s">
        <v>9</v>
      </c>
      <c r="K25" s="129" t="s">
        <v>9</v>
      </c>
    </row>
    <row r="26" spans="1:11">
      <c r="A26" s="288">
        <v>2009</v>
      </c>
      <c r="B26" s="129">
        <v>645827</v>
      </c>
      <c r="C26" s="284" t="s">
        <v>10</v>
      </c>
      <c r="D26" s="129">
        <v>6132</v>
      </c>
      <c r="E26" s="129">
        <v>8650</v>
      </c>
      <c r="F26" s="129" t="s">
        <v>9</v>
      </c>
      <c r="G26" s="129">
        <v>1398</v>
      </c>
      <c r="H26" s="129" t="s">
        <v>9</v>
      </c>
      <c r="I26" s="129" t="s">
        <v>9</v>
      </c>
      <c r="J26" s="129" t="s">
        <v>9</v>
      </c>
      <c r="K26" s="129" t="s">
        <v>9</v>
      </c>
    </row>
    <row r="27" spans="1:11">
      <c r="A27" s="288">
        <v>2010</v>
      </c>
      <c r="B27" s="129">
        <v>645373</v>
      </c>
      <c r="C27" s="284" t="s">
        <v>10</v>
      </c>
      <c r="D27" s="129">
        <v>6770</v>
      </c>
      <c r="E27" s="129">
        <v>9297</v>
      </c>
      <c r="F27" s="129" t="s">
        <v>9</v>
      </c>
      <c r="G27" s="129" t="s">
        <v>9</v>
      </c>
      <c r="H27" s="129" t="s">
        <v>9</v>
      </c>
      <c r="I27" s="129" t="s">
        <v>9</v>
      </c>
      <c r="J27" s="129" t="s">
        <v>9</v>
      </c>
      <c r="K27" s="129" t="s">
        <v>9</v>
      </c>
    </row>
    <row r="28" spans="1:11">
      <c r="A28" s="288">
        <v>2011</v>
      </c>
      <c r="B28" s="129">
        <v>624206</v>
      </c>
      <c r="C28" s="284" t="s">
        <v>10</v>
      </c>
      <c r="D28" s="129">
        <v>6501</v>
      </c>
      <c r="E28" s="129">
        <v>8809</v>
      </c>
      <c r="F28" s="129" t="s">
        <v>9</v>
      </c>
      <c r="G28" s="129" t="s">
        <v>9</v>
      </c>
      <c r="H28" s="129">
        <v>3676</v>
      </c>
      <c r="I28" s="129" t="s">
        <v>9</v>
      </c>
      <c r="J28" s="129" t="s">
        <v>9</v>
      </c>
      <c r="K28" s="129" t="s">
        <v>9</v>
      </c>
    </row>
    <row r="29" spans="1:11">
      <c r="A29" s="288">
        <v>2012</v>
      </c>
      <c r="B29" s="129">
        <v>636233</v>
      </c>
      <c r="C29" s="284" t="s">
        <v>10</v>
      </c>
      <c r="D29" s="129">
        <v>5371</v>
      </c>
      <c r="E29" s="129">
        <v>9841</v>
      </c>
      <c r="F29" s="129" t="s">
        <v>9</v>
      </c>
      <c r="G29" s="129" t="s">
        <v>9</v>
      </c>
      <c r="H29" s="129">
        <v>4234</v>
      </c>
      <c r="I29" s="129" t="s">
        <v>9</v>
      </c>
      <c r="J29" s="129" t="s">
        <v>9</v>
      </c>
      <c r="K29" s="129" t="s">
        <v>9</v>
      </c>
    </row>
    <row r="30" spans="1:11">
      <c r="A30" s="288">
        <v>2013</v>
      </c>
      <c r="B30" s="129">
        <v>629225</v>
      </c>
      <c r="C30" s="284" t="s">
        <v>10</v>
      </c>
      <c r="D30" s="129">
        <v>5191</v>
      </c>
      <c r="E30" s="129">
        <v>9596</v>
      </c>
      <c r="F30" s="129" t="s">
        <v>9</v>
      </c>
      <c r="G30" s="129" t="s">
        <v>9</v>
      </c>
      <c r="H30" s="129">
        <v>4271</v>
      </c>
      <c r="I30" s="129" t="s">
        <v>9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0.60387672670978443</v>
      </c>
      <c r="C32" s="284" t="s">
        <v>10</v>
      </c>
      <c r="D32" s="284">
        <f t="shared" ref="D32:H32" si="1">((D24/D17)^(1/7)-1)*100</f>
        <v>-6.6664101774947078</v>
      </c>
      <c r="E32" s="284">
        <f t="shared" si="1"/>
        <v>-3.0868683663991758</v>
      </c>
      <c r="F32" s="284">
        <f t="shared" si="1"/>
        <v>-5.6798295696108836</v>
      </c>
      <c r="G32" s="284">
        <f t="shared" si="1"/>
        <v>-1.6030630688177672</v>
      </c>
      <c r="H32" s="284">
        <f t="shared" si="1"/>
        <v>2.4064074709032379</v>
      </c>
      <c r="I32" s="284" t="s">
        <v>10</v>
      </c>
      <c r="J32" s="284" t="s">
        <v>10</v>
      </c>
      <c r="K32" s="284" t="s">
        <v>10</v>
      </c>
    </row>
    <row r="33" spans="1:18">
      <c r="A33" s="320" t="s">
        <v>368</v>
      </c>
      <c r="B33" s="284">
        <f>((B27/B24)^(1/3)-1)*100</f>
        <v>-6.0511811481245292E-2</v>
      </c>
      <c r="C33" s="284" t="s">
        <v>10</v>
      </c>
      <c r="D33" s="284">
        <f t="shared" ref="D33:E33" si="2">((D27/D24)^(1/3)-1)*100</f>
        <v>0.2225526628280905</v>
      </c>
      <c r="E33" s="284">
        <f t="shared" si="2"/>
        <v>0.73861144576550242</v>
      </c>
      <c r="F33" s="284" t="s">
        <v>10</v>
      </c>
      <c r="G33" s="284" t="s">
        <v>10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8">
      <c r="A34" s="320" t="s">
        <v>392</v>
      </c>
      <c r="B34" s="284">
        <f>((B30/B27)^(1/3)-1)*100</f>
        <v>-0.8410942037119562</v>
      </c>
      <c r="C34" s="284" t="s">
        <v>10</v>
      </c>
      <c r="D34" s="284">
        <f t="shared" ref="D34:E34" si="3">((D30/D27)^(1/3)-1)*100</f>
        <v>-8.4719689204647004</v>
      </c>
      <c r="E34" s="284">
        <f t="shared" si="3"/>
        <v>1.0607389492684804</v>
      </c>
      <c r="F34" s="284" t="s">
        <v>10</v>
      </c>
      <c r="G34" s="284" t="s">
        <v>10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8">
      <c r="A35" s="320" t="s">
        <v>69</v>
      </c>
      <c r="B35" s="253">
        <f>IFERROR(((B30/B24)^(1/6)-1)*100,"n.a.")</f>
        <v>-0.45156809565219946</v>
      </c>
      <c r="C35" s="253" t="str">
        <f t="shared" ref="C35:K35" si="4">IFERROR(((C30/C24)^(1/6)-1)*100,"n.a.")</f>
        <v>n.a.</v>
      </c>
      <c r="D35" s="253">
        <f t="shared" si="4"/>
        <v>-4.2233174776151845</v>
      </c>
      <c r="E35" s="253">
        <f t="shared" si="4"/>
        <v>0.89954664631699544</v>
      </c>
      <c r="F35" s="253" t="str">
        <f t="shared" si="4"/>
        <v>n.a.</v>
      </c>
      <c r="G35" s="253" t="str">
        <f t="shared" si="4"/>
        <v>n.a.</v>
      </c>
      <c r="H35" s="253">
        <f t="shared" si="4"/>
        <v>6.8128365075117436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8" s="352" customFormat="1">
      <c r="A36" s="442" t="s">
        <v>15</v>
      </c>
      <c r="B36" s="253">
        <f>((B30/B17)^(1/13)-1)*100</f>
        <v>0.11536498850110988</v>
      </c>
      <c r="C36" s="284" t="s">
        <v>10</v>
      </c>
      <c r="D36" s="253">
        <f t="shared" ref="D36:H36" si="5">((D30/D17)^(1/13)-1)*100</f>
        <v>-5.5466704761017338</v>
      </c>
      <c r="E36" s="253">
        <f t="shared" si="5"/>
        <v>-1.2669414185307093</v>
      </c>
      <c r="F36" s="284" t="s">
        <v>10</v>
      </c>
      <c r="G36" s="284" t="s">
        <v>10</v>
      </c>
      <c r="H36" s="253">
        <f t="shared" si="5"/>
        <v>4.4170898503232303</v>
      </c>
      <c r="I36" s="284" t="s">
        <v>10</v>
      </c>
      <c r="J36" s="284" t="s">
        <v>10</v>
      </c>
      <c r="K36" s="284" t="s">
        <v>10</v>
      </c>
    </row>
    <row r="37" spans="1:18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8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8" hidden="1" outlineLevel="1">
      <c r="A39" s="266" t="s">
        <v>398</v>
      </c>
      <c r="C39" s="289"/>
    </row>
    <row r="40" spans="1:18" collapsed="1">
      <c r="C40" s="289"/>
      <c r="L40" s="287"/>
      <c r="M40" s="287"/>
      <c r="N40" s="287"/>
      <c r="O40" s="287"/>
      <c r="P40" s="287"/>
      <c r="Q40" s="287"/>
      <c r="R40" s="287"/>
    </row>
    <row r="41" spans="1:18">
      <c r="C41" s="289"/>
      <c r="L41" s="287"/>
      <c r="M41" s="287"/>
      <c r="N41" s="287"/>
      <c r="O41" s="287"/>
      <c r="P41" s="287"/>
      <c r="Q41" s="287"/>
      <c r="R41" s="287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K41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573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hidden="1" outlineLevel="1">
      <c r="A12" s="265">
        <v>1992</v>
      </c>
      <c r="B12" s="265"/>
      <c r="C12" s="263"/>
      <c r="D12" s="265"/>
      <c r="E12" s="265"/>
      <c r="F12" s="265"/>
      <c r="G12" s="265"/>
      <c r="H12" s="265"/>
      <c r="I12" s="265"/>
      <c r="J12" s="265"/>
      <c r="K12" s="265"/>
    </row>
    <row r="13" spans="1:11" hidden="1" outlineLevel="1">
      <c r="A13" s="265">
        <v>1993</v>
      </c>
      <c r="B13" s="265"/>
      <c r="C13" s="263"/>
      <c r="D13" s="265"/>
      <c r="E13" s="265"/>
      <c r="F13" s="265"/>
      <c r="G13" s="265"/>
      <c r="H13" s="265"/>
      <c r="I13" s="265"/>
      <c r="J13" s="265"/>
      <c r="K13" s="265"/>
    </row>
    <row r="14" spans="1:11" hidden="1" outlineLevel="1">
      <c r="A14" s="265">
        <v>1994</v>
      </c>
      <c r="B14" s="290"/>
      <c r="C14" s="169"/>
      <c r="D14" s="290"/>
      <c r="E14" s="290"/>
      <c r="F14" s="290"/>
      <c r="G14" s="290"/>
      <c r="H14" s="290"/>
      <c r="I14" s="290"/>
      <c r="J14" s="291"/>
      <c r="K14" s="291"/>
    </row>
    <row r="15" spans="1:11" hidden="1" outlineLevel="1">
      <c r="A15" s="265">
        <v>1995</v>
      </c>
      <c r="B15" s="290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290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5935300</v>
      </c>
      <c r="C17" s="169">
        <f>D17+E17+I17</f>
        <v>175860</v>
      </c>
      <c r="D17" s="129">
        <v>31719</v>
      </c>
      <c r="E17" s="129">
        <v>81364</v>
      </c>
      <c r="F17" s="129">
        <v>40673</v>
      </c>
      <c r="G17" s="129">
        <v>11902</v>
      </c>
      <c r="H17" s="129">
        <v>28789</v>
      </c>
      <c r="I17" s="129">
        <v>62777</v>
      </c>
      <c r="J17" s="129">
        <v>40434</v>
      </c>
      <c r="K17" s="129">
        <v>22343</v>
      </c>
    </row>
    <row r="18" spans="1:11" s="332" customFormat="1" outlineLevel="1">
      <c r="A18" s="288">
        <v>2001</v>
      </c>
      <c r="B18" s="129">
        <v>5910735</v>
      </c>
      <c r="C18" s="169">
        <f t="shared" ref="C18:C30" si="0">D18+E18+I18</f>
        <v>164149</v>
      </c>
      <c r="D18" s="129">
        <v>27756</v>
      </c>
      <c r="E18" s="129">
        <v>77455</v>
      </c>
      <c r="F18" s="129">
        <v>37761</v>
      </c>
      <c r="G18" s="129">
        <v>12195</v>
      </c>
      <c r="H18" s="129">
        <v>27499</v>
      </c>
      <c r="I18" s="129">
        <v>58938</v>
      </c>
      <c r="J18" s="129">
        <v>37742</v>
      </c>
      <c r="K18" s="129">
        <v>21196</v>
      </c>
    </row>
    <row r="19" spans="1:11" s="332" customFormat="1" outlineLevel="1">
      <c r="A19" s="288">
        <v>2002</v>
      </c>
      <c r="B19" s="129">
        <v>6083406</v>
      </c>
      <c r="C19" s="169">
        <f t="shared" si="0"/>
        <v>160178</v>
      </c>
      <c r="D19" s="129">
        <v>26752</v>
      </c>
      <c r="E19" s="129">
        <v>78199</v>
      </c>
      <c r="F19" s="129">
        <v>36676</v>
      </c>
      <c r="G19" s="129">
        <v>12706</v>
      </c>
      <c r="H19" s="129">
        <v>28817</v>
      </c>
      <c r="I19" s="129">
        <v>55227</v>
      </c>
      <c r="J19" s="129">
        <v>34668</v>
      </c>
      <c r="K19" s="129">
        <v>20559</v>
      </c>
    </row>
    <row r="20" spans="1:11" s="332" customFormat="1" outlineLevel="1">
      <c r="A20" s="288">
        <v>2003</v>
      </c>
      <c r="B20" s="129">
        <v>6072805</v>
      </c>
      <c r="C20" s="169">
        <f t="shared" si="0"/>
        <v>158534</v>
      </c>
      <c r="D20" s="129">
        <v>27466</v>
      </c>
      <c r="E20" s="129">
        <v>77789</v>
      </c>
      <c r="F20" s="129">
        <v>34412</v>
      </c>
      <c r="G20" s="129">
        <v>11575</v>
      </c>
      <c r="H20" s="129">
        <v>31802</v>
      </c>
      <c r="I20" s="129">
        <v>53279</v>
      </c>
      <c r="J20" s="129">
        <v>33737</v>
      </c>
      <c r="K20" s="129">
        <v>19541</v>
      </c>
    </row>
    <row r="21" spans="1:11" s="332" customFormat="1" outlineLevel="1">
      <c r="A21" s="288">
        <v>2004</v>
      </c>
      <c r="B21" s="129">
        <v>6202712</v>
      </c>
      <c r="C21" s="169">
        <f t="shared" si="0"/>
        <v>153493</v>
      </c>
      <c r="D21" s="129">
        <v>27670</v>
      </c>
      <c r="E21" s="129">
        <v>72226</v>
      </c>
      <c r="F21" s="129">
        <v>33418</v>
      </c>
      <c r="G21" s="129">
        <v>9958</v>
      </c>
      <c r="H21" s="129">
        <v>28849</v>
      </c>
      <c r="I21" s="129">
        <v>53597</v>
      </c>
      <c r="J21" s="129">
        <v>34064</v>
      </c>
      <c r="K21" s="129">
        <v>19534</v>
      </c>
    </row>
    <row r="22" spans="1:11" s="332" customFormat="1" outlineLevel="1">
      <c r="A22" s="288">
        <v>2005</v>
      </c>
      <c r="B22" s="129">
        <v>6206022</v>
      </c>
      <c r="C22" s="169">
        <f t="shared" si="0"/>
        <v>154205</v>
      </c>
      <c r="D22" s="129">
        <v>27328</v>
      </c>
      <c r="E22" s="129">
        <v>69440</v>
      </c>
      <c r="F22" s="129">
        <v>32300</v>
      </c>
      <c r="G22" s="129">
        <v>9158</v>
      </c>
      <c r="H22" s="129">
        <v>27981</v>
      </c>
      <c r="I22" s="129">
        <v>57437</v>
      </c>
      <c r="J22" s="129">
        <v>38462</v>
      </c>
      <c r="K22" s="129">
        <v>18975</v>
      </c>
    </row>
    <row r="23" spans="1:11" s="332" customFormat="1" outlineLevel="1">
      <c r="A23" s="288">
        <v>2006</v>
      </c>
      <c r="B23" s="129">
        <v>6238117</v>
      </c>
      <c r="C23" s="169">
        <f t="shared" si="0"/>
        <v>145504</v>
      </c>
      <c r="D23" s="129">
        <v>26948</v>
      </c>
      <c r="E23" s="129">
        <v>63264</v>
      </c>
      <c r="F23" s="129">
        <v>27493</v>
      </c>
      <c r="G23" s="129">
        <v>9214</v>
      </c>
      <c r="H23" s="129">
        <v>26556</v>
      </c>
      <c r="I23" s="129">
        <v>55292</v>
      </c>
      <c r="J23" s="129">
        <v>37581</v>
      </c>
      <c r="K23" s="129">
        <v>17711</v>
      </c>
    </row>
    <row r="24" spans="1:11">
      <c r="A24" s="288">
        <v>2007</v>
      </c>
      <c r="B24" s="129">
        <v>6308874</v>
      </c>
      <c r="C24" s="169">
        <f t="shared" si="0"/>
        <v>133913</v>
      </c>
      <c r="D24" s="129">
        <v>24271</v>
      </c>
      <c r="E24" s="129">
        <v>56283</v>
      </c>
      <c r="F24" s="129">
        <v>24076</v>
      </c>
      <c r="G24" s="129">
        <v>7353</v>
      </c>
      <c r="H24" s="129">
        <v>24854</v>
      </c>
      <c r="I24" s="129">
        <v>53359</v>
      </c>
      <c r="J24" s="129">
        <v>33219</v>
      </c>
      <c r="K24" s="129">
        <v>20140</v>
      </c>
    </row>
    <row r="25" spans="1:11">
      <c r="A25" s="288">
        <v>2008</v>
      </c>
      <c r="B25" s="129">
        <v>6452440</v>
      </c>
      <c r="C25" s="169">
        <f t="shared" si="0"/>
        <v>125184</v>
      </c>
      <c r="D25" s="129">
        <v>25163</v>
      </c>
      <c r="E25" s="129">
        <v>51263</v>
      </c>
      <c r="F25" s="129">
        <v>19306</v>
      </c>
      <c r="G25" s="129">
        <v>6330</v>
      </c>
      <c r="H25" s="129">
        <v>25626</v>
      </c>
      <c r="I25" s="129">
        <v>48758</v>
      </c>
      <c r="J25" s="129">
        <v>29863</v>
      </c>
      <c r="K25" s="129">
        <v>18895</v>
      </c>
    </row>
    <row r="26" spans="1:11">
      <c r="A26" s="288">
        <v>2009</v>
      </c>
      <c r="B26" s="129">
        <v>6294852</v>
      </c>
      <c r="C26" s="169">
        <f t="shared" si="0"/>
        <v>113642</v>
      </c>
      <c r="D26" s="129">
        <v>24264</v>
      </c>
      <c r="E26" s="129">
        <v>46998</v>
      </c>
      <c r="F26" s="129">
        <v>13915</v>
      </c>
      <c r="G26" s="129">
        <v>6538</v>
      </c>
      <c r="H26" s="129">
        <v>26545</v>
      </c>
      <c r="I26" s="129">
        <v>42380</v>
      </c>
      <c r="J26" s="129">
        <v>24996</v>
      </c>
      <c r="K26" s="129">
        <v>17383</v>
      </c>
    </row>
    <row r="27" spans="1:11">
      <c r="A27" s="288">
        <v>2010</v>
      </c>
      <c r="B27" s="129">
        <v>6431757</v>
      </c>
      <c r="C27" s="169">
        <f t="shared" si="0"/>
        <v>113770</v>
      </c>
      <c r="D27" s="129">
        <v>17152</v>
      </c>
      <c r="E27" s="129">
        <v>51951</v>
      </c>
      <c r="F27" s="129">
        <v>15793</v>
      </c>
      <c r="G27" s="129">
        <v>9802</v>
      </c>
      <c r="H27" s="129">
        <v>26354</v>
      </c>
      <c r="I27" s="129">
        <v>44667</v>
      </c>
      <c r="J27" s="129">
        <v>25245</v>
      </c>
      <c r="K27" s="129">
        <v>19423</v>
      </c>
    </row>
    <row r="28" spans="1:11">
      <c r="A28" s="288">
        <v>2011</v>
      </c>
      <c r="B28" s="129">
        <v>6473717</v>
      </c>
      <c r="C28" s="169">
        <f t="shared" si="0"/>
        <v>108654</v>
      </c>
      <c r="D28" s="129">
        <v>22402</v>
      </c>
      <c r="E28" s="129">
        <v>48788</v>
      </c>
      <c r="F28" s="129">
        <v>13963</v>
      </c>
      <c r="G28" s="129">
        <v>9191</v>
      </c>
      <c r="H28" s="129">
        <v>25634</v>
      </c>
      <c r="I28" s="129">
        <v>37464</v>
      </c>
      <c r="J28" s="129">
        <v>21554</v>
      </c>
      <c r="K28" s="129">
        <v>15910</v>
      </c>
    </row>
    <row r="29" spans="1:11">
      <c r="A29" s="288">
        <v>2012</v>
      </c>
      <c r="B29" s="129">
        <v>6535696</v>
      </c>
      <c r="C29" s="169">
        <f t="shared" si="0"/>
        <v>98117</v>
      </c>
      <c r="D29" s="129">
        <v>16983</v>
      </c>
      <c r="E29" s="129">
        <v>43768</v>
      </c>
      <c r="F29" s="129">
        <v>9626</v>
      </c>
      <c r="G29" s="129">
        <v>8832</v>
      </c>
      <c r="H29" s="129">
        <v>25311</v>
      </c>
      <c r="I29" s="129">
        <v>37366</v>
      </c>
      <c r="J29" s="129">
        <v>22021</v>
      </c>
      <c r="K29" s="129">
        <v>15345</v>
      </c>
    </row>
    <row r="30" spans="1:11">
      <c r="A30" s="288">
        <v>2013</v>
      </c>
      <c r="B30" s="129">
        <v>6565954</v>
      </c>
      <c r="C30" s="169">
        <f t="shared" si="0"/>
        <v>95221</v>
      </c>
      <c r="D30" s="129">
        <v>14439</v>
      </c>
      <c r="E30" s="129">
        <v>44764</v>
      </c>
      <c r="F30" s="129">
        <v>10422</v>
      </c>
      <c r="G30" s="129">
        <v>8150</v>
      </c>
      <c r="H30" s="129">
        <v>26190</v>
      </c>
      <c r="I30" s="129">
        <v>36018</v>
      </c>
      <c r="J30" s="129">
        <v>21017</v>
      </c>
      <c r="K30" s="129">
        <v>15001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0.87580779759077743</v>
      </c>
      <c r="C32" s="284">
        <f t="shared" ref="C32:K32" si="1">((C24/C17)^(1/7)-1)*100</f>
        <v>-3.81803018069653</v>
      </c>
      <c r="D32" s="284">
        <f t="shared" si="1"/>
        <v>-3.7511709243974289</v>
      </c>
      <c r="E32" s="284">
        <f t="shared" si="1"/>
        <v>-5.1286692481944174</v>
      </c>
      <c r="F32" s="284">
        <f t="shared" si="1"/>
        <v>-7.217022791902572</v>
      </c>
      <c r="G32" s="284">
        <f t="shared" si="1"/>
        <v>-6.6486377202551132</v>
      </c>
      <c r="H32" s="284">
        <f t="shared" si="1"/>
        <v>-2.0777491260590364</v>
      </c>
      <c r="I32" s="284">
        <f t="shared" si="1"/>
        <v>-2.2953342247502895</v>
      </c>
      <c r="J32" s="284">
        <f t="shared" si="1"/>
        <v>-2.7687895156675579</v>
      </c>
      <c r="K32" s="284">
        <f t="shared" si="1"/>
        <v>-1.471989948523722</v>
      </c>
    </row>
    <row r="33" spans="1:11">
      <c r="A33" s="320" t="s">
        <v>368</v>
      </c>
      <c r="B33" s="284">
        <f>((B27/B24)^(1/3)-1)*100</f>
        <v>0.64508971826799932</v>
      </c>
      <c r="C33" s="284">
        <f t="shared" ref="C33:K33" si="2">((C27/C24)^(1/3)-1)*100</f>
        <v>-5.2887272330458313</v>
      </c>
      <c r="D33" s="284">
        <f t="shared" si="2"/>
        <v>-10.927761687305072</v>
      </c>
      <c r="E33" s="284">
        <f t="shared" si="2"/>
        <v>-2.6343970033101738</v>
      </c>
      <c r="F33" s="284">
        <f t="shared" si="2"/>
        <v>-13.111940069460303</v>
      </c>
      <c r="G33" s="284">
        <f t="shared" si="2"/>
        <v>10.056756812277934</v>
      </c>
      <c r="H33" s="284">
        <f t="shared" si="2"/>
        <v>1.9725819666268629</v>
      </c>
      <c r="I33" s="284">
        <f t="shared" si="2"/>
        <v>-5.7547000637213186</v>
      </c>
      <c r="J33" s="284">
        <f t="shared" si="2"/>
        <v>-8.74368237642107</v>
      </c>
      <c r="K33" s="284">
        <f t="shared" si="2"/>
        <v>-1.2010608671297995</v>
      </c>
    </row>
    <row r="34" spans="1:11">
      <c r="A34" s="320" t="s">
        <v>392</v>
      </c>
      <c r="B34" s="284">
        <f>((B30/B27)^(1/3)-1)*100</f>
        <v>0.69070987159820518</v>
      </c>
      <c r="C34" s="284">
        <f t="shared" ref="C34:K34" si="3">((C30/C27)^(1/3)-1)*100</f>
        <v>-5.7600616514917435</v>
      </c>
      <c r="D34" s="284">
        <f t="shared" si="3"/>
        <v>-5.5777997771618963</v>
      </c>
      <c r="E34" s="284">
        <f t="shared" si="3"/>
        <v>-4.8420687566211313</v>
      </c>
      <c r="F34" s="284">
        <f t="shared" si="3"/>
        <v>-12.937965610650259</v>
      </c>
      <c r="G34" s="284">
        <f t="shared" si="3"/>
        <v>-5.9668531436664178</v>
      </c>
      <c r="H34" s="284">
        <f t="shared" si="3"/>
        <v>-0.20786391656608671</v>
      </c>
      <c r="I34" s="284">
        <f t="shared" si="3"/>
        <v>-6.9225943448863685</v>
      </c>
      <c r="J34" s="284">
        <f t="shared" si="3"/>
        <v>-5.9269734764918036</v>
      </c>
      <c r="K34" s="284">
        <f t="shared" si="3"/>
        <v>-8.251008270166837</v>
      </c>
    </row>
    <row r="35" spans="1:11">
      <c r="A35" s="320" t="s">
        <v>69</v>
      </c>
      <c r="B35" s="253">
        <f>IFERROR(((B30/B24)^(1/6)-1)*100,"n.a.")</f>
        <v>0.6678972106952008</v>
      </c>
      <c r="C35" s="253">
        <f t="shared" ref="C35:K35" si="4">IFERROR(((C30/C24)^(1/6)-1)*100,"n.a.")</f>
        <v>-5.5246883759227261</v>
      </c>
      <c r="D35" s="253">
        <f t="shared" si="4"/>
        <v>-8.2917848813006785</v>
      </c>
      <c r="E35" s="253">
        <f t="shared" si="4"/>
        <v>-3.7445619436016875</v>
      </c>
      <c r="F35" s="253">
        <f t="shared" si="4"/>
        <v>-13.024996339772832</v>
      </c>
      <c r="G35" s="253">
        <f t="shared" si="4"/>
        <v>1.7299522061261952</v>
      </c>
      <c r="H35" s="253">
        <f t="shared" si="4"/>
        <v>0.87646790204713998</v>
      </c>
      <c r="I35" s="253">
        <f t="shared" si="4"/>
        <v>-6.3404675793389149</v>
      </c>
      <c r="J35" s="253">
        <f t="shared" si="4"/>
        <v>-7.3460309094066423</v>
      </c>
      <c r="K35" s="253">
        <f t="shared" si="4"/>
        <v>-4.7912658974083477</v>
      </c>
    </row>
    <row r="36" spans="1:11" s="352" customFormat="1">
      <c r="A36" s="442" t="s">
        <v>15</v>
      </c>
      <c r="B36" s="253">
        <f>((B30/B17)^(1/13)-1)*100</f>
        <v>0.77979576137880979</v>
      </c>
      <c r="C36" s="253">
        <f t="shared" ref="C36:K36" si="5">((C30/C17)^(1/13)-1)*100</f>
        <v>-4.6095161912709575</v>
      </c>
      <c r="D36" s="253">
        <f t="shared" si="5"/>
        <v>-5.8741202395248271</v>
      </c>
      <c r="E36" s="253">
        <f t="shared" si="5"/>
        <v>-4.4923411017426362</v>
      </c>
      <c r="F36" s="253">
        <f t="shared" si="5"/>
        <v>-9.9443130825656034</v>
      </c>
      <c r="G36" s="253">
        <f t="shared" si="5"/>
        <v>-2.8709701334041937</v>
      </c>
      <c r="H36" s="253">
        <f t="shared" si="5"/>
        <v>-0.72517101706460751</v>
      </c>
      <c r="I36" s="253">
        <f t="shared" si="5"/>
        <v>-4.1835831729424839</v>
      </c>
      <c r="J36" s="253">
        <f t="shared" si="5"/>
        <v>-4.9088041513876579</v>
      </c>
      <c r="K36" s="253">
        <f t="shared" si="5"/>
        <v>-3.0181038084284961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idden="1" outlineLevel="1">
      <c r="A39" s="266" t="s">
        <v>398</v>
      </c>
      <c r="C39" s="289"/>
    </row>
    <row r="40" spans="1:11" collapsed="1">
      <c r="C40" s="289"/>
    </row>
    <row r="41" spans="1:11">
      <c r="C41" s="289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L50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defaultRowHeight="15" outlineLevelRow="1"/>
  <cols>
    <col min="1" max="1" width="12.42578125" style="266" customWidth="1"/>
    <col min="2" max="11" width="15.28515625" style="266" customWidth="1"/>
    <col min="12" max="12" width="9.140625" style="266" customWidth="1"/>
    <col min="13" max="16384" width="9.140625" style="266"/>
  </cols>
  <sheetData>
    <row r="1" spans="1:11">
      <c r="A1" s="456" t="s">
        <v>574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3"/>
      <c r="C11" s="263"/>
      <c r="D11" s="263"/>
      <c r="E11" s="263"/>
      <c r="F11" s="263"/>
      <c r="G11" s="263"/>
      <c r="H11" s="263"/>
      <c r="I11" s="263"/>
      <c r="J11" s="263"/>
      <c r="K11" s="263"/>
    </row>
    <row r="12" spans="1:11" hidden="1" outlineLevel="1">
      <c r="A12" s="265">
        <v>1992</v>
      </c>
      <c r="B12" s="263"/>
      <c r="C12" s="263"/>
      <c r="D12" s="263"/>
      <c r="E12" s="263"/>
      <c r="F12" s="263"/>
      <c r="G12" s="263"/>
      <c r="H12" s="263"/>
      <c r="I12" s="263"/>
      <c r="J12" s="263"/>
      <c r="K12" s="263"/>
    </row>
    <row r="13" spans="1:11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10637604</v>
      </c>
      <c r="C17" s="169">
        <f>D17+E17+I17</f>
        <v>145895</v>
      </c>
      <c r="D17" s="129">
        <v>20560</v>
      </c>
      <c r="E17" s="129">
        <v>61088</v>
      </c>
      <c r="F17" s="129">
        <v>14818</v>
      </c>
      <c r="G17" s="129">
        <v>14732</v>
      </c>
      <c r="H17" s="129">
        <v>31539</v>
      </c>
      <c r="I17" s="129">
        <v>64247</v>
      </c>
      <c r="J17" s="129">
        <v>28253</v>
      </c>
      <c r="K17" s="129">
        <v>35994</v>
      </c>
    </row>
    <row r="18" spans="1:11" s="332" customFormat="1" outlineLevel="1">
      <c r="A18" s="288">
        <v>2001</v>
      </c>
      <c r="B18" s="129">
        <v>10794096</v>
      </c>
      <c r="C18" s="169">
        <f t="shared" ref="C18:C30" si="0">D18+E18+I18</f>
        <v>146317</v>
      </c>
      <c r="D18" s="129">
        <v>17813</v>
      </c>
      <c r="E18" s="129">
        <v>61998</v>
      </c>
      <c r="F18" s="129">
        <v>16952</v>
      </c>
      <c r="G18" s="129">
        <v>13573</v>
      </c>
      <c r="H18" s="129">
        <v>31473</v>
      </c>
      <c r="I18" s="129">
        <v>66506</v>
      </c>
      <c r="J18" s="129">
        <v>27632</v>
      </c>
      <c r="K18" s="129">
        <v>38874</v>
      </c>
    </row>
    <row r="19" spans="1:11" s="332" customFormat="1" outlineLevel="1">
      <c r="A19" s="288">
        <v>2002</v>
      </c>
      <c r="B19" s="129">
        <v>10894112</v>
      </c>
      <c r="C19" s="169">
        <f t="shared" si="0"/>
        <v>147138</v>
      </c>
      <c r="D19" s="129">
        <v>17279</v>
      </c>
      <c r="E19" s="129">
        <v>62332</v>
      </c>
      <c r="F19" s="129">
        <v>15545</v>
      </c>
      <c r="G19" s="129">
        <v>14163</v>
      </c>
      <c r="H19" s="129">
        <v>32626</v>
      </c>
      <c r="I19" s="129">
        <v>67527</v>
      </c>
      <c r="J19" s="129">
        <v>27326</v>
      </c>
      <c r="K19" s="129">
        <v>40202</v>
      </c>
    </row>
    <row r="20" spans="1:11" s="332" customFormat="1" outlineLevel="1">
      <c r="A20" s="288">
        <v>2003</v>
      </c>
      <c r="B20" s="129">
        <v>11037487</v>
      </c>
      <c r="C20" s="169">
        <f t="shared" si="0"/>
        <v>143043</v>
      </c>
      <c r="D20" s="129">
        <v>17365</v>
      </c>
      <c r="E20" s="129">
        <v>60068</v>
      </c>
      <c r="F20" s="129">
        <v>14636</v>
      </c>
      <c r="G20" s="129">
        <v>15166</v>
      </c>
      <c r="H20" s="129">
        <v>30265</v>
      </c>
      <c r="I20" s="129">
        <v>65610</v>
      </c>
      <c r="J20" s="129">
        <v>24967</v>
      </c>
      <c r="K20" s="129">
        <v>40643</v>
      </c>
    </row>
    <row r="21" spans="1:11" s="332" customFormat="1" outlineLevel="1">
      <c r="A21" s="288">
        <v>2004</v>
      </c>
      <c r="B21" s="129">
        <v>11390210</v>
      </c>
      <c r="C21" s="169">
        <f t="shared" si="0"/>
        <v>142852</v>
      </c>
      <c r="D21" s="129">
        <v>16327</v>
      </c>
      <c r="E21" s="129">
        <v>60337</v>
      </c>
      <c r="F21" s="129">
        <v>15636</v>
      </c>
      <c r="G21" s="129">
        <v>14491</v>
      </c>
      <c r="H21" s="129">
        <v>30210</v>
      </c>
      <c r="I21" s="129">
        <v>66188</v>
      </c>
      <c r="J21" s="129">
        <v>25647</v>
      </c>
      <c r="K21" s="129">
        <v>40540</v>
      </c>
    </row>
    <row r="22" spans="1:11" s="332" customFormat="1" outlineLevel="1">
      <c r="A22" s="288">
        <v>2005</v>
      </c>
      <c r="B22" s="129">
        <v>11406183</v>
      </c>
      <c r="C22" s="169">
        <f t="shared" si="0"/>
        <v>134405</v>
      </c>
      <c r="D22" s="129">
        <v>15930</v>
      </c>
      <c r="E22" s="129">
        <v>56871</v>
      </c>
      <c r="F22" s="129">
        <v>15109</v>
      </c>
      <c r="G22" s="129">
        <v>12976</v>
      </c>
      <c r="H22" s="129">
        <v>28785</v>
      </c>
      <c r="I22" s="129">
        <v>61604</v>
      </c>
      <c r="J22" s="129">
        <v>20744</v>
      </c>
      <c r="K22" s="129">
        <v>40860</v>
      </c>
    </row>
    <row r="23" spans="1:11" s="332" customFormat="1" outlineLevel="1">
      <c r="A23" s="288">
        <v>2006</v>
      </c>
      <c r="B23" s="129">
        <v>11496612</v>
      </c>
      <c r="C23" s="169">
        <f t="shared" si="0"/>
        <v>129446</v>
      </c>
      <c r="D23" s="129">
        <v>15286</v>
      </c>
      <c r="E23" s="129">
        <v>55818</v>
      </c>
      <c r="F23" s="129">
        <v>13473</v>
      </c>
      <c r="G23" s="129">
        <v>12216</v>
      </c>
      <c r="H23" s="129">
        <v>30129</v>
      </c>
      <c r="I23" s="129">
        <v>58342</v>
      </c>
      <c r="J23" s="129">
        <v>18901</v>
      </c>
      <c r="K23" s="129">
        <v>39441</v>
      </c>
    </row>
    <row r="24" spans="1:11">
      <c r="A24" s="288">
        <v>2007</v>
      </c>
      <c r="B24" s="129">
        <v>11659969</v>
      </c>
      <c r="C24" s="169">
        <f t="shared" si="0"/>
        <v>114312</v>
      </c>
      <c r="D24" s="129">
        <v>12759</v>
      </c>
      <c r="E24" s="129">
        <v>48595</v>
      </c>
      <c r="F24" s="129">
        <v>11015</v>
      </c>
      <c r="G24" s="129">
        <v>9290</v>
      </c>
      <c r="H24" s="129">
        <v>28289</v>
      </c>
      <c r="I24" s="129">
        <v>52958</v>
      </c>
      <c r="J24" s="129">
        <v>17006</v>
      </c>
      <c r="K24" s="129">
        <v>35952</v>
      </c>
    </row>
    <row r="25" spans="1:11">
      <c r="A25" s="288">
        <v>2008</v>
      </c>
      <c r="B25" s="129">
        <v>11722098</v>
      </c>
      <c r="C25" s="169">
        <f t="shared" si="0"/>
        <v>104652</v>
      </c>
      <c r="D25" s="129">
        <v>11785</v>
      </c>
      <c r="E25" s="129">
        <v>43235</v>
      </c>
      <c r="F25" s="129">
        <v>8498</v>
      </c>
      <c r="G25" s="129">
        <v>8015</v>
      </c>
      <c r="H25" s="129">
        <v>26722</v>
      </c>
      <c r="I25" s="129">
        <v>49632</v>
      </c>
      <c r="J25" s="129">
        <v>14699</v>
      </c>
      <c r="K25" s="129">
        <v>34933</v>
      </c>
    </row>
    <row r="26" spans="1:11">
      <c r="A26" s="288">
        <v>2009</v>
      </c>
      <c r="B26" s="129">
        <v>11235140</v>
      </c>
      <c r="C26" s="169">
        <f t="shared" si="0"/>
        <v>85899</v>
      </c>
      <c r="D26" s="129">
        <v>8748</v>
      </c>
      <c r="E26" s="129">
        <v>33429</v>
      </c>
      <c r="F26" s="129">
        <v>5755</v>
      </c>
      <c r="G26" s="129">
        <v>6690</v>
      </c>
      <c r="H26" s="129">
        <v>20984</v>
      </c>
      <c r="I26" s="129">
        <v>43722</v>
      </c>
      <c r="J26" s="129">
        <v>12404</v>
      </c>
      <c r="K26" s="129">
        <v>31318</v>
      </c>
    </row>
    <row r="27" spans="1:11">
      <c r="A27" s="288">
        <v>2010</v>
      </c>
      <c r="B27" s="129">
        <v>11481015</v>
      </c>
      <c r="C27" s="169">
        <f t="shared" si="0"/>
        <v>84534</v>
      </c>
      <c r="D27" s="129">
        <v>8657</v>
      </c>
      <c r="E27" s="129">
        <v>35124</v>
      </c>
      <c r="F27" s="129">
        <v>6650</v>
      </c>
      <c r="G27" s="129">
        <v>6864</v>
      </c>
      <c r="H27" s="129">
        <v>21610</v>
      </c>
      <c r="I27" s="129">
        <v>40753</v>
      </c>
      <c r="J27" s="129">
        <v>11622</v>
      </c>
      <c r="K27" s="129">
        <v>29131</v>
      </c>
    </row>
    <row r="28" spans="1:11">
      <c r="A28" s="288">
        <v>2011</v>
      </c>
      <c r="B28" s="129">
        <v>11682548</v>
      </c>
      <c r="C28" s="169">
        <f t="shared" si="0"/>
        <v>85378</v>
      </c>
      <c r="D28" s="129">
        <v>9974</v>
      </c>
      <c r="E28" s="129">
        <v>33616</v>
      </c>
      <c r="F28" s="129">
        <v>6775</v>
      </c>
      <c r="G28" s="129">
        <v>5956</v>
      </c>
      <c r="H28" s="129">
        <v>20885</v>
      </c>
      <c r="I28" s="129">
        <v>41788</v>
      </c>
      <c r="J28" s="129">
        <v>12101</v>
      </c>
      <c r="K28" s="129">
        <v>29687</v>
      </c>
    </row>
    <row r="29" spans="1:11">
      <c r="A29" s="288">
        <v>2012</v>
      </c>
      <c r="B29" s="129">
        <v>11815418</v>
      </c>
      <c r="C29" s="169">
        <f t="shared" si="0"/>
        <v>77062</v>
      </c>
      <c r="D29" s="129">
        <v>8610</v>
      </c>
      <c r="E29" s="129">
        <v>30246</v>
      </c>
      <c r="F29" s="129">
        <v>4201</v>
      </c>
      <c r="G29" s="129">
        <v>6003</v>
      </c>
      <c r="H29" s="129">
        <v>20042</v>
      </c>
      <c r="I29" s="129">
        <v>38206</v>
      </c>
      <c r="J29" s="129">
        <v>11198</v>
      </c>
      <c r="K29" s="129">
        <v>27008</v>
      </c>
    </row>
    <row r="30" spans="1:11">
      <c r="A30" s="288">
        <v>2013</v>
      </c>
      <c r="B30" s="129">
        <v>11934668</v>
      </c>
      <c r="C30" s="169">
        <f t="shared" si="0"/>
        <v>77997</v>
      </c>
      <c r="D30" s="129">
        <v>8720</v>
      </c>
      <c r="E30" s="129">
        <v>31680</v>
      </c>
      <c r="F30" s="129">
        <v>4112</v>
      </c>
      <c r="G30" s="129">
        <v>6766</v>
      </c>
      <c r="H30" s="129">
        <v>20801</v>
      </c>
      <c r="I30" s="129">
        <v>37597</v>
      </c>
      <c r="J30" s="129">
        <v>11583</v>
      </c>
      <c r="K30" s="129">
        <v>26014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1.3195770282988128</v>
      </c>
      <c r="C32" s="284">
        <f t="shared" ref="C32:K32" si="1">((C24/C17)^(1/7)-1)*100</f>
        <v>-3.4250509181431799</v>
      </c>
      <c r="D32" s="284">
        <f t="shared" si="1"/>
        <v>-6.5887733174673446</v>
      </c>
      <c r="E32" s="284">
        <f t="shared" si="1"/>
        <v>-3.2156590462793733</v>
      </c>
      <c r="F32" s="284">
        <f t="shared" si="1"/>
        <v>-4.1484206838617315</v>
      </c>
      <c r="G32" s="284">
        <f t="shared" si="1"/>
        <v>-6.3746554152566919</v>
      </c>
      <c r="H32" s="284">
        <f t="shared" si="1"/>
        <v>-1.5415916232260796</v>
      </c>
      <c r="I32" s="284">
        <f t="shared" si="1"/>
        <v>-2.7227586705017459</v>
      </c>
      <c r="J32" s="284">
        <f t="shared" si="1"/>
        <v>-6.9951980712968602</v>
      </c>
      <c r="K32" s="284">
        <f t="shared" si="1"/>
        <v>-1.6677787045837889E-2</v>
      </c>
    </row>
    <row r="33" spans="1:12">
      <c r="A33" s="320" t="s">
        <v>368</v>
      </c>
      <c r="B33" s="284">
        <f>((B27/B24)^(1/3)-1)*100</f>
        <v>-0.51423063869331376</v>
      </c>
      <c r="C33" s="284">
        <f t="shared" ref="C33:K33" si="2">((C27/C24)^(1/3)-1)*100</f>
        <v>-9.5698609233870418</v>
      </c>
      <c r="D33" s="284">
        <f t="shared" si="2"/>
        <v>-12.128050824511938</v>
      </c>
      <c r="E33" s="284">
        <f t="shared" si="2"/>
        <v>-10.256267669796582</v>
      </c>
      <c r="F33" s="284">
        <f t="shared" si="2"/>
        <v>-15.482680533686356</v>
      </c>
      <c r="G33" s="284">
        <f t="shared" si="2"/>
        <v>-9.5960956864456151</v>
      </c>
      <c r="H33" s="284">
        <f t="shared" si="2"/>
        <v>-8.5860678540473749</v>
      </c>
      <c r="I33" s="284">
        <f t="shared" si="2"/>
        <v>-8.361915401013075</v>
      </c>
      <c r="J33" s="284">
        <f t="shared" si="2"/>
        <v>-11.916837536221292</v>
      </c>
      <c r="K33" s="284">
        <f t="shared" si="2"/>
        <v>-6.7724840228214784</v>
      </c>
    </row>
    <row r="34" spans="1:12">
      <c r="A34" s="320" t="s">
        <v>392</v>
      </c>
      <c r="B34" s="284">
        <f>((B30/B27)^(1/3)-1)*100</f>
        <v>1.3001338728696465</v>
      </c>
      <c r="C34" s="284">
        <f t="shared" ref="C34:K34" si="3">((C30/C27)^(1/3)-1)*100</f>
        <v>-2.6471149373687219</v>
      </c>
      <c r="D34" s="284">
        <f t="shared" si="3"/>
        <v>0.24199218581686388</v>
      </c>
      <c r="E34" s="284">
        <f t="shared" si="3"/>
        <v>-3.3814753750414872</v>
      </c>
      <c r="F34" s="284">
        <f t="shared" si="3"/>
        <v>-14.805710198242295</v>
      </c>
      <c r="G34" s="284">
        <f t="shared" si="3"/>
        <v>-0.47819604549939054</v>
      </c>
      <c r="H34" s="284">
        <f t="shared" si="3"/>
        <v>-1.2637832681850925</v>
      </c>
      <c r="I34" s="284">
        <f t="shared" si="3"/>
        <v>-2.6510654613860485</v>
      </c>
      <c r="J34" s="284">
        <f t="shared" si="3"/>
        <v>-0.11198217653626275</v>
      </c>
      <c r="K34" s="284">
        <f t="shared" si="3"/>
        <v>-3.7020044013374442</v>
      </c>
    </row>
    <row r="35" spans="1:12">
      <c r="A35" s="320" t="s">
        <v>69</v>
      </c>
      <c r="B35" s="253">
        <f>IFERROR(((B30/B24)^(1/6)-1)*100,"n.a.")</f>
        <v>0.38885274145630255</v>
      </c>
      <c r="C35" s="253">
        <f t="shared" ref="C35:K35" si="4">IFERROR(((C30/C24)^(1/6)-1)*100,"n.a.")</f>
        <v>-6.1723125313041578</v>
      </c>
      <c r="D35" s="253">
        <f t="shared" si="4"/>
        <v>-6.1466077192637076</v>
      </c>
      <c r="E35" s="253">
        <f t="shared" si="4"/>
        <v>-6.8822948517230476</v>
      </c>
      <c r="F35" s="253">
        <f t="shared" si="4"/>
        <v>-15.144870468068561</v>
      </c>
      <c r="G35" s="253">
        <f t="shared" si="4"/>
        <v>-5.1466413783096909</v>
      </c>
      <c r="H35" s="253">
        <f t="shared" si="4"/>
        <v>-4.9954431794442815</v>
      </c>
      <c r="I35" s="253">
        <f t="shared" si="4"/>
        <v>-5.5496432041109545</v>
      </c>
      <c r="J35" s="253">
        <f t="shared" si="4"/>
        <v>-6.1999333575451061</v>
      </c>
      <c r="K35" s="253">
        <f t="shared" si="4"/>
        <v>-5.2496811443645814</v>
      </c>
    </row>
    <row r="36" spans="1:12" s="352" customFormat="1">
      <c r="A36" s="442" t="s">
        <v>15</v>
      </c>
      <c r="B36" s="253">
        <f>((B30/B17)^(1/13)-1)*100</f>
        <v>0.88894455531263183</v>
      </c>
      <c r="C36" s="253">
        <f t="shared" ref="C36:K36" si="5">((C30/C17)^(1/13)-1)*100</f>
        <v>-4.702873187315304</v>
      </c>
      <c r="D36" s="253">
        <f t="shared" si="5"/>
        <v>-6.3849563359691501</v>
      </c>
      <c r="E36" s="253">
        <f t="shared" si="5"/>
        <v>-4.925557008698922</v>
      </c>
      <c r="F36" s="253">
        <f t="shared" si="5"/>
        <v>-9.3904201578608131</v>
      </c>
      <c r="G36" s="253">
        <f t="shared" si="5"/>
        <v>-5.8098678095353513</v>
      </c>
      <c r="H36" s="253">
        <f t="shared" si="5"/>
        <v>-3.1510091943228291</v>
      </c>
      <c r="I36" s="253">
        <f t="shared" si="5"/>
        <v>-4.0378375235581743</v>
      </c>
      <c r="J36" s="253">
        <f t="shared" si="5"/>
        <v>-6.6289941216900017</v>
      </c>
      <c r="K36" s="253">
        <f t="shared" si="5"/>
        <v>-2.4668886248600974</v>
      </c>
    </row>
    <row r="37" spans="1:12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2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2" hidden="1" outlineLevel="1">
      <c r="A39" s="266" t="s">
        <v>398</v>
      </c>
      <c r="C39" s="289"/>
    </row>
    <row r="40" spans="1:12" collapsed="1">
      <c r="A40" s="289"/>
      <c r="B40" s="287"/>
      <c r="C40" s="289"/>
      <c r="D40" s="287"/>
      <c r="E40" s="287"/>
      <c r="F40" s="287"/>
      <c r="G40" s="287"/>
      <c r="H40" s="287"/>
      <c r="I40" s="287"/>
      <c r="J40" s="287"/>
      <c r="K40" s="287"/>
      <c r="L40" s="287"/>
    </row>
    <row r="42" spans="1:12">
      <c r="C42" s="272"/>
    </row>
    <row r="43" spans="1:12">
      <c r="C43" s="272"/>
    </row>
    <row r="44" spans="1:12">
      <c r="C44" s="272"/>
    </row>
    <row r="45" spans="1:12">
      <c r="C45" s="272"/>
    </row>
    <row r="46" spans="1:12">
      <c r="C46" s="272"/>
    </row>
    <row r="47" spans="1:12">
      <c r="C47" s="272"/>
    </row>
    <row r="48" spans="1:12">
      <c r="C48" s="272"/>
    </row>
    <row r="49" spans="3:3">
      <c r="C49" s="272"/>
    </row>
    <row r="50" spans="3:3">
      <c r="C50" s="272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K40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K34" sqref="K34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hidden="1" outlineLevel="1">
      <c r="A12" s="265">
        <v>1992</v>
      </c>
      <c r="B12" s="265"/>
      <c r="C12" s="263"/>
      <c r="D12" s="265"/>
      <c r="E12" s="265"/>
      <c r="F12" s="265"/>
      <c r="G12" s="265"/>
      <c r="H12" s="265"/>
      <c r="I12" s="265"/>
      <c r="J12" s="265"/>
      <c r="K12" s="265"/>
    </row>
    <row r="13" spans="1:11" hidden="1" outlineLevel="1">
      <c r="A13" s="265">
        <v>1993</v>
      </c>
      <c r="B13" s="265"/>
      <c r="C13" s="263"/>
      <c r="D13" s="265"/>
      <c r="E13" s="265"/>
      <c r="F13" s="265"/>
      <c r="G13" s="265"/>
      <c r="H13" s="265"/>
      <c r="I13" s="265"/>
      <c r="J13" s="265"/>
      <c r="K13" s="265"/>
    </row>
    <row r="14" spans="1:11" hidden="1" outlineLevel="1">
      <c r="A14" s="265">
        <v>1994</v>
      </c>
      <c r="B14" s="263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1025196</v>
      </c>
      <c r="C17" s="169">
        <f>D17+E17+I17</f>
        <v>14720</v>
      </c>
      <c r="D17" s="129">
        <v>1434</v>
      </c>
      <c r="E17" s="129">
        <v>8249</v>
      </c>
      <c r="F17" s="129">
        <v>2064</v>
      </c>
      <c r="G17" s="129">
        <v>1802</v>
      </c>
      <c r="H17" s="129">
        <v>4384</v>
      </c>
      <c r="I17" s="129">
        <v>5037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1020402</v>
      </c>
      <c r="C18" s="169">
        <f t="shared" ref="C18:C28" si="0">D18+E18+I18</f>
        <v>14247</v>
      </c>
      <c r="D18" s="129">
        <v>1344</v>
      </c>
      <c r="E18" s="129">
        <v>7772</v>
      </c>
      <c r="F18" s="129">
        <v>1803</v>
      </c>
      <c r="G18" s="129">
        <v>1412</v>
      </c>
      <c r="H18" s="129">
        <v>4558</v>
      </c>
      <c r="I18" s="129">
        <v>5131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1029489</v>
      </c>
      <c r="C19" s="169">
        <f t="shared" si="0"/>
        <v>13753</v>
      </c>
      <c r="D19" s="129">
        <v>1304</v>
      </c>
      <c r="E19" s="129">
        <v>8158</v>
      </c>
      <c r="F19" s="129" t="s">
        <v>9</v>
      </c>
      <c r="G19" s="129">
        <v>1587</v>
      </c>
      <c r="H19" s="129" t="s">
        <v>9</v>
      </c>
      <c r="I19" s="129">
        <v>4291</v>
      </c>
      <c r="J19" s="129" t="s">
        <v>9</v>
      </c>
      <c r="K19" s="129" t="s">
        <v>9</v>
      </c>
    </row>
    <row r="20" spans="1:11" s="332" customFormat="1" outlineLevel="1">
      <c r="A20" s="288">
        <v>2003</v>
      </c>
      <c r="B20" s="129">
        <v>1042246</v>
      </c>
      <c r="C20" s="169">
        <f t="shared" si="0"/>
        <v>13219</v>
      </c>
      <c r="D20" s="129">
        <v>1241</v>
      </c>
      <c r="E20" s="129">
        <v>7931</v>
      </c>
      <c r="F20" s="129" t="s">
        <v>9</v>
      </c>
      <c r="G20" s="129" t="s">
        <v>9</v>
      </c>
      <c r="H20" s="129" t="s">
        <v>9</v>
      </c>
      <c r="I20" s="129">
        <v>4047</v>
      </c>
      <c r="J20" s="129" t="s">
        <v>9</v>
      </c>
      <c r="K20" s="129" t="s">
        <v>9</v>
      </c>
    </row>
    <row r="21" spans="1:11" s="332" customFormat="1" outlineLevel="1">
      <c r="A21" s="288">
        <v>2004</v>
      </c>
      <c r="B21" s="129">
        <v>1055267</v>
      </c>
      <c r="C21" s="169">
        <f t="shared" si="0"/>
        <v>13998</v>
      </c>
      <c r="D21" s="129">
        <v>1217</v>
      </c>
      <c r="E21" s="129">
        <v>8530</v>
      </c>
      <c r="F21" s="129" t="s">
        <v>9</v>
      </c>
      <c r="G21" s="129">
        <v>1428</v>
      </c>
      <c r="H21" s="129" t="s">
        <v>9</v>
      </c>
      <c r="I21" s="129">
        <v>4251</v>
      </c>
      <c r="J21" s="129" t="s">
        <v>9</v>
      </c>
      <c r="K21" s="129" t="s">
        <v>9</v>
      </c>
    </row>
    <row r="22" spans="1:11" s="332" customFormat="1" outlineLevel="1">
      <c r="A22" s="288">
        <v>2005</v>
      </c>
      <c r="B22" s="129">
        <v>1054049</v>
      </c>
      <c r="C22" s="253" t="s">
        <v>10</v>
      </c>
      <c r="D22" s="129">
        <v>1229</v>
      </c>
      <c r="E22" s="129" t="s">
        <v>9</v>
      </c>
      <c r="F22" s="129" t="s">
        <v>9</v>
      </c>
      <c r="G22" s="129">
        <v>1411</v>
      </c>
      <c r="H22" s="129" t="s">
        <v>9</v>
      </c>
      <c r="I22" s="129">
        <v>3972</v>
      </c>
      <c r="J22" s="129" t="s">
        <v>9</v>
      </c>
      <c r="K22" s="129" t="s">
        <v>9</v>
      </c>
    </row>
    <row r="23" spans="1:11" s="332" customFormat="1" outlineLevel="1">
      <c r="A23" s="288">
        <v>2006</v>
      </c>
      <c r="B23" s="129">
        <v>1068192</v>
      </c>
      <c r="C23" s="169">
        <f t="shared" si="0"/>
        <v>12029</v>
      </c>
      <c r="D23" s="129">
        <v>1247</v>
      </c>
      <c r="E23" s="129">
        <v>7926</v>
      </c>
      <c r="F23" s="129" t="s">
        <v>9</v>
      </c>
      <c r="G23" s="129">
        <v>1106</v>
      </c>
      <c r="H23" s="129" t="s">
        <v>9</v>
      </c>
      <c r="I23" s="129">
        <v>2856</v>
      </c>
      <c r="J23" s="129" t="s">
        <v>9</v>
      </c>
      <c r="K23" s="129" t="s">
        <v>9</v>
      </c>
    </row>
    <row r="24" spans="1:11">
      <c r="A24" s="288">
        <v>2007</v>
      </c>
      <c r="B24" s="129">
        <v>1091284</v>
      </c>
      <c r="C24" s="169">
        <f t="shared" si="0"/>
        <v>12288</v>
      </c>
      <c r="D24" s="129">
        <v>1194</v>
      </c>
      <c r="E24" s="129">
        <v>7911</v>
      </c>
      <c r="F24" s="129" t="s">
        <v>9</v>
      </c>
      <c r="G24" s="129">
        <v>1088</v>
      </c>
      <c r="H24" s="129" t="s">
        <v>9</v>
      </c>
      <c r="I24" s="129">
        <v>3183</v>
      </c>
      <c r="J24" s="129" t="s">
        <v>9</v>
      </c>
      <c r="K24" s="129" t="s">
        <v>9</v>
      </c>
    </row>
    <row r="25" spans="1:11">
      <c r="A25" s="288">
        <v>2008</v>
      </c>
      <c r="B25" s="129">
        <v>1105669</v>
      </c>
      <c r="C25" s="169">
        <f t="shared" si="0"/>
        <v>11547</v>
      </c>
      <c r="D25" s="129">
        <v>922</v>
      </c>
      <c r="E25" s="129">
        <v>7581</v>
      </c>
      <c r="F25" s="129" t="s">
        <v>9</v>
      </c>
      <c r="G25" s="129" t="s">
        <v>9</v>
      </c>
      <c r="H25" s="129" t="s">
        <v>9</v>
      </c>
      <c r="I25" s="129">
        <v>3044</v>
      </c>
      <c r="J25" s="129" t="s">
        <v>9</v>
      </c>
      <c r="K25" s="129" t="s">
        <v>9</v>
      </c>
    </row>
    <row r="26" spans="1:11">
      <c r="A26" s="288">
        <v>2009</v>
      </c>
      <c r="B26" s="129">
        <v>1094347</v>
      </c>
      <c r="C26" s="253" t="s">
        <v>10</v>
      </c>
      <c r="D26" s="129">
        <v>717</v>
      </c>
      <c r="E26" s="129">
        <v>6289</v>
      </c>
      <c r="F26" s="129" t="s">
        <v>9</v>
      </c>
      <c r="G26" s="129" t="s">
        <v>9</v>
      </c>
      <c r="H26" s="129">
        <v>4824</v>
      </c>
      <c r="I26" s="129" t="s">
        <v>9</v>
      </c>
      <c r="J26" s="129" t="s">
        <v>9</v>
      </c>
      <c r="K26" s="129">
        <v>1797</v>
      </c>
    </row>
    <row r="27" spans="1:11">
      <c r="A27" s="288">
        <v>2010</v>
      </c>
      <c r="B27" s="129">
        <v>1101996</v>
      </c>
      <c r="C27" s="253" t="s">
        <v>10</v>
      </c>
      <c r="D27" s="129">
        <v>728</v>
      </c>
      <c r="E27" s="129">
        <v>4856</v>
      </c>
      <c r="F27" s="129" t="s">
        <v>9</v>
      </c>
      <c r="G27" s="129">
        <v>1009</v>
      </c>
      <c r="H27" s="129" t="s">
        <v>9</v>
      </c>
      <c r="I27" s="129" t="s">
        <v>9</v>
      </c>
      <c r="J27" s="129" t="s">
        <v>9</v>
      </c>
      <c r="K27" s="129" t="s">
        <v>9</v>
      </c>
    </row>
    <row r="28" spans="1:11">
      <c r="A28" s="288">
        <v>2011</v>
      </c>
      <c r="B28" s="129">
        <v>1108445</v>
      </c>
      <c r="C28" s="169">
        <f t="shared" si="0"/>
        <v>7941</v>
      </c>
      <c r="D28" s="129">
        <v>708</v>
      </c>
      <c r="E28" s="129">
        <v>4723</v>
      </c>
      <c r="F28" s="129" t="s">
        <v>9</v>
      </c>
      <c r="G28" s="129">
        <v>1021</v>
      </c>
      <c r="H28" s="129" t="s">
        <v>9</v>
      </c>
      <c r="I28" s="129">
        <v>2510</v>
      </c>
      <c r="J28" s="129" t="s">
        <v>9</v>
      </c>
      <c r="K28" s="129" t="s">
        <v>9</v>
      </c>
    </row>
    <row r="29" spans="1:11">
      <c r="A29" s="288">
        <v>2012</v>
      </c>
      <c r="B29" s="129">
        <v>1125981</v>
      </c>
      <c r="C29" s="253" t="s">
        <v>10</v>
      </c>
      <c r="D29" s="129">
        <v>835</v>
      </c>
      <c r="E29" s="129">
        <v>4892</v>
      </c>
      <c r="F29" s="129" t="s">
        <v>9</v>
      </c>
      <c r="G29" s="129">
        <v>1040</v>
      </c>
      <c r="H29" s="129" t="s">
        <v>9</v>
      </c>
      <c r="I29" s="129" t="s">
        <v>9</v>
      </c>
      <c r="J29" s="129" t="s">
        <v>9</v>
      </c>
      <c r="K29" s="129" t="s">
        <v>9</v>
      </c>
    </row>
    <row r="30" spans="1:11">
      <c r="A30" s="288">
        <v>2013</v>
      </c>
      <c r="B30" s="129">
        <v>1122487</v>
      </c>
      <c r="C30" s="253" t="s">
        <v>10</v>
      </c>
      <c r="D30" s="129">
        <v>825</v>
      </c>
      <c r="E30" s="129">
        <v>4546</v>
      </c>
      <c r="F30" s="129" t="s">
        <v>9</v>
      </c>
      <c r="G30" s="129">
        <v>1100</v>
      </c>
      <c r="H30" s="129" t="s">
        <v>9</v>
      </c>
      <c r="I30" s="129" t="s">
        <v>9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0.89643946317217171</v>
      </c>
      <c r="C32" s="284">
        <f t="shared" ref="C32:I32" si="1">((C24/C17)^(1/7)-1)*100</f>
        <v>-2.5467787600343739</v>
      </c>
      <c r="D32" s="284">
        <f t="shared" si="1"/>
        <v>-2.5826181125552239</v>
      </c>
      <c r="E32" s="284">
        <f t="shared" si="1"/>
        <v>-0.59590007100550624</v>
      </c>
      <c r="F32" s="284" t="s">
        <v>10</v>
      </c>
      <c r="G32" s="284">
        <f t="shared" si="1"/>
        <v>-6.9543013422518669</v>
      </c>
      <c r="H32" s="284" t="s">
        <v>10</v>
      </c>
      <c r="I32" s="284">
        <f t="shared" si="1"/>
        <v>-6.3466047082420429</v>
      </c>
      <c r="J32" s="284" t="s">
        <v>10</v>
      </c>
      <c r="K32" s="284" t="s">
        <v>10</v>
      </c>
    </row>
    <row r="33" spans="1:11">
      <c r="A33" s="320" t="s">
        <v>368</v>
      </c>
      <c r="B33" s="284">
        <f>((B27/B24)^(1/3)-1)*100</f>
        <v>0.32613387450675102</v>
      </c>
      <c r="C33" s="284" t="s">
        <v>10</v>
      </c>
      <c r="D33" s="284">
        <f t="shared" ref="D33:G33" si="2">((D27/D24)^(1/3)-1)*100</f>
        <v>-15.203937912730636</v>
      </c>
      <c r="E33" s="284">
        <f t="shared" si="2"/>
        <v>-15.013665592043102</v>
      </c>
      <c r="F33" s="284" t="s">
        <v>10</v>
      </c>
      <c r="G33" s="284">
        <f t="shared" si="2"/>
        <v>-2.4814076785918182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1">
      <c r="A34" s="320" t="s">
        <v>392</v>
      </c>
      <c r="B34" s="284">
        <f>((B30/B27)^(1/3)-1)*100</f>
        <v>0.61601220958766856</v>
      </c>
      <c r="C34" s="284" t="s">
        <v>10</v>
      </c>
      <c r="D34" s="284">
        <f t="shared" ref="D34:G34" si="3">((D30/D27)^(1/3)-1)*100</f>
        <v>4.2575519372977988</v>
      </c>
      <c r="E34" s="284">
        <f t="shared" si="3"/>
        <v>-2.1749111309036007</v>
      </c>
      <c r="F34" s="284" t="s">
        <v>10</v>
      </c>
      <c r="G34" s="284">
        <f t="shared" si="3"/>
        <v>2.9201727052737825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1">
      <c r="A35" s="320" t="s">
        <v>69</v>
      </c>
      <c r="B35" s="253">
        <f>IFERROR(((B30/B24)^(1/6)-1)*100,"n.a.")</f>
        <v>0.47096849766155024</v>
      </c>
      <c r="C35" s="253" t="str">
        <f t="shared" ref="C35:K35" si="4">IFERROR(((C30/C24)^(1/6)-1)*100,"n.a.")</f>
        <v>n.a.</v>
      </c>
      <c r="D35" s="253">
        <f t="shared" si="4"/>
        <v>-5.9753763786218883</v>
      </c>
      <c r="E35" s="253">
        <f t="shared" si="4"/>
        <v>-8.8199818155472833</v>
      </c>
      <c r="F35" s="253" t="str">
        <f t="shared" si="4"/>
        <v>n.a.</v>
      </c>
      <c r="G35" s="253">
        <f t="shared" si="4"/>
        <v>0.18298440201567345</v>
      </c>
      <c r="H35" s="253" t="str">
        <f t="shared" si="4"/>
        <v>n.a.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1" s="352" customFormat="1">
      <c r="A36" s="442" t="s">
        <v>15</v>
      </c>
      <c r="B36" s="253">
        <f>((B30/B17)^(1/13)-1)*100</f>
        <v>0.69984482048595087</v>
      </c>
      <c r="C36" s="284" t="s">
        <v>10</v>
      </c>
      <c r="D36" s="253">
        <f t="shared" ref="D36:G36" si="5">((D30/D17)^(1/13)-1)*100</f>
        <v>-4.1634572827204064</v>
      </c>
      <c r="E36" s="253">
        <f t="shared" si="5"/>
        <v>-4.4799653407736955</v>
      </c>
      <c r="F36" s="284" t="s">
        <v>10</v>
      </c>
      <c r="G36" s="253">
        <f t="shared" si="5"/>
        <v>-3.7256472446461797</v>
      </c>
      <c r="H36" s="284" t="s">
        <v>10</v>
      </c>
      <c r="I36" s="284" t="s">
        <v>10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idden="1" outlineLevel="1">
      <c r="A39" s="266" t="s">
        <v>398</v>
      </c>
      <c r="C39" s="289"/>
    </row>
    <row r="40" spans="1:11" collapsed="1">
      <c r="A40" s="289"/>
      <c r="B40" s="287"/>
      <c r="C40" s="289"/>
      <c r="D40" s="287"/>
      <c r="E40" s="287"/>
      <c r="F40" s="287"/>
      <c r="G40" s="287"/>
      <c r="H40" s="287"/>
      <c r="I40" s="287"/>
      <c r="J40" s="287"/>
      <c r="K40" s="287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K40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K34" sqref="K34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576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65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hidden="1" outlineLevel="1">
      <c r="A12" s="265">
        <v>1992</v>
      </c>
      <c r="B12" s="265"/>
      <c r="C12" s="263"/>
      <c r="D12" s="265"/>
      <c r="E12" s="265"/>
      <c r="F12" s="265"/>
      <c r="G12" s="265"/>
      <c r="H12" s="265"/>
      <c r="I12" s="265"/>
      <c r="J12" s="265"/>
      <c r="K12" s="265"/>
    </row>
    <row r="13" spans="1:11" hidden="1" outlineLevel="1">
      <c r="A13" s="265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65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896803</v>
      </c>
      <c r="C17" s="169">
        <f>D17+E17+I17</f>
        <v>8558</v>
      </c>
      <c r="D17" s="129">
        <v>2255</v>
      </c>
      <c r="E17" s="129">
        <v>4135</v>
      </c>
      <c r="F17" s="129">
        <v>1898</v>
      </c>
      <c r="G17" s="129">
        <v>1534</v>
      </c>
      <c r="H17" s="129">
        <v>704</v>
      </c>
      <c r="I17" s="129">
        <v>2168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868287</v>
      </c>
      <c r="C18" s="169">
        <f t="shared" ref="C18:C25" si="0">D18+E18+I18</f>
        <v>8082</v>
      </c>
      <c r="D18" s="129">
        <v>2205</v>
      </c>
      <c r="E18" s="129">
        <v>3774</v>
      </c>
      <c r="F18" s="129">
        <v>1511</v>
      </c>
      <c r="G18" s="129">
        <v>1534</v>
      </c>
      <c r="H18" s="129">
        <v>729</v>
      </c>
      <c r="I18" s="129">
        <v>2103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870117</v>
      </c>
      <c r="C19" s="169">
        <f t="shared" si="0"/>
        <v>8178</v>
      </c>
      <c r="D19" s="129">
        <v>1992</v>
      </c>
      <c r="E19" s="129">
        <v>4354</v>
      </c>
      <c r="F19" s="129">
        <v>1649</v>
      </c>
      <c r="G19" s="129">
        <v>1830</v>
      </c>
      <c r="H19" s="129">
        <v>875</v>
      </c>
      <c r="I19" s="129">
        <v>1832</v>
      </c>
      <c r="J19" s="129" t="s">
        <v>9</v>
      </c>
      <c r="K19" s="129" t="s">
        <v>9</v>
      </c>
    </row>
    <row r="20" spans="1:11" s="332" customFormat="1" outlineLevel="1">
      <c r="A20" s="288">
        <v>2003</v>
      </c>
      <c r="B20" s="129">
        <v>878824</v>
      </c>
      <c r="C20" s="169">
        <f t="shared" si="0"/>
        <v>8307</v>
      </c>
      <c r="D20" s="129">
        <v>2085</v>
      </c>
      <c r="E20" s="129">
        <v>4148</v>
      </c>
      <c r="F20" s="129" t="s">
        <v>9</v>
      </c>
      <c r="G20" s="129" t="s">
        <v>9</v>
      </c>
      <c r="H20" s="129" t="s">
        <v>9</v>
      </c>
      <c r="I20" s="129">
        <v>2074</v>
      </c>
      <c r="J20" s="129" t="s">
        <v>9</v>
      </c>
      <c r="K20" s="129" t="s">
        <v>9</v>
      </c>
    </row>
    <row r="21" spans="1:11" s="332" customFormat="1" outlineLevel="1">
      <c r="A21" s="288">
        <v>2004</v>
      </c>
      <c r="B21" s="129">
        <v>890412</v>
      </c>
      <c r="C21" s="169">
        <f t="shared" si="0"/>
        <v>8743</v>
      </c>
      <c r="D21" s="129">
        <v>1958</v>
      </c>
      <c r="E21" s="129">
        <v>4438</v>
      </c>
      <c r="F21" s="129" t="s">
        <v>9</v>
      </c>
      <c r="G21" s="129">
        <v>2115</v>
      </c>
      <c r="H21" s="129" t="s">
        <v>9</v>
      </c>
      <c r="I21" s="129">
        <v>2347</v>
      </c>
      <c r="J21" s="129" t="s">
        <v>9</v>
      </c>
      <c r="K21" s="129" t="s">
        <v>9</v>
      </c>
    </row>
    <row r="22" spans="1:11" s="332" customFormat="1" outlineLevel="1">
      <c r="A22" s="288">
        <v>2005</v>
      </c>
      <c r="B22" s="129">
        <v>893614</v>
      </c>
      <c r="C22" s="169">
        <f t="shared" si="0"/>
        <v>7065</v>
      </c>
      <c r="D22" s="129">
        <v>1433</v>
      </c>
      <c r="E22" s="129">
        <v>3752</v>
      </c>
      <c r="F22" s="129" t="s">
        <v>9</v>
      </c>
      <c r="G22" s="129">
        <v>1749</v>
      </c>
      <c r="H22" s="129" t="s">
        <v>9</v>
      </c>
      <c r="I22" s="129">
        <v>1880</v>
      </c>
      <c r="J22" s="129" t="s">
        <v>9</v>
      </c>
      <c r="K22" s="129" t="s">
        <v>9</v>
      </c>
    </row>
    <row r="23" spans="1:11" s="332" customFormat="1" outlineLevel="1">
      <c r="A23" s="288">
        <v>2006</v>
      </c>
      <c r="B23" s="129">
        <v>911278</v>
      </c>
      <c r="C23" s="169">
        <f t="shared" si="0"/>
        <v>4906</v>
      </c>
      <c r="D23" s="129">
        <v>1228</v>
      </c>
      <c r="E23" s="129">
        <v>2866</v>
      </c>
      <c r="F23" s="129" t="s">
        <v>9</v>
      </c>
      <c r="G23" s="129">
        <v>1436</v>
      </c>
      <c r="H23" s="129" t="s">
        <v>9</v>
      </c>
      <c r="I23" s="129">
        <v>812</v>
      </c>
      <c r="J23" s="129" t="s">
        <v>9</v>
      </c>
      <c r="K23" s="129" t="s">
        <v>9</v>
      </c>
    </row>
    <row r="24" spans="1:11">
      <c r="A24" s="288">
        <v>2007</v>
      </c>
      <c r="B24" s="129">
        <v>932771</v>
      </c>
      <c r="C24" s="169">
        <f t="shared" si="0"/>
        <v>4543</v>
      </c>
      <c r="D24" s="129">
        <v>1001</v>
      </c>
      <c r="E24" s="129">
        <v>2468</v>
      </c>
      <c r="F24" s="129" t="s">
        <v>9</v>
      </c>
      <c r="G24" s="129">
        <v>1049</v>
      </c>
      <c r="H24" s="129" t="s">
        <v>9</v>
      </c>
      <c r="I24" s="129">
        <v>1074</v>
      </c>
      <c r="J24" s="129" t="s">
        <v>9</v>
      </c>
      <c r="K24" s="129" t="s">
        <v>9</v>
      </c>
    </row>
    <row r="25" spans="1:11">
      <c r="A25" s="288">
        <v>2008</v>
      </c>
      <c r="B25" s="129">
        <v>955891</v>
      </c>
      <c r="C25" s="169">
        <f t="shared" si="0"/>
        <v>3936</v>
      </c>
      <c r="D25" s="129">
        <v>895</v>
      </c>
      <c r="E25" s="129">
        <v>2648</v>
      </c>
      <c r="F25" s="129">
        <v>894</v>
      </c>
      <c r="G25" s="129">
        <v>936</v>
      </c>
      <c r="H25" s="129">
        <v>818</v>
      </c>
      <c r="I25" s="129">
        <v>393</v>
      </c>
      <c r="J25" s="129">
        <v>0</v>
      </c>
      <c r="K25" s="129">
        <v>393</v>
      </c>
    </row>
    <row r="26" spans="1:11">
      <c r="A26" s="288">
        <v>2009</v>
      </c>
      <c r="B26" s="129">
        <v>941909</v>
      </c>
      <c r="C26" s="253" t="s">
        <v>10</v>
      </c>
      <c r="D26" s="129">
        <v>730</v>
      </c>
      <c r="E26" s="129">
        <v>2481</v>
      </c>
      <c r="F26" s="129" t="s">
        <v>9</v>
      </c>
      <c r="G26" s="129" t="s">
        <v>9</v>
      </c>
      <c r="H26" s="129">
        <v>1166</v>
      </c>
      <c r="I26" s="129" t="s">
        <v>9</v>
      </c>
      <c r="J26" s="129" t="s">
        <v>9</v>
      </c>
      <c r="K26" s="129">
        <v>397</v>
      </c>
    </row>
    <row r="27" spans="1:11">
      <c r="A27" s="288">
        <v>2010</v>
      </c>
      <c r="B27" s="129">
        <v>955177</v>
      </c>
      <c r="C27" s="253" t="s">
        <v>10</v>
      </c>
      <c r="D27" s="129">
        <v>709</v>
      </c>
      <c r="E27" s="129">
        <v>2811</v>
      </c>
      <c r="F27" s="129" t="s">
        <v>9</v>
      </c>
      <c r="G27" s="129">
        <v>1580</v>
      </c>
      <c r="H27" s="129" t="s">
        <v>9</v>
      </c>
      <c r="I27" s="129" t="s">
        <v>9</v>
      </c>
      <c r="J27" s="129" t="s">
        <v>9</v>
      </c>
      <c r="K27" s="129" t="s">
        <v>9</v>
      </c>
    </row>
    <row r="28" spans="1:11">
      <c r="A28" s="288">
        <v>2011</v>
      </c>
      <c r="B28" s="129">
        <v>961813</v>
      </c>
      <c r="C28" s="253" t="s">
        <v>10</v>
      </c>
      <c r="D28" s="129">
        <v>608</v>
      </c>
      <c r="E28" s="129">
        <v>2928</v>
      </c>
      <c r="F28" s="129" t="s">
        <v>9</v>
      </c>
      <c r="G28" s="129">
        <v>1706</v>
      </c>
      <c r="H28" s="129" t="s">
        <v>9</v>
      </c>
      <c r="I28" s="129" t="s">
        <v>9</v>
      </c>
      <c r="J28" s="129" t="s">
        <v>9</v>
      </c>
      <c r="K28" s="129" t="s">
        <v>9</v>
      </c>
    </row>
    <row r="29" spans="1:11">
      <c r="A29" s="288">
        <v>2012</v>
      </c>
      <c r="B29" s="129">
        <v>992881</v>
      </c>
      <c r="C29" s="253" t="s">
        <v>10</v>
      </c>
      <c r="D29" s="129">
        <v>717</v>
      </c>
      <c r="E29" s="129">
        <v>3269</v>
      </c>
      <c r="F29" s="129" t="s">
        <v>9</v>
      </c>
      <c r="G29" s="129">
        <v>1802</v>
      </c>
      <c r="H29" s="129" t="s">
        <v>9</v>
      </c>
      <c r="I29" s="129" t="s">
        <v>9</v>
      </c>
      <c r="J29" s="129" t="s">
        <v>9</v>
      </c>
      <c r="K29" s="129" t="s">
        <v>9</v>
      </c>
    </row>
    <row r="30" spans="1:11">
      <c r="A30" s="288">
        <v>2013</v>
      </c>
      <c r="B30" s="129">
        <v>1031399</v>
      </c>
      <c r="C30" s="253" t="s">
        <v>10</v>
      </c>
      <c r="D30" s="129">
        <v>619</v>
      </c>
      <c r="E30" s="129">
        <v>3042</v>
      </c>
      <c r="F30" s="129" t="s">
        <v>9</v>
      </c>
      <c r="G30" s="129">
        <v>1586</v>
      </c>
      <c r="H30" s="129" t="s">
        <v>9</v>
      </c>
      <c r="I30" s="129" t="s">
        <v>9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0.56334526854024958</v>
      </c>
      <c r="C32" s="284">
        <f t="shared" ref="C32:I32" si="1">((C24/C17)^(1/7)-1)*100</f>
        <v>-8.6496816977936763</v>
      </c>
      <c r="D32" s="284">
        <f t="shared" si="1"/>
        <v>-10.954391823126153</v>
      </c>
      <c r="E32" s="284">
        <f t="shared" si="1"/>
        <v>-7.1073446657269557</v>
      </c>
      <c r="F32" s="284" t="s">
        <v>10</v>
      </c>
      <c r="G32" s="284">
        <f t="shared" si="1"/>
        <v>-5.2844147904147487</v>
      </c>
      <c r="H32" s="284" t="s">
        <v>10</v>
      </c>
      <c r="I32" s="284">
        <f t="shared" si="1"/>
        <v>-9.5474708335686049</v>
      </c>
      <c r="J32" s="284" t="s">
        <v>10</v>
      </c>
      <c r="K32" s="284" t="s">
        <v>10</v>
      </c>
    </row>
    <row r="33" spans="1:11">
      <c r="A33" s="320" t="s">
        <v>368</v>
      </c>
      <c r="B33" s="284">
        <f>((B27/B24)^(1/3)-1)*100</f>
        <v>0.79436976340763188</v>
      </c>
      <c r="C33" s="284" t="s">
        <v>10</v>
      </c>
      <c r="D33" s="284">
        <f t="shared" ref="D33:G33" si="2">((D27/D24)^(1/3)-1)*100</f>
        <v>-10.860392137111685</v>
      </c>
      <c r="E33" s="284">
        <f t="shared" si="2"/>
        <v>4.4331946451030557</v>
      </c>
      <c r="F33" s="284" t="s">
        <v>10</v>
      </c>
      <c r="G33" s="284">
        <f t="shared" si="2"/>
        <v>14.628831743159854</v>
      </c>
      <c r="H33" s="284" t="s">
        <v>10</v>
      </c>
      <c r="I33" s="284" t="s">
        <v>10</v>
      </c>
      <c r="J33" s="284" t="s">
        <v>10</v>
      </c>
      <c r="K33" s="284" t="s">
        <v>10</v>
      </c>
    </row>
    <row r="34" spans="1:11">
      <c r="A34" s="320" t="s">
        <v>392</v>
      </c>
      <c r="B34" s="284">
        <f>((B30/B27)^(1/3)-1)*100</f>
        <v>2.5921858777897322</v>
      </c>
      <c r="C34" s="284" t="s">
        <v>10</v>
      </c>
      <c r="D34" s="284">
        <f t="shared" ref="D34:G34" si="3">((D30/D27)^(1/3)-1)*100</f>
        <v>-4.4241568537236038</v>
      </c>
      <c r="E34" s="284">
        <f t="shared" si="3"/>
        <v>2.6674529923290669</v>
      </c>
      <c r="F34" s="284" t="s">
        <v>10</v>
      </c>
      <c r="G34" s="284">
        <f t="shared" si="3"/>
        <v>0.12642238493485447</v>
      </c>
      <c r="H34" s="284" t="s">
        <v>10</v>
      </c>
      <c r="I34" s="284" t="s">
        <v>10</v>
      </c>
      <c r="J34" s="284" t="s">
        <v>10</v>
      </c>
      <c r="K34" s="284" t="s">
        <v>10</v>
      </c>
    </row>
    <row r="35" spans="1:11">
      <c r="A35" s="320" t="s">
        <v>69</v>
      </c>
      <c r="B35" s="253">
        <f>IFERROR(((B30/B24)^(1/6)-1)*100,"n.a.")</f>
        <v>1.6893048368518571</v>
      </c>
      <c r="C35" s="253" t="str">
        <f t="shared" ref="C35:K35" si="4">IFERROR(((C30/C24)^(1/6)-1)*100,"n.a.")</f>
        <v>n.a.</v>
      </c>
      <c r="D35" s="253">
        <f t="shared" si="4"/>
        <v>-7.6983576569517371</v>
      </c>
      <c r="E35" s="253">
        <f t="shared" si="4"/>
        <v>3.5465600687191623</v>
      </c>
      <c r="F35" s="284" t="s">
        <v>10</v>
      </c>
      <c r="G35" s="253">
        <f t="shared" si="4"/>
        <v>7.132510586690044</v>
      </c>
      <c r="H35" s="253" t="str">
        <f t="shared" si="4"/>
        <v>n.a.</v>
      </c>
      <c r="I35" s="253" t="str">
        <f t="shared" si="4"/>
        <v>n.a.</v>
      </c>
      <c r="J35" s="253" t="str">
        <f t="shared" si="4"/>
        <v>n.a.</v>
      </c>
      <c r="K35" s="253" t="str">
        <f t="shared" si="4"/>
        <v>n.a.</v>
      </c>
    </row>
    <row r="36" spans="1:11" s="352" customFormat="1">
      <c r="A36" s="442" t="s">
        <v>15</v>
      </c>
      <c r="B36" s="253">
        <f>((B30/B17)^(1/13)-1)*100</f>
        <v>1.081461317637511</v>
      </c>
      <c r="C36" s="284" t="s">
        <v>10</v>
      </c>
      <c r="D36" s="253">
        <f t="shared" ref="D36:G36" si="5">((D30/D17)^(1/13)-1)*100</f>
        <v>-9.4661300992242126</v>
      </c>
      <c r="E36" s="253">
        <f t="shared" si="5"/>
        <v>-2.3336630053316987</v>
      </c>
      <c r="F36" s="284" t="s">
        <v>10</v>
      </c>
      <c r="G36" s="253">
        <f t="shared" si="5"/>
        <v>0.25676307527053854</v>
      </c>
      <c r="H36" s="284" t="s">
        <v>10</v>
      </c>
      <c r="I36" s="284" t="s">
        <v>10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idden="1" outlineLevel="1">
      <c r="A39" s="266" t="s">
        <v>398</v>
      </c>
      <c r="C39" s="289"/>
    </row>
    <row r="40" spans="1:11" collapsed="1">
      <c r="C40" s="289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K45"/>
  <sheetViews>
    <sheetView view="pageBreakPreview" zoomScaleNormal="85" zoomScaleSheetLayoutView="100" workbookViewId="0">
      <pane xSplit="1" ySplit="3" topLeftCell="B16" activePane="bottomRight" state="frozen"/>
      <selection activeCell="D42" sqref="D42"/>
      <selection pane="topRight" activeCell="D42" sqref="D42"/>
      <selection pane="bottomLeft" activeCell="D42" sqref="D42"/>
      <selection pane="bottomRight" activeCell="I37" sqref="I37"/>
    </sheetView>
  </sheetViews>
  <sheetFormatPr defaultRowHeight="15" outlineLevelRow="1"/>
  <cols>
    <col min="1" max="1" width="12.42578125" style="266" customWidth="1"/>
    <col min="2" max="2" width="15.42578125" style="266" customWidth="1"/>
    <col min="3" max="3" width="15.28515625" style="266" customWidth="1"/>
    <col min="4" max="11" width="15.42578125" style="266" customWidth="1"/>
    <col min="12" max="16384" width="9.140625" style="266"/>
  </cols>
  <sheetData>
    <row r="1" spans="1:11">
      <c r="A1" s="456" t="s">
        <v>577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outlineLevel="1" collapsed="1">
      <c r="A4" s="265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outlineLevel="1">
      <c r="A5" s="265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outlineLevel="1">
      <c r="A6" s="265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outlineLevel="1">
      <c r="A7" s="265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outlineLevel="1">
      <c r="A8" s="265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outlineLevel="1">
      <c r="A9" s="265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outlineLevel="1">
      <c r="A10" s="265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outlineLevel="1">
      <c r="A11" s="265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outlineLevel="1">
      <c r="A12" s="265">
        <v>1992</v>
      </c>
      <c r="B12" s="265"/>
      <c r="C12" s="263"/>
      <c r="D12" s="265"/>
      <c r="E12" s="265"/>
      <c r="F12" s="265"/>
      <c r="G12" s="265"/>
      <c r="H12" s="265"/>
      <c r="I12" s="265"/>
      <c r="J12" s="265"/>
      <c r="K12" s="265"/>
    </row>
    <row r="13" spans="1:11" outlineLevel="1">
      <c r="A13" s="265">
        <v>1993</v>
      </c>
      <c r="B13" s="265"/>
      <c r="C13" s="263"/>
      <c r="D13" s="265"/>
      <c r="E13" s="265"/>
      <c r="F13" s="265"/>
      <c r="G13" s="265"/>
      <c r="H13" s="265"/>
      <c r="I13" s="265"/>
      <c r="J13" s="265"/>
      <c r="K13" s="265"/>
    </row>
    <row r="14" spans="1:11" outlineLevel="1">
      <c r="A14" s="265">
        <v>1994</v>
      </c>
      <c r="B14" s="290"/>
      <c r="C14" s="169"/>
      <c r="D14" s="290"/>
      <c r="E14" s="290"/>
      <c r="F14" s="290"/>
      <c r="G14" s="290"/>
      <c r="H14" s="290"/>
      <c r="I14" s="290"/>
      <c r="J14" s="291"/>
      <c r="K14" s="291"/>
    </row>
    <row r="15" spans="1:11" outlineLevel="1">
      <c r="A15" s="265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outlineLevel="1">
      <c r="A16" s="265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3004015</v>
      </c>
      <c r="C17" s="169">
        <f>D17+E17+I17</f>
        <v>37636</v>
      </c>
      <c r="D17" s="129">
        <v>6814</v>
      </c>
      <c r="E17" s="129">
        <v>22987</v>
      </c>
      <c r="F17" s="129">
        <v>8159</v>
      </c>
      <c r="G17" s="129">
        <v>7658</v>
      </c>
      <c r="H17" s="129">
        <v>7171</v>
      </c>
      <c r="I17" s="129">
        <v>7835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3115493</v>
      </c>
      <c r="C18" s="169">
        <f t="shared" ref="C18:C30" si="0">D18+E18+I18</f>
        <v>35634</v>
      </c>
      <c r="D18" s="129">
        <v>6809</v>
      </c>
      <c r="E18" s="129">
        <v>22561</v>
      </c>
      <c r="F18" s="129">
        <v>8310</v>
      </c>
      <c r="G18" s="129">
        <v>7127</v>
      </c>
      <c r="H18" s="129">
        <v>7124</v>
      </c>
      <c r="I18" s="129">
        <v>6264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3145744</v>
      </c>
      <c r="C19" s="169">
        <f t="shared" si="0"/>
        <v>38730</v>
      </c>
      <c r="D19" s="129">
        <v>6512</v>
      </c>
      <c r="E19" s="129">
        <v>25821</v>
      </c>
      <c r="F19" s="129">
        <v>8088</v>
      </c>
      <c r="G19" s="129">
        <v>8689</v>
      </c>
      <c r="H19" s="129">
        <v>9045</v>
      </c>
      <c r="I19" s="129">
        <v>6397</v>
      </c>
      <c r="J19" s="129">
        <v>4276</v>
      </c>
      <c r="K19" s="129">
        <v>2120</v>
      </c>
    </row>
    <row r="20" spans="1:11" s="332" customFormat="1" outlineLevel="1">
      <c r="A20" s="288">
        <v>2003</v>
      </c>
      <c r="B20" s="129">
        <v>3255810</v>
      </c>
      <c r="C20" s="169">
        <f t="shared" si="0"/>
        <v>37694</v>
      </c>
      <c r="D20" s="129">
        <v>7298</v>
      </c>
      <c r="E20" s="129">
        <v>24294</v>
      </c>
      <c r="F20" s="129">
        <v>8269</v>
      </c>
      <c r="G20" s="129">
        <v>8089</v>
      </c>
      <c r="H20" s="129">
        <v>7937</v>
      </c>
      <c r="I20" s="129">
        <v>6102</v>
      </c>
      <c r="J20" s="129">
        <v>3949</v>
      </c>
      <c r="K20" s="129">
        <v>2153</v>
      </c>
    </row>
    <row r="21" spans="1:11" s="332" customFormat="1" outlineLevel="1">
      <c r="A21" s="288">
        <v>2004</v>
      </c>
      <c r="B21" s="129">
        <v>3369928</v>
      </c>
      <c r="C21" s="169">
        <f t="shared" si="0"/>
        <v>39707</v>
      </c>
      <c r="D21" s="129">
        <v>6804</v>
      </c>
      <c r="E21" s="129">
        <v>26408</v>
      </c>
      <c r="F21" s="129">
        <v>8698</v>
      </c>
      <c r="G21" s="129">
        <v>9226</v>
      </c>
      <c r="H21" s="129">
        <v>8485</v>
      </c>
      <c r="I21" s="129">
        <v>6495</v>
      </c>
      <c r="J21" s="129">
        <v>4376</v>
      </c>
      <c r="K21" s="129">
        <v>2119</v>
      </c>
    </row>
    <row r="22" spans="1:11" s="332" customFormat="1" outlineLevel="1">
      <c r="A22" s="288">
        <v>2005</v>
      </c>
      <c r="B22" s="129">
        <v>3472953</v>
      </c>
      <c r="C22" s="169">
        <f t="shared" si="0"/>
        <v>36850</v>
      </c>
      <c r="D22" s="129">
        <v>6294</v>
      </c>
      <c r="E22" s="129">
        <v>24160</v>
      </c>
      <c r="F22" s="129">
        <v>8368</v>
      </c>
      <c r="G22" s="129">
        <v>7202</v>
      </c>
      <c r="H22" s="129">
        <v>8590</v>
      </c>
      <c r="I22" s="129">
        <v>6396</v>
      </c>
      <c r="J22" s="129">
        <v>4160</v>
      </c>
      <c r="K22" s="129">
        <v>2237</v>
      </c>
    </row>
    <row r="23" spans="1:11" s="332" customFormat="1" outlineLevel="1">
      <c r="A23" s="288">
        <v>2006</v>
      </c>
      <c r="B23" s="129">
        <v>3642183</v>
      </c>
      <c r="C23" s="169">
        <f t="shared" si="0"/>
        <v>39417</v>
      </c>
      <c r="D23" s="129">
        <v>7416</v>
      </c>
      <c r="E23" s="129">
        <v>25901</v>
      </c>
      <c r="F23" s="129">
        <v>7959</v>
      </c>
      <c r="G23" s="129">
        <v>7545</v>
      </c>
      <c r="H23" s="129">
        <v>10397</v>
      </c>
      <c r="I23" s="129">
        <v>6100</v>
      </c>
      <c r="J23" s="129" t="s">
        <v>9</v>
      </c>
      <c r="K23" s="129" t="s">
        <v>9</v>
      </c>
    </row>
    <row r="24" spans="1:11">
      <c r="A24" s="288">
        <v>2007</v>
      </c>
      <c r="B24" s="129">
        <v>3810977</v>
      </c>
      <c r="C24" s="169">
        <f t="shared" si="0"/>
        <v>36166</v>
      </c>
      <c r="D24" s="129">
        <v>5975</v>
      </c>
      <c r="E24" s="129">
        <v>24428</v>
      </c>
      <c r="F24" s="129">
        <v>7707</v>
      </c>
      <c r="G24" s="129">
        <v>6242</v>
      </c>
      <c r="H24" s="129">
        <v>10479</v>
      </c>
      <c r="I24" s="129">
        <v>5763</v>
      </c>
      <c r="J24" s="129">
        <v>3556</v>
      </c>
      <c r="K24" s="129">
        <v>2207</v>
      </c>
    </row>
    <row r="25" spans="1:11">
      <c r="A25" s="288">
        <v>2008</v>
      </c>
      <c r="B25" s="129">
        <v>3888493</v>
      </c>
      <c r="C25" s="169">
        <f t="shared" si="0"/>
        <v>30827</v>
      </c>
      <c r="D25" s="129">
        <v>5678</v>
      </c>
      <c r="E25" s="129">
        <v>19953</v>
      </c>
      <c r="F25" s="129">
        <v>6577</v>
      </c>
      <c r="G25" s="129">
        <v>3847</v>
      </c>
      <c r="H25" s="129">
        <v>9528</v>
      </c>
      <c r="I25" s="129">
        <v>5196</v>
      </c>
      <c r="J25" s="129" t="s">
        <v>9</v>
      </c>
      <c r="K25" s="129" t="s">
        <v>9</v>
      </c>
    </row>
    <row r="26" spans="1:11">
      <c r="A26" s="288">
        <v>2009</v>
      </c>
      <c r="B26" s="129">
        <v>3688026</v>
      </c>
      <c r="C26" s="169">
        <f t="shared" si="0"/>
        <v>28601</v>
      </c>
      <c r="D26" s="129">
        <v>5217</v>
      </c>
      <c r="E26" s="129">
        <v>17851</v>
      </c>
      <c r="F26" s="129">
        <v>5203</v>
      </c>
      <c r="G26" s="129">
        <v>4579</v>
      </c>
      <c r="H26" s="129">
        <v>8068</v>
      </c>
      <c r="I26" s="129">
        <v>5533</v>
      </c>
      <c r="J26" s="129">
        <v>3563</v>
      </c>
      <c r="K26" s="129">
        <v>1970</v>
      </c>
    </row>
    <row r="27" spans="1:11">
      <c r="A27" s="288">
        <v>2010</v>
      </c>
      <c r="B27" s="129">
        <v>3728623</v>
      </c>
      <c r="C27" s="169">
        <f t="shared" si="0"/>
        <v>29447</v>
      </c>
      <c r="D27" s="129">
        <v>5109</v>
      </c>
      <c r="E27" s="129">
        <v>18522</v>
      </c>
      <c r="F27" s="129" t="s">
        <v>9</v>
      </c>
      <c r="G27" s="129">
        <v>4698</v>
      </c>
      <c r="H27" s="129" t="s">
        <v>9</v>
      </c>
      <c r="I27" s="129">
        <v>5816</v>
      </c>
      <c r="J27" s="129" t="s">
        <v>9</v>
      </c>
      <c r="K27" s="129" t="s">
        <v>9</v>
      </c>
    </row>
    <row r="28" spans="1:11">
      <c r="A28" s="288">
        <v>2011</v>
      </c>
      <c r="B28" s="129">
        <v>3915112</v>
      </c>
      <c r="C28" s="253" t="s">
        <v>10</v>
      </c>
      <c r="D28" s="129">
        <v>5409</v>
      </c>
      <c r="E28" s="129">
        <v>19968</v>
      </c>
      <c r="F28" s="129">
        <v>6921</v>
      </c>
      <c r="G28" s="129">
        <v>4136</v>
      </c>
      <c r="H28" s="129">
        <v>8911</v>
      </c>
      <c r="I28" s="129" t="s">
        <v>9</v>
      </c>
      <c r="J28" s="129">
        <v>4386</v>
      </c>
      <c r="K28" s="129" t="s">
        <v>9</v>
      </c>
    </row>
    <row r="29" spans="1:11">
      <c r="A29" s="288">
        <v>2012</v>
      </c>
      <c r="B29" s="129">
        <v>4047251</v>
      </c>
      <c r="C29" s="169">
        <f t="shared" si="0"/>
        <v>35549</v>
      </c>
      <c r="D29" s="129">
        <v>6096</v>
      </c>
      <c r="E29" s="129">
        <v>23533</v>
      </c>
      <c r="F29" s="129">
        <v>7386</v>
      </c>
      <c r="G29" s="129">
        <v>4191</v>
      </c>
      <c r="H29" s="129">
        <v>11956</v>
      </c>
      <c r="I29" s="129">
        <v>5920</v>
      </c>
      <c r="J29" s="129" t="s">
        <v>9</v>
      </c>
      <c r="K29" s="129" t="s">
        <v>9</v>
      </c>
    </row>
    <row r="30" spans="1:11">
      <c r="A30" s="288">
        <v>2013</v>
      </c>
      <c r="B30" s="129">
        <v>4154203</v>
      </c>
      <c r="C30" s="169">
        <f t="shared" si="0"/>
        <v>33676</v>
      </c>
      <c r="D30" s="129">
        <v>4937</v>
      </c>
      <c r="E30" s="129">
        <v>22809</v>
      </c>
      <c r="F30" s="129">
        <v>7200</v>
      </c>
      <c r="G30" s="129">
        <v>4676</v>
      </c>
      <c r="H30" s="129">
        <v>10933</v>
      </c>
      <c r="I30" s="129">
        <v>5930</v>
      </c>
      <c r="J30" s="129" t="s">
        <v>9</v>
      </c>
      <c r="K30" s="129" t="s">
        <v>9</v>
      </c>
    </row>
    <row r="31" spans="1:11">
      <c r="A31" s="491" t="s">
        <v>397</v>
      </c>
      <c r="B31" s="491"/>
      <c r="C31" s="491"/>
      <c r="D31" s="491"/>
      <c r="E31" s="491"/>
      <c r="F31" s="491"/>
      <c r="G31" s="491"/>
      <c r="H31" s="491"/>
      <c r="I31" s="491"/>
      <c r="J31" s="491"/>
      <c r="K31" s="491"/>
    </row>
    <row r="32" spans="1:11" s="352" customFormat="1">
      <c r="A32" s="355" t="s">
        <v>68</v>
      </c>
      <c r="B32" s="284">
        <f>((B24/B17)^(1/7)-1)*100</f>
        <v>3.457512694381526</v>
      </c>
      <c r="C32" s="284">
        <f t="shared" ref="C32:I32" si="1">((C24/C17)^(1/7)-1)*100</f>
        <v>-0.56754886700910445</v>
      </c>
      <c r="D32" s="284">
        <f t="shared" si="1"/>
        <v>-1.8595672596447455</v>
      </c>
      <c r="E32" s="284">
        <f t="shared" si="1"/>
        <v>0.87237141050544587</v>
      </c>
      <c r="F32" s="284">
        <f t="shared" si="1"/>
        <v>-0.81087461161351015</v>
      </c>
      <c r="G32" s="284">
        <f t="shared" si="1"/>
        <v>-2.8784765702276616</v>
      </c>
      <c r="H32" s="284">
        <f t="shared" si="1"/>
        <v>5.5684882710125283</v>
      </c>
      <c r="I32" s="284">
        <f t="shared" si="1"/>
        <v>-4.2928836290114569</v>
      </c>
      <c r="J32" s="284" t="s">
        <v>10</v>
      </c>
      <c r="K32" s="284" t="s">
        <v>10</v>
      </c>
    </row>
    <row r="33" spans="1:11">
      <c r="A33" s="320" t="s">
        <v>368</v>
      </c>
      <c r="B33" s="284">
        <f>((B27/B24)^(1/3)-1)*100</f>
        <v>-0.72557457571290618</v>
      </c>
      <c r="C33" s="284">
        <f t="shared" ref="C33:I33" si="2">((C27/C24)^(1/3)-1)*100</f>
        <v>-6.621507274577942</v>
      </c>
      <c r="D33" s="284">
        <f t="shared" si="2"/>
        <v>-5.0854781246340686</v>
      </c>
      <c r="E33" s="284">
        <f t="shared" si="2"/>
        <v>-8.8129170753988078</v>
      </c>
      <c r="F33" s="284" t="s">
        <v>10</v>
      </c>
      <c r="G33" s="284">
        <f t="shared" si="2"/>
        <v>-9.0373544801138799</v>
      </c>
      <c r="H33" s="284" t="s">
        <v>10</v>
      </c>
      <c r="I33" s="284">
        <f t="shared" si="2"/>
        <v>0.30561832267665956</v>
      </c>
      <c r="J33" s="284" t="s">
        <v>10</v>
      </c>
      <c r="K33" s="284" t="s">
        <v>10</v>
      </c>
    </row>
    <row r="34" spans="1:11">
      <c r="A34" s="320" t="s">
        <v>392</v>
      </c>
      <c r="B34" s="284">
        <f>((B30/B27)^(1/3)-1)*100</f>
        <v>3.6684042608940537</v>
      </c>
      <c r="C34" s="284">
        <f t="shared" ref="C34:I34" si="3">((C30/C27)^(1/3)-1)*100</f>
        <v>4.5746648766447073</v>
      </c>
      <c r="D34" s="284">
        <f t="shared" si="3"/>
        <v>-1.1350369961342199</v>
      </c>
      <c r="E34" s="284">
        <f t="shared" si="3"/>
        <v>7.1863433119797815</v>
      </c>
      <c r="F34" s="284" t="s">
        <v>10</v>
      </c>
      <c r="G34" s="284">
        <f t="shared" si="3"/>
        <v>-0.15633908382725048</v>
      </c>
      <c r="H34" s="284" t="s">
        <v>10</v>
      </c>
      <c r="I34" s="284">
        <f t="shared" si="3"/>
        <v>0.64914697759619333</v>
      </c>
      <c r="J34" s="284" t="s">
        <v>10</v>
      </c>
      <c r="K34" s="284" t="s">
        <v>10</v>
      </c>
    </row>
    <row r="35" spans="1:11">
      <c r="A35" s="320" t="s">
        <v>69</v>
      </c>
      <c r="B35" s="253">
        <f>IFERROR(((B30/B24)^(1/6)-1)*100,"n.a.")</f>
        <v>1.4476282012200414</v>
      </c>
      <c r="C35" s="253">
        <f t="shared" ref="C35:K35" si="4">IFERROR(((C30/C24)^(1/6)-1)*100,"n.a.")</f>
        <v>-1.1818610605966784</v>
      </c>
      <c r="D35" s="253">
        <f t="shared" si="4"/>
        <v>-3.1303933437444864</v>
      </c>
      <c r="E35" s="253">
        <f t="shared" si="4"/>
        <v>-1.1364072270571679</v>
      </c>
      <c r="F35" s="253">
        <f t="shared" si="4"/>
        <v>-1.1277259687848429</v>
      </c>
      <c r="G35" s="253">
        <f t="shared" si="4"/>
        <v>-4.7002437813950637</v>
      </c>
      <c r="H35" s="253">
        <f t="shared" si="4"/>
        <v>0.70937898927234677</v>
      </c>
      <c r="I35" s="253">
        <f t="shared" si="4"/>
        <v>0.47723583597305552</v>
      </c>
      <c r="J35" s="253" t="str">
        <f t="shared" si="4"/>
        <v>n.a.</v>
      </c>
      <c r="K35" s="253" t="str">
        <f t="shared" si="4"/>
        <v>n.a.</v>
      </c>
    </row>
    <row r="36" spans="1:11" s="352" customFormat="1">
      <c r="A36" s="442" t="s">
        <v>15</v>
      </c>
      <c r="B36" s="253">
        <f>((B30/B17)^(1/13)-1)*100</f>
        <v>2.524972845218465</v>
      </c>
      <c r="C36" s="253">
        <f t="shared" ref="C36:I36" si="5">((C30/C17)^(1/13)-1)*100</f>
        <v>-0.85155068151337998</v>
      </c>
      <c r="D36" s="253">
        <f t="shared" si="5"/>
        <v>-2.448160895141227</v>
      </c>
      <c r="E36" s="253">
        <f t="shared" si="5"/>
        <v>-5.9779385215841252E-2</v>
      </c>
      <c r="F36" s="253">
        <f t="shared" si="5"/>
        <v>-0.95723967674661292</v>
      </c>
      <c r="G36" s="253">
        <f t="shared" si="5"/>
        <v>-3.7235797682202643</v>
      </c>
      <c r="H36" s="253">
        <f t="shared" si="5"/>
        <v>3.2973551705713033</v>
      </c>
      <c r="I36" s="253">
        <f t="shared" si="5"/>
        <v>-2.1201004882342112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263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idden="1" outlineLevel="1">
      <c r="A39" s="266" t="s">
        <v>398</v>
      </c>
      <c r="C39" s="289"/>
    </row>
    <row r="40" spans="1:11" collapsed="1">
      <c r="C40" s="289"/>
    </row>
    <row r="43" spans="1:11">
      <c r="C43" s="272"/>
    </row>
    <row r="44" spans="1:11">
      <c r="C44" s="272"/>
    </row>
    <row r="45" spans="1:11">
      <c r="C45" s="272"/>
    </row>
  </sheetData>
  <mergeCells count="3">
    <mergeCell ref="A1:K1"/>
    <mergeCell ref="A31:K31"/>
    <mergeCell ref="A38:K38"/>
  </mergeCells>
  <printOptions gridLines="1"/>
  <pageMargins left="0.7" right="0.7" top="0.75" bottom="0.75" header="0.3" footer="0.3"/>
  <pageSetup scale="74" orientation="landscape" horizontalDpi="0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0"/>
  <sheetViews>
    <sheetView view="pageBreakPreview" zoomScaleNormal="85" zoomScaleSheetLayoutView="10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F35" sqref="F35"/>
    </sheetView>
  </sheetViews>
  <sheetFormatPr defaultRowHeight="15" outlineLevelRow="1"/>
  <cols>
    <col min="1" max="1" width="12.42578125" style="266" customWidth="1"/>
    <col min="2" max="11" width="15.28515625" style="266" customWidth="1"/>
    <col min="12" max="16384" width="9.140625" style="266"/>
  </cols>
  <sheetData>
    <row r="1" spans="1:11" ht="15" customHeight="1">
      <c r="A1" s="471" t="s">
        <v>578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90">
      <c r="A2" s="211"/>
      <c r="B2" s="264" t="s">
        <v>16</v>
      </c>
      <c r="C2" s="264" t="s">
        <v>8</v>
      </c>
      <c r="D2" s="264" t="s">
        <v>3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 hidden="1" outlineLevel="1">
      <c r="A3" s="265"/>
      <c r="B3" s="265"/>
      <c r="C3" s="137"/>
      <c r="D3" s="265"/>
      <c r="E3" s="265"/>
      <c r="F3" s="265"/>
      <c r="G3" s="265"/>
      <c r="H3" s="265"/>
      <c r="I3" s="265"/>
      <c r="J3" s="265"/>
      <c r="K3" s="265"/>
    </row>
    <row r="4" spans="1:11" hidden="1" outlineLevel="1" collapsed="1">
      <c r="A4" s="211">
        <v>1984</v>
      </c>
      <c r="B4" s="265"/>
      <c r="C4" s="263"/>
      <c r="D4" s="265"/>
      <c r="E4" s="265"/>
      <c r="F4" s="265"/>
      <c r="G4" s="265"/>
      <c r="H4" s="265"/>
      <c r="I4" s="265"/>
      <c r="J4" s="265"/>
      <c r="K4" s="265"/>
    </row>
    <row r="5" spans="1:11" hidden="1" outlineLevel="1">
      <c r="A5" s="211">
        <v>1985</v>
      </c>
      <c r="B5" s="265"/>
      <c r="C5" s="263"/>
      <c r="D5" s="265"/>
      <c r="E5" s="265"/>
      <c r="F5" s="265"/>
      <c r="G5" s="265"/>
      <c r="H5" s="265"/>
      <c r="I5" s="265"/>
      <c r="J5" s="265"/>
      <c r="K5" s="265"/>
    </row>
    <row r="6" spans="1:11" hidden="1" outlineLevel="1">
      <c r="A6" s="211">
        <v>1986</v>
      </c>
      <c r="B6" s="265"/>
      <c r="C6" s="263"/>
      <c r="D6" s="265"/>
      <c r="E6" s="265"/>
      <c r="F6" s="265"/>
      <c r="G6" s="265"/>
      <c r="H6" s="265"/>
      <c r="I6" s="265"/>
      <c r="J6" s="265"/>
      <c r="K6" s="265"/>
    </row>
    <row r="7" spans="1:11" hidden="1" outlineLevel="1">
      <c r="A7" s="211">
        <v>1987</v>
      </c>
      <c r="B7" s="265"/>
      <c r="C7" s="263"/>
      <c r="D7" s="265"/>
      <c r="E7" s="265"/>
      <c r="F7" s="265"/>
      <c r="G7" s="265"/>
      <c r="H7" s="265"/>
      <c r="I7" s="265"/>
      <c r="J7" s="265"/>
      <c r="K7" s="265"/>
    </row>
    <row r="8" spans="1:11" hidden="1" outlineLevel="1">
      <c r="A8" s="211">
        <v>1988</v>
      </c>
      <c r="B8" s="265"/>
      <c r="C8" s="263"/>
      <c r="D8" s="265"/>
      <c r="E8" s="265"/>
      <c r="F8" s="265"/>
      <c r="G8" s="265"/>
      <c r="H8" s="265"/>
      <c r="I8" s="265"/>
      <c r="J8" s="265"/>
      <c r="K8" s="265"/>
    </row>
    <row r="9" spans="1:11" hidden="1" outlineLevel="1">
      <c r="A9" s="211">
        <v>1989</v>
      </c>
      <c r="B9" s="265"/>
      <c r="C9" s="263"/>
      <c r="D9" s="265"/>
      <c r="E9" s="265"/>
      <c r="F9" s="265"/>
      <c r="G9" s="265"/>
      <c r="H9" s="265"/>
      <c r="I9" s="265"/>
      <c r="J9" s="265"/>
      <c r="K9" s="265"/>
    </row>
    <row r="10" spans="1:11" hidden="1" outlineLevel="1">
      <c r="A10" s="211">
        <v>1990</v>
      </c>
      <c r="B10" s="265"/>
      <c r="C10" s="263"/>
      <c r="D10" s="265"/>
      <c r="E10" s="265"/>
      <c r="F10" s="265"/>
      <c r="G10" s="265"/>
      <c r="H10" s="265"/>
      <c r="I10" s="265"/>
      <c r="J10" s="265"/>
      <c r="K10" s="265"/>
    </row>
    <row r="11" spans="1:11" hidden="1" outlineLevel="1">
      <c r="A11" s="211">
        <v>1991</v>
      </c>
      <c r="B11" s="265"/>
      <c r="C11" s="263"/>
      <c r="D11" s="265"/>
      <c r="E11" s="265"/>
      <c r="F11" s="265"/>
      <c r="G11" s="265"/>
      <c r="H11" s="265"/>
      <c r="I11" s="265"/>
      <c r="J11" s="265"/>
      <c r="K11" s="265"/>
    </row>
    <row r="12" spans="1:11" hidden="1" outlineLevel="1">
      <c r="A12" s="211">
        <v>1992</v>
      </c>
      <c r="B12" s="265"/>
      <c r="C12" s="263"/>
      <c r="D12" s="265"/>
      <c r="E12" s="265"/>
      <c r="F12" s="265"/>
      <c r="G12" s="265"/>
      <c r="H12" s="265"/>
      <c r="I12" s="265"/>
      <c r="J12" s="265"/>
      <c r="K12" s="265"/>
    </row>
    <row r="13" spans="1:11" hidden="1" outlineLevel="1">
      <c r="A13" s="211">
        <v>1993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</row>
    <row r="14" spans="1:11" hidden="1" outlineLevel="1">
      <c r="A14" s="211">
        <v>1994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idden="1" outlineLevel="1">
      <c r="A15" s="211">
        <v>1995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1" hidden="1" outlineLevel="1">
      <c r="A16" s="211">
        <v>1996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</row>
    <row r="17" spans="1:11" s="332" customFormat="1" outlineLevel="1">
      <c r="A17" s="288">
        <v>2000</v>
      </c>
      <c r="B17" s="129">
        <v>3351510</v>
      </c>
      <c r="C17" s="169">
        <f>D17+E17+I17</f>
        <v>159465</v>
      </c>
      <c r="D17" s="129">
        <v>46585</v>
      </c>
      <c r="E17" s="129">
        <v>83504</v>
      </c>
      <c r="F17" s="129">
        <v>56661</v>
      </c>
      <c r="G17" s="129">
        <v>12591</v>
      </c>
      <c r="H17" s="129">
        <v>14253</v>
      </c>
      <c r="I17" s="129">
        <v>29376</v>
      </c>
      <c r="J17" s="129" t="s">
        <v>9</v>
      </c>
      <c r="K17" s="129" t="s">
        <v>9</v>
      </c>
    </row>
    <row r="18" spans="1:11" s="332" customFormat="1" outlineLevel="1">
      <c r="A18" s="288">
        <v>2001</v>
      </c>
      <c r="B18" s="129">
        <v>3287643</v>
      </c>
      <c r="C18" s="169">
        <f t="shared" ref="C18:C30" si="0">D18+E18+I18</f>
        <v>147171</v>
      </c>
      <c r="D18" s="129">
        <v>44859</v>
      </c>
      <c r="E18" s="129">
        <v>74754</v>
      </c>
      <c r="F18" s="129">
        <v>49278</v>
      </c>
      <c r="G18" s="129">
        <v>11806</v>
      </c>
      <c r="H18" s="129">
        <v>13670</v>
      </c>
      <c r="I18" s="129">
        <v>27558</v>
      </c>
      <c r="J18" s="129" t="s">
        <v>9</v>
      </c>
      <c r="K18" s="129" t="s">
        <v>9</v>
      </c>
    </row>
    <row r="19" spans="1:11" s="332" customFormat="1" outlineLevel="1">
      <c r="A19" s="288">
        <v>2002</v>
      </c>
      <c r="B19" s="129">
        <v>3324248</v>
      </c>
      <c r="C19" s="169">
        <f t="shared" si="0"/>
        <v>143554</v>
      </c>
      <c r="D19" s="129">
        <v>48840</v>
      </c>
      <c r="E19" s="129">
        <v>72981</v>
      </c>
      <c r="F19" s="129">
        <v>45963</v>
      </c>
      <c r="G19" s="129">
        <v>11626</v>
      </c>
      <c r="H19" s="129">
        <v>15391</v>
      </c>
      <c r="I19" s="129">
        <v>21733</v>
      </c>
      <c r="J19" s="129">
        <v>18638</v>
      </c>
      <c r="K19" s="129">
        <v>3094</v>
      </c>
    </row>
    <row r="20" spans="1:11" s="332" customFormat="1" outlineLevel="1">
      <c r="A20" s="288">
        <v>2003</v>
      </c>
      <c r="B20" s="129">
        <v>3416976</v>
      </c>
      <c r="C20" s="169">
        <f t="shared" si="0"/>
        <v>141689</v>
      </c>
      <c r="D20" s="129">
        <v>45950</v>
      </c>
      <c r="E20" s="129">
        <v>69705</v>
      </c>
      <c r="F20" s="129">
        <v>42991</v>
      </c>
      <c r="G20" s="129">
        <v>12638</v>
      </c>
      <c r="H20" s="129">
        <v>14077</v>
      </c>
      <c r="I20" s="129">
        <v>26034</v>
      </c>
      <c r="J20" s="129">
        <v>22622</v>
      </c>
      <c r="K20" s="129">
        <v>3412</v>
      </c>
    </row>
    <row r="21" spans="1:11" s="332" customFormat="1" outlineLevel="1">
      <c r="A21" s="288">
        <v>2004</v>
      </c>
      <c r="B21" s="129">
        <v>3559746</v>
      </c>
      <c r="C21" s="169">
        <f t="shared" si="0"/>
        <v>149737</v>
      </c>
      <c r="D21" s="129">
        <v>48619</v>
      </c>
      <c r="E21" s="129">
        <v>75255</v>
      </c>
      <c r="F21" s="129">
        <v>47937</v>
      </c>
      <c r="G21" s="129">
        <v>12202</v>
      </c>
      <c r="H21" s="129">
        <v>15115</v>
      </c>
      <c r="I21" s="129">
        <v>25863</v>
      </c>
      <c r="J21" s="129">
        <v>22246</v>
      </c>
      <c r="K21" s="129">
        <v>3616</v>
      </c>
    </row>
    <row r="22" spans="1:11" s="332" customFormat="1" outlineLevel="1">
      <c r="A22" s="288">
        <v>2005</v>
      </c>
      <c r="B22" s="129">
        <v>3639387</v>
      </c>
      <c r="C22" s="169">
        <f t="shared" si="0"/>
        <v>149530</v>
      </c>
      <c r="D22" s="129">
        <v>46972</v>
      </c>
      <c r="E22" s="129">
        <v>78565</v>
      </c>
      <c r="F22" s="129">
        <v>49421</v>
      </c>
      <c r="G22" s="129">
        <v>12066</v>
      </c>
      <c r="H22" s="129">
        <v>17077</v>
      </c>
      <c r="I22" s="129">
        <v>23993</v>
      </c>
      <c r="J22" s="129">
        <v>20332</v>
      </c>
      <c r="K22" s="129">
        <v>3662</v>
      </c>
    </row>
    <row r="23" spans="1:11" s="332" customFormat="1" outlineLevel="1">
      <c r="A23" s="288">
        <v>2006</v>
      </c>
      <c r="B23" s="129">
        <v>3730135</v>
      </c>
      <c r="C23" s="169">
        <f t="shared" si="0"/>
        <v>129337</v>
      </c>
      <c r="D23" s="129">
        <v>39031</v>
      </c>
      <c r="E23" s="129">
        <v>66659</v>
      </c>
      <c r="F23" s="129">
        <v>39465</v>
      </c>
      <c r="G23" s="129">
        <v>9955</v>
      </c>
      <c r="H23" s="129">
        <v>17238</v>
      </c>
      <c r="I23" s="129">
        <v>23647</v>
      </c>
      <c r="J23" s="129">
        <v>20253</v>
      </c>
      <c r="K23" s="129">
        <v>3394</v>
      </c>
    </row>
    <row r="24" spans="1:11">
      <c r="A24" s="211">
        <v>2007</v>
      </c>
      <c r="B24" s="129">
        <v>3859238</v>
      </c>
      <c r="C24" s="169">
        <f t="shared" si="0"/>
        <v>130943</v>
      </c>
      <c r="D24" s="129">
        <v>39499</v>
      </c>
      <c r="E24" s="129">
        <v>64796</v>
      </c>
      <c r="F24" s="129">
        <v>35830</v>
      </c>
      <c r="G24" s="129">
        <v>10483</v>
      </c>
      <c r="H24" s="129">
        <v>18483</v>
      </c>
      <c r="I24" s="129">
        <v>26648</v>
      </c>
      <c r="J24" s="129">
        <v>23194</v>
      </c>
      <c r="K24" s="129">
        <v>3455</v>
      </c>
    </row>
    <row r="25" spans="1:11">
      <c r="A25" s="211">
        <v>2008</v>
      </c>
      <c r="B25" s="129">
        <v>3902163</v>
      </c>
      <c r="C25" s="169">
        <f t="shared" si="0"/>
        <v>104562</v>
      </c>
      <c r="D25" s="129">
        <v>31012</v>
      </c>
      <c r="E25" s="129">
        <v>51537</v>
      </c>
      <c r="F25" s="129">
        <v>27081</v>
      </c>
      <c r="G25" s="129">
        <v>9061</v>
      </c>
      <c r="H25" s="129">
        <v>15394</v>
      </c>
      <c r="I25" s="129">
        <v>22013</v>
      </c>
      <c r="J25" s="129">
        <v>19015</v>
      </c>
      <c r="K25" s="129">
        <v>2999</v>
      </c>
    </row>
    <row r="26" spans="1:11">
      <c r="A26" s="211">
        <v>2009</v>
      </c>
      <c r="B26" s="129">
        <v>3730930</v>
      </c>
      <c r="C26" s="169">
        <f t="shared" si="0"/>
        <v>89174</v>
      </c>
      <c r="D26" s="129">
        <v>23144</v>
      </c>
      <c r="E26" s="129">
        <v>43956</v>
      </c>
      <c r="F26" s="129">
        <v>24920</v>
      </c>
      <c r="G26" s="129">
        <v>6714</v>
      </c>
      <c r="H26" s="129">
        <v>12322</v>
      </c>
      <c r="I26" s="129">
        <v>22074</v>
      </c>
      <c r="J26" s="129">
        <v>19291</v>
      </c>
      <c r="K26" s="129">
        <v>2782</v>
      </c>
    </row>
    <row r="27" spans="1:11">
      <c r="A27" s="211">
        <v>2010</v>
      </c>
      <c r="B27" s="129">
        <v>3807100</v>
      </c>
      <c r="C27" s="169">
        <f t="shared" si="0"/>
        <v>96073</v>
      </c>
      <c r="D27" s="129">
        <v>29153</v>
      </c>
      <c r="E27" s="129">
        <v>48892</v>
      </c>
      <c r="F27" s="129">
        <v>28033</v>
      </c>
      <c r="G27" s="129">
        <v>8409</v>
      </c>
      <c r="H27" s="129">
        <v>12451</v>
      </c>
      <c r="I27" s="129">
        <v>18028</v>
      </c>
      <c r="J27" s="129">
        <v>15527</v>
      </c>
      <c r="K27" s="129">
        <v>2502</v>
      </c>
    </row>
    <row r="28" spans="1:11">
      <c r="A28" s="211">
        <v>2011</v>
      </c>
      <c r="B28" s="129">
        <v>3808589</v>
      </c>
      <c r="C28" s="169">
        <f t="shared" si="0"/>
        <v>92150</v>
      </c>
      <c r="D28" s="129">
        <v>27309</v>
      </c>
      <c r="E28" s="129">
        <v>45598</v>
      </c>
      <c r="F28" s="129">
        <v>25550</v>
      </c>
      <c r="G28" s="129">
        <v>8427</v>
      </c>
      <c r="H28" s="129">
        <v>11621</v>
      </c>
      <c r="I28" s="129">
        <v>19243</v>
      </c>
      <c r="J28" s="129">
        <v>16881</v>
      </c>
      <c r="K28" s="129">
        <v>2362</v>
      </c>
    </row>
    <row r="29" spans="1:11">
      <c r="A29" s="211">
        <v>2012</v>
      </c>
      <c r="B29" s="129">
        <v>3913768</v>
      </c>
      <c r="C29" s="169">
        <f t="shared" si="0"/>
        <v>97994</v>
      </c>
      <c r="D29" s="129">
        <v>27545</v>
      </c>
      <c r="E29" s="129">
        <v>52074</v>
      </c>
      <c r="F29" s="129">
        <v>31723</v>
      </c>
      <c r="G29" s="129">
        <v>8250</v>
      </c>
      <c r="H29" s="129">
        <v>12101</v>
      </c>
      <c r="I29" s="129">
        <v>18375</v>
      </c>
      <c r="J29" s="129">
        <v>15905</v>
      </c>
      <c r="K29" s="129">
        <v>2468</v>
      </c>
    </row>
    <row r="30" spans="1:11">
      <c r="A30" s="211">
        <v>2013</v>
      </c>
      <c r="B30" s="129">
        <v>3912635</v>
      </c>
      <c r="C30" s="169">
        <f t="shared" si="0"/>
        <v>100511</v>
      </c>
      <c r="D30" s="129">
        <v>30366</v>
      </c>
      <c r="E30" s="129">
        <v>51496</v>
      </c>
      <c r="F30" s="129">
        <v>31406</v>
      </c>
      <c r="G30" s="129">
        <v>8212</v>
      </c>
      <c r="H30" s="129">
        <v>11877</v>
      </c>
      <c r="I30" s="129">
        <v>18649</v>
      </c>
      <c r="J30" s="129">
        <v>16224</v>
      </c>
      <c r="K30" s="129">
        <v>2425</v>
      </c>
    </row>
    <row r="31" spans="1:11">
      <c r="A31" s="456" t="s">
        <v>397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</row>
    <row r="32" spans="1:11" s="352" customFormat="1">
      <c r="A32" s="348" t="s">
        <v>68</v>
      </c>
      <c r="B32" s="282">
        <f>((B24/B17)^(1/7)-1)*100</f>
        <v>2.0355659206480192</v>
      </c>
      <c r="C32" s="282">
        <f t="shared" ref="C32:I32" si="1">((C24/C17)^(1/7)-1)*100</f>
        <v>-2.7759195604955988</v>
      </c>
      <c r="D32" s="282">
        <f t="shared" si="1"/>
        <v>-2.3296245288767503</v>
      </c>
      <c r="E32" s="282">
        <f t="shared" si="1"/>
        <v>-3.5587150402731749</v>
      </c>
      <c r="F32" s="282">
        <f t="shared" si="1"/>
        <v>-6.3374274781862745</v>
      </c>
      <c r="G32" s="282">
        <f t="shared" si="1"/>
        <v>-2.5835734709791169</v>
      </c>
      <c r="H32" s="282">
        <f t="shared" si="1"/>
        <v>3.7824071926693348</v>
      </c>
      <c r="I32" s="282">
        <f t="shared" si="1"/>
        <v>-1.3826933768851801</v>
      </c>
      <c r="J32" s="284" t="s">
        <v>10</v>
      </c>
      <c r="K32" s="284" t="s">
        <v>10</v>
      </c>
    </row>
    <row r="33" spans="1:11">
      <c r="A33" s="319" t="s">
        <v>368</v>
      </c>
      <c r="B33" s="282">
        <f>((B27/B24)^(1/3)-1)*100</f>
        <v>-0.45237403250426578</v>
      </c>
      <c r="C33" s="282">
        <f t="shared" ref="C33:K33" si="2">((C27/C24)^(1/3)-1)*100</f>
        <v>-9.8069607084905748</v>
      </c>
      <c r="D33" s="282">
        <f t="shared" si="2"/>
        <v>-9.6283141456387611</v>
      </c>
      <c r="E33" s="282">
        <f t="shared" si="2"/>
        <v>-8.9604989680142637</v>
      </c>
      <c r="F33" s="282">
        <f t="shared" si="2"/>
        <v>-7.8544734073558669</v>
      </c>
      <c r="G33" s="282">
        <f t="shared" si="2"/>
        <v>-7.0849092168049239</v>
      </c>
      <c r="H33" s="282">
        <f t="shared" si="2"/>
        <v>-12.338158440940427</v>
      </c>
      <c r="I33" s="282">
        <f t="shared" si="2"/>
        <v>-12.213518403832724</v>
      </c>
      <c r="J33" s="282">
        <f t="shared" si="2"/>
        <v>-12.520968398149691</v>
      </c>
      <c r="K33" s="282">
        <f t="shared" si="2"/>
        <v>-10.19929396373518</v>
      </c>
    </row>
    <row r="34" spans="1:11">
      <c r="A34" s="319" t="s">
        <v>392</v>
      </c>
      <c r="B34" s="282">
        <f>((B30/B27)^(1/3)-1)*100</f>
        <v>0.91561015121865985</v>
      </c>
      <c r="C34" s="282">
        <f t="shared" ref="C34:K34" si="3">((C30/C27)^(1/3)-1)*100</f>
        <v>1.5166817995145188</v>
      </c>
      <c r="D34" s="282">
        <f t="shared" si="3"/>
        <v>1.3681323691732361</v>
      </c>
      <c r="E34" s="282">
        <f t="shared" si="3"/>
        <v>1.7447239187463826</v>
      </c>
      <c r="F34" s="282">
        <f t="shared" si="3"/>
        <v>3.8598481064134216</v>
      </c>
      <c r="G34" s="282">
        <f t="shared" si="3"/>
        <v>-0.78708816742216747</v>
      </c>
      <c r="H34" s="282">
        <f t="shared" si="3"/>
        <v>-1.5609287042544051</v>
      </c>
      <c r="I34" s="282">
        <f t="shared" si="3"/>
        <v>1.135276586736178</v>
      </c>
      <c r="J34" s="282">
        <f t="shared" si="3"/>
        <v>1.4744707483407504</v>
      </c>
      <c r="K34" s="282">
        <f t="shared" si="3"/>
        <v>-1.0365532932676058</v>
      </c>
    </row>
    <row r="35" spans="1:11">
      <c r="A35" s="319" t="s">
        <v>69</v>
      </c>
      <c r="B35" s="253">
        <f>IFERROR(((B30/B24)^(1/6)-1)*100,"n.a.")</f>
        <v>0.22928421182668579</v>
      </c>
      <c r="C35" s="253">
        <f t="shared" ref="C35:K35" si="4">IFERROR(((C30/C24)^(1/6)-1)*100,"n.a.")</f>
        <v>-4.3124978365132964</v>
      </c>
      <c r="D35" s="253">
        <f t="shared" si="4"/>
        <v>-4.2878847056955323</v>
      </c>
      <c r="E35" s="253">
        <f t="shared" si="4"/>
        <v>-3.7566163406553166</v>
      </c>
      <c r="F35" s="253">
        <f t="shared" si="4"/>
        <v>-2.1724967322711564</v>
      </c>
      <c r="G35" s="253">
        <f t="shared" si="4"/>
        <v>-3.9876221011629243</v>
      </c>
      <c r="H35" s="253">
        <f t="shared" si="4"/>
        <v>-7.1057037749431062</v>
      </c>
      <c r="I35" s="253">
        <f t="shared" si="4"/>
        <v>-5.7752150609787556</v>
      </c>
      <c r="J35" s="253">
        <f t="shared" si="4"/>
        <v>-5.7827593623378526</v>
      </c>
      <c r="K35" s="253">
        <f t="shared" si="4"/>
        <v>-5.7291806228097153</v>
      </c>
    </row>
    <row r="36" spans="1:11" s="352" customFormat="1">
      <c r="A36" s="437" t="s">
        <v>15</v>
      </c>
      <c r="B36" s="253">
        <f>((B30/B17)^(1/13)-1)*100</f>
        <v>1.1978876531526961</v>
      </c>
      <c r="C36" s="253">
        <f t="shared" ref="C36:I36" si="5">((C30/C17)^(1/13)-1)*100</f>
        <v>-3.4881518845879533</v>
      </c>
      <c r="D36" s="253">
        <f t="shared" si="5"/>
        <v>-3.2383665005713658</v>
      </c>
      <c r="E36" s="253">
        <f t="shared" si="5"/>
        <v>-3.6501046174434615</v>
      </c>
      <c r="F36" s="253">
        <f t="shared" si="5"/>
        <v>-4.437654781974576</v>
      </c>
      <c r="G36" s="253">
        <f t="shared" si="5"/>
        <v>-3.234129248769757</v>
      </c>
      <c r="H36" s="253">
        <f t="shared" si="5"/>
        <v>-1.3930039843328079</v>
      </c>
      <c r="I36" s="253">
        <f t="shared" si="5"/>
        <v>-3.4348938427903208</v>
      </c>
      <c r="J36" s="284" t="s">
        <v>10</v>
      </c>
      <c r="K36" s="284" t="s">
        <v>10</v>
      </c>
    </row>
    <row r="37" spans="1:11">
      <c r="A37" s="265"/>
      <c r="B37" s="263"/>
      <c r="C37" s="263"/>
      <c r="D37" s="263"/>
      <c r="E37" s="263"/>
      <c r="F37" s="350"/>
      <c r="G37" s="263"/>
      <c r="H37" s="263"/>
      <c r="I37" s="263"/>
      <c r="J37" s="263"/>
      <c r="K37" s="263"/>
    </row>
    <row r="38" spans="1:11">
      <c r="A38" s="472" t="s">
        <v>526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</row>
    <row r="39" spans="1:11" ht="35.25" hidden="1" customHeight="1" outlineLevel="1">
      <c r="A39" s="492" t="s">
        <v>398</v>
      </c>
      <c r="B39" s="492"/>
      <c r="C39" s="492"/>
      <c r="D39" s="492"/>
      <c r="E39" s="492"/>
      <c r="F39" s="492"/>
      <c r="G39" s="492"/>
      <c r="H39" s="492"/>
      <c r="I39" s="492"/>
      <c r="J39" s="492"/>
      <c r="K39" s="492"/>
    </row>
    <row r="40" spans="1:11" collapsed="1">
      <c r="A40" s="289"/>
      <c r="B40" s="287"/>
      <c r="C40" s="289"/>
      <c r="D40" s="287"/>
      <c r="E40" s="287"/>
      <c r="F40" s="287"/>
      <c r="G40" s="287"/>
      <c r="H40" s="287"/>
      <c r="I40" s="287"/>
      <c r="J40" s="287"/>
      <c r="K40" s="287"/>
    </row>
    <row r="44" spans="1:11">
      <c r="C44" s="272"/>
    </row>
    <row r="45" spans="1:11">
      <c r="C45" s="272"/>
    </row>
    <row r="46" spans="1:11">
      <c r="C46" s="272"/>
    </row>
    <row r="47" spans="1:11">
      <c r="C47" s="272"/>
    </row>
    <row r="48" spans="1:11">
      <c r="C48" s="272"/>
    </row>
    <row r="49" spans="3:3">
      <c r="C49" s="272"/>
    </row>
    <row r="50" spans="3:3">
      <c r="C50" s="272"/>
    </row>
  </sheetData>
  <mergeCells count="4">
    <mergeCell ref="A1:K1"/>
    <mergeCell ref="A31:K31"/>
    <mergeCell ref="A38:K38"/>
    <mergeCell ref="A39:K39"/>
  </mergeCells>
  <printOptions gridLines="1"/>
  <pageMargins left="0.70866141732283472" right="0.70866141732283472" top="0.74803149606299213" bottom="0.74803149606299213" header="0.31496062992125984" footer="0.31496062992125984"/>
  <pageSetup scale="73" orientation="landscape" horizontalDpi="0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activeCell="B11" sqref="B11"/>
    </sheetView>
  </sheetViews>
  <sheetFormatPr defaultRowHeight="15"/>
  <cols>
    <col min="1" max="1" width="12" style="266" customWidth="1"/>
    <col min="2" max="11" width="17" style="266" customWidth="1"/>
    <col min="12" max="16384" width="9.140625" style="266"/>
  </cols>
  <sheetData>
    <row r="1" spans="1:11" ht="15" customHeight="1">
      <c r="A1" s="471" t="s">
        <v>579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53"/>
      <c r="C3" s="253"/>
      <c r="D3" s="253"/>
      <c r="E3" s="253"/>
      <c r="F3" s="253"/>
      <c r="G3" s="253"/>
      <c r="H3" s="253"/>
      <c r="I3" s="253"/>
      <c r="J3" s="253"/>
      <c r="K3" s="253"/>
    </row>
    <row r="4" spans="1:11" s="332" customFormat="1">
      <c r="A4" s="326">
        <v>2000</v>
      </c>
      <c r="B4" s="253">
        <f>'18A'!L5*1000/'19A'!B17</f>
        <v>46.148132272641661</v>
      </c>
      <c r="C4" s="253">
        <f>'18A'!M5*1000/'19A'!C17</f>
        <v>38.619948566618874</v>
      </c>
      <c r="D4" s="253">
        <f>'18A'!N5*1000/'19A'!D17</f>
        <v>34.377804659148552</v>
      </c>
      <c r="E4" s="253">
        <f>'18A'!O5*1000/'19A'!E17</f>
        <v>30.440328266369516</v>
      </c>
      <c r="F4" s="253">
        <f>'18A'!P5*1000/'19A'!F17</f>
        <v>29.71803054965207</v>
      </c>
      <c r="G4" s="253">
        <f>'18A'!Q5*1000/'19A'!G17</f>
        <v>30.729665296315069</v>
      </c>
      <c r="H4" s="253">
        <f>'18A'!R5*1000/'19A'!H17</f>
        <v>31.492703843881948</v>
      </c>
      <c r="I4" s="253">
        <f>'18A'!S5*1000/'19A'!I17</f>
        <v>53.955971926907644</v>
      </c>
      <c r="J4" s="253">
        <f>'18A'!T5*1000/'19A'!J17</f>
        <v>54.222909795654687</v>
      </c>
      <c r="K4" s="253">
        <f>'18A'!U5*1000/'19A'!K17</f>
        <v>50.007141836880443</v>
      </c>
    </row>
    <row r="5" spans="1:11" s="332" customFormat="1">
      <c r="A5" s="326">
        <v>2001</v>
      </c>
      <c r="B5" s="253">
        <f>'18A'!L6*1000/'19A'!B18</f>
        <v>46.530213368404723</v>
      </c>
      <c r="C5" s="253">
        <f>'18A'!M6*1000/'19A'!C18</f>
        <v>39.17939627756634</v>
      </c>
      <c r="D5" s="253">
        <f>'18A'!N6*1000/'19A'!D18</f>
        <v>37.321153700572815</v>
      </c>
      <c r="E5" s="253">
        <f>'18A'!O6*1000/'19A'!E18</f>
        <v>30.433206253639352</v>
      </c>
      <c r="F5" s="253">
        <f>'18A'!P6*1000/'19A'!F18</f>
        <v>28.989111186466221</v>
      </c>
      <c r="G5" s="253">
        <f>'18A'!Q6*1000/'19A'!G18</f>
        <v>32.286075149984214</v>
      </c>
      <c r="H5" s="253">
        <f>'18A'!R6*1000/'19A'!H18</f>
        <v>32.471008028545938</v>
      </c>
      <c r="I5" s="253">
        <f>'18A'!S6*1000/'19A'!I18</f>
        <v>53.399169418920245</v>
      </c>
      <c r="J5" s="253">
        <f>'18A'!T6*1000/'19A'!J18</f>
        <v>53.284868066774365</v>
      </c>
      <c r="K5" s="253">
        <f>'18A'!U6*1000/'19A'!K18</f>
        <v>53.60438493027128</v>
      </c>
    </row>
    <row r="6" spans="1:11" s="332" customFormat="1">
      <c r="A6" s="326">
        <v>2002</v>
      </c>
      <c r="B6" s="253">
        <f>'18A'!L7*1000/'19A'!B19</f>
        <v>47.086882154034789</v>
      </c>
      <c r="C6" s="253">
        <f>'18A'!M7*1000/'19A'!C19</f>
        <v>42.319212891067117</v>
      </c>
      <c r="D6" s="253">
        <f>'18A'!N7*1000/'19A'!D19</f>
        <v>37.741414770445999</v>
      </c>
      <c r="E6" s="253">
        <f>'18A'!O7*1000/'19A'!E19</f>
        <v>33.746019485393241</v>
      </c>
      <c r="F6" s="253">
        <f>'18A'!P7*1000/'19A'!F19</f>
        <v>34.271568422575513</v>
      </c>
      <c r="G6" s="253">
        <f>'18A'!Q7*1000/'19A'!G19</f>
        <v>35.180957371159103</v>
      </c>
      <c r="H6" s="253">
        <f>'18A'!R7*1000/'19A'!H19</f>
        <v>33.217054664775844</v>
      </c>
      <c r="I6" s="253">
        <f>'18A'!S7*1000/'19A'!I19</f>
        <v>59.112931133925478</v>
      </c>
      <c r="J6" s="253">
        <f>'18A'!T7*1000/'19A'!J19</f>
        <v>61.092581262705004</v>
      </c>
      <c r="K6" s="253">
        <f>'18A'!U7*1000/'19A'!K19</f>
        <v>56.508703256433748</v>
      </c>
    </row>
    <row r="7" spans="1:11" s="332" customFormat="1">
      <c r="A7" s="326">
        <v>2003</v>
      </c>
      <c r="B7" s="253">
        <f>'18A'!L8*1000/'19A'!B20</f>
        <v>47.447917317136962</v>
      </c>
      <c r="C7" s="253">
        <f>'18A'!M8*1000/'19A'!C20</f>
        <v>43.361819986609298</v>
      </c>
      <c r="D7" s="253">
        <f>'18A'!N8*1000/'19A'!D20</f>
        <v>38.454634813453566</v>
      </c>
      <c r="E7" s="253">
        <f>'18A'!O8*1000/'19A'!E20</f>
        <v>35.27797100904322</v>
      </c>
      <c r="F7" s="253">
        <f>'18A'!P8*1000/'19A'!F20</f>
        <v>35.998636092404737</v>
      </c>
      <c r="G7" s="253">
        <f>'18A'!Q8*1000/'19A'!G20</f>
        <v>37.061982002207628</v>
      </c>
      <c r="H7" s="253">
        <f>'18A'!R8*1000/'19A'!H20</f>
        <v>34.396175868046434</v>
      </c>
      <c r="I7" s="253">
        <f>'18A'!S8*1000/'19A'!I20</f>
        <v>59.002199089358818</v>
      </c>
      <c r="J7" s="253">
        <f>'18A'!T8*1000/'19A'!J20</f>
        <v>60.095495283941922</v>
      </c>
      <c r="K7" s="253">
        <f>'18A'!U8*1000/'19A'!K20</f>
        <v>58.004446914952752</v>
      </c>
    </row>
    <row r="8" spans="1:11" s="332" customFormat="1">
      <c r="A8" s="326">
        <v>2004</v>
      </c>
      <c r="B8" s="253">
        <f>'18A'!L9*1000/'19A'!B21</f>
        <v>47.572014952787335</v>
      </c>
      <c r="C8" s="253">
        <f>'18A'!M9*1000/'19A'!C21</f>
        <v>44.309062048294273</v>
      </c>
      <c r="D8" s="253">
        <f>'18A'!N9*1000/'19A'!D21</f>
        <v>40.896659254147174</v>
      </c>
      <c r="E8" s="253">
        <f>'18A'!O9*1000/'19A'!E21</f>
        <v>36.41936824605154</v>
      </c>
      <c r="F8" s="253">
        <f>'18A'!P9*1000/'19A'!F21</f>
        <v>35.157901583894365</v>
      </c>
      <c r="G8" s="253">
        <f>'18A'!Q9*1000/'19A'!G21</f>
        <v>40.143053855569157</v>
      </c>
      <c r="H8" s="253">
        <f>'18A'!R9*1000/'19A'!H21</f>
        <v>37.368890398743048</v>
      </c>
      <c r="I8" s="253">
        <f>'18A'!S9*1000/'19A'!I21</f>
        <v>58.583906799100532</v>
      </c>
      <c r="J8" s="253">
        <f>'18A'!T9*1000/'19A'!J21</f>
        <v>60.273579491103881</v>
      </c>
      <c r="K8" s="253">
        <f>'18A'!U9*1000/'19A'!K21</f>
        <v>56.33919452342176</v>
      </c>
    </row>
    <row r="9" spans="1:11" s="332" customFormat="1">
      <c r="A9" s="326">
        <v>2005</v>
      </c>
      <c r="B9" s="253">
        <f>'18A'!L10*1000/'19A'!B22</f>
        <v>48.631871518101605</v>
      </c>
      <c r="C9" s="253">
        <f>'18A'!M10*1000/'19A'!C22</f>
        <v>46.951676181764178</v>
      </c>
      <c r="D9" s="253">
        <f>'18A'!N10*1000/'19A'!D22</f>
        <v>42.427492593211248</v>
      </c>
      <c r="E9" s="253">
        <f>'18A'!O10*1000/'19A'!E22</f>
        <v>40.212999669325995</v>
      </c>
      <c r="F9" s="253">
        <f>'18A'!P10*1000/'19A'!F22</f>
        <v>39.976354097391564</v>
      </c>
      <c r="G9" s="253">
        <f>'18A'!Q10*1000/'19A'!G22</f>
        <v>50.419632423244451</v>
      </c>
      <c r="H9" s="253">
        <f>'18A'!R10*1000/'19A'!H22</f>
        <v>35.177265829769624</v>
      </c>
      <c r="I9" s="253">
        <f>'18A'!S10*1000/'19A'!I22</f>
        <v>60.256730897860187</v>
      </c>
      <c r="J9" s="253">
        <f>'18A'!T10*1000/'19A'!J22</f>
        <v>63.830639107151796</v>
      </c>
      <c r="K9" s="253">
        <f>'18A'!U10*1000/'19A'!K22</f>
        <v>55.368894565851221</v>
      </c>
    </row>
    <row r="10" spans="1:11" s="332" customFormat="1">
      <c r="A10" s="326">
        <v>2006</v>
      </c>
      <c r="B10" s="253">
        <f>'18A'!L11*1000/'19A'!B23</f>
        <v>49.247828046662697</v>
      </c>
      <c r="C10" s="253">
        <f>'18A'!M11*1000/'19A'!C23</f>
        <v>48.120826871556588</v>
      </c>
      <c r="D10" s="253">
        <f>'18A'!N11*1000/'19A'!D23</f>
        <v>44.234110566077582</v>
      </c>
      <c r="E10" s="253">
        <f>'18A'!O11*1000/'19A'!E23</f>
        <v>43.302166551870627</v>
      </c>
      <c r="F10" s="253">
        <f>'18A'!P11*1000/'19A'!F23</f>
        <v>46.186096172872155</v>
      </c>
      <c r="G10" s="253">
        <f>'18A'!Q11*1000/'19A'!G23</f>
        <v>53.272142359002046</v>
      </c>
      <c r="H10" s="253">
        <f>'18A'!R11*1000/'19A'!H23</f>
        <v>35.528867204603742</v>
      </c>
      <c r="I10" s="253">
        <f>'18A'!S11*1000/'19A'!I23</f>
        <v>57.824325074477734</v>
      </c>
      <c r="J10" s="253">
        <f>'18A'!T11*1000/'19A'!J23</f>
        <v>61.307539069574204</v>
      </c>
      <c r="K10" s="253">
        <f>'18A'!U11*1000/'19A'!K23</f>
        <v>53.165929268364145</v>
      </c>
    </row>
    <row r="11" spans="1:11">
      <c r="A11" s="260">
        <v>2007</v>
      </c>
      <c r="B11" s="253">
        <f>'18A'!L12*1000/'19A'!B24</f>
        <v>49.319871204638268</v>
      </c>
      <c r="C11" s="253">
        <f>'18A'!M12*1000/'19A'!C24</f>
        <v>48.20707323586354</v>
      </c>
      <c r="D11" s="253">
        <f>'18A'!N12*1000/'19A'!D24</f>
        <v>43.397530456669521</v>
      </c>
      <c r="E11" s="253">
        <f>'18A'!O12*1000/'19A'!E24</f>
        <v>43.11997277010444</v>
      </c>
      <c r="F11" s="253">
        <f>'18A'!P12*1000/'19A'!F24</f>
        <v>45.057456183509913</v>
      </c>
      <c r="G11" s="253">
        <f>'18A'!Q12*1000/'19A'!G24</f>
        <v>55.783170501103058</v>
      </c>
      <c r="H11" s="253">
        <f>'18A'!R12*1000/'19A'!H24</f>
        <v>36.097155108963484</v>
      </c>
      <c r="I11" s="253">
        <f>'18A'!S12*1000/'19A'!I24</f>
        <v>58.276713826892014</v>
      </c>
      <c r="J11" s="253">
        <f>'18A'!T12*1000/'19A'!J24</f>
        <v>63.436862933205418</v>
      </c>
      <c r="K11" s="253">
        <f>'18A'!U12*1000/'19A'!K24</f>
        <v>51.251985216629805</v>
      </c>
    </row>
    <row r="12" spans="1:11">
      <c r="A12" s="260">
        <v>2008</v>
      </c>
      <c r="B12" s="253">
        <f>'18A'!L13*1000/'19A'!B25</f>
        <v>49.212322131833005</v>
      </c>
      <c r="C12" s="253">
        <f>'18A'!M13*1000/'19A'!C25</f>
        <v>50.168828314954006</v>
      </c>
      <c r="D12" s="253">
        <f>'18A'!N13*1000/'19A'!D25</f>
        <v>45.708457919013512</v>
      </c>
      <c r="E12" s="253">
        <f>'18A'!O13*1000/'19A'!E25</f>
        <v>44.522909996808764</v>
      </c>
      <c r="F12" s="253">
        <f>'18A'!P13*1000/'19A'!F25</f>
        <v>50.254278996008097</v>
      </c>
      <c r="G12" s="253">
        <f>'18A'!Q13*1000/'19A'!G25</f>
        <v>57.965050018994553</v>
      </c>
      <c r="H12" s="253">
        <f>'18A'!R13*1000/'19A'!H25</f>
        <v>35.054608804413377</v>
      </c>
      <c r="I12" s="253">
        <f>'18A'!S13*1000/'19A'!I25</f>
        <v>60.556774605133093</v>
      </c>
      <c r="J12" s="253">
        <f>'18A'!T13*1000/'19A'!J25</f>
        <v>67.928928091653361</v>
      </c>
      <c r="K12" s="253">
        <f>'18A'!U13*1000/'19A'!K25</f>
        <v>51.42928865041263</v>
      </c>
    </row>
    <row r="13" spans="1:11">
      <c r="A13" s="260">
        <v>2009</v>
      </c>
      <c r="B13" s="253">
        <f>'18A'!L14*1000/'19A'!B26</f>
        <v>49.526490852050635</v>
      </c>
      <c r="C13" s="253">
        <f>'18A'!M14*1000/'19A'!C26</f>
        <v>47.087075679049192</v>
      </c>
      <c r="D13" s="253">
        <f>'18A'!N14*1000/'19A'!D26</f>
        <v>42.594398582475996</v>
      </c>
      <c r="E13" s="253">
        <f>'18A'!O14*1000/'19A'!E26</f>
        <v>42.954648688708794</v>
      </c>
      <c r="F13" s="253">
        <f>'18A'!P14*1000/'19A'!F26</f>
        <v>50.13568293745184</v>
      </c>
      <c r="G13" s="253">
        <f>'18A'!Q14*1000/'19A'!G26</f>
        <v>56.353058625081758</v>
      </c>
      <c r="H13" s="253">
        <f>'18A'!R14*1000/'19A'!H26</f>
        <v>32.570097621199203</v>
      </c>
      <c r="I13" s="253">
        <f>'18A'!S14*1000/'19A'!I26</f>
        <v>55.018651050143681</v>
      </c>
      <c r="J13" s="253">
        <f>'18A'!T14*1000/'19A'!J26</f>
        <v>57.688740493414954</v>
      </c>
      <c r="K13" s="253">
        <f>'18A'!U14*1000/'19A'!K26</f>
        <v>52.136195309285419</v>
      </c>
    </row>
    <row r="14" spans="1:11">
      <c r="A14" s="260">
        <v>2010</v>
      </c>
      <c r="B14" s="253">
        <f>'18A'!L15*1000/'19A'!B27</f>
        <v>50.346569496644179</v>
      </c>
      <c r="C14" s="253">
        <f>'18A'!M15*1000/'19A'!C27</f>
        <v>50.347945996215884</v>
      </c>
      <c r="D14" s="253">
        <f>'18A'!N15*1000/'19A'!D27</f>
        <v>49.392813574359543</v>
      </c>
      <c r="E14" s="253">
        <f>'18A'!O15*1000/'19A'!E27</f>
        <v>42.415991573946464</v>
      </c>
      <c r="F14" s="253">
        <f>'18A'!P15*1000/'19A'!F27</f>
        <v>50.588358115464345</v>
      </c>
      <c r="G14" s="253">
        <f>'18A'!Q15*1000/'19A'!G27</f>
        <v>51.717160037002778</v>
      </c>
      <c r="H14" s="253">
        <f>'18A'!R15*1000/'19A'!H27</f>
        <v>31.945348080676641</v>
      </c>
      <c r="I14" s="253">
        <f>'18A'!S15*1000/'19A'!I27</f>
        <v>62.363433306896717</v>
      </c>
      <c r="J14" s="253">
        <f>'18A'!T15*1000/'19A'!J27</f>
        <v>71.143848800375878</v>
      </c>
      <c r="K14" s="253">
        <f>'18A'!U15*1000/'19A'!K27</f>
        <v>52.216646118047478</v>
      </c>
    </row>
    <row r="15" spans="1:11">
      <c r="A15" s="260">
        <v>2011</v>
      </c>
      <c r="B15" s="253">
        <f>'18A'!L16*1000/'19A'!B28</f>
        <v>51.114215207554977</v>
      </c>
      <c r="C15" s="253">
        <f>'18A'!M16*1000/'19A'!C28</f>
        <v>52.663913538174171</v>
      </c>
      <c r="D15" s="253">
        <f>'18A'!N16*1000/'19A'!D28</f>
        <v>49.221477036514102</v>
      </c>
      <c r="E15" s="253">
        <f>'18A'!O16*1000/'19A'!E28</f>
        <v>46.15466264108219</v>
      </c>
      <c r="F15" s="253">
        <f>'18A'!P16*1000/'19A'!F28</f>
        <v>57.953021800665439</v>
      </c>
      <c r="G15" s="253">
        <f>'18A'!Q16*1000/'19A'!G28</f>
        <v>54.412535858601437</v>
      </c>
      <c r="H15" s="253">
        <f>'18A'!R16*1000/'19A'!H28</f>
        <v>33.940925851128974</v>
      </c>
      <c r="I15" s="253">
        <f>'18A'!S16*1000/'19A'!I28</f>
        <v>64.358298833270609</v>
      </c>
      <c r="J15" s="253">
        <f>'18A'!T16*1000/'19A'!J28</f>
        <v>73.252048009144602</v>
      </c>
      <c r="K15" s="253">
        <f>'18A'!U16*1000/'19A'!K28</f>
        <v>53.83802229187144</v>
      </c>
    </row>
    <row r="16" spans="1:11">
      <c r="A16" s="260">
        <v>2012</v>
      </c>
      <c r="B16" s="253">
        <f>'18A'!L17*1000/'19A'!B29</f>
        <v>51.265263219937722</v>
      </c>
      <c r="C16" s="253">
        <f>'18A'!M17*1000/'19A'!C29</f>
        <v>54.241056941540322</v>
      </c>
      <c r="D16" s="253">
        <f>'18A'!N17*1000/'19A'!D29</f>
        <v>53.531673750252985</v>
      </c>
      <c r="E16" s="253">
        <f>'18A'!O17*1000/'19A'!E29</f>
        <v>48.733924573491386</v>
      </c>
      <c r="F16" s="253">
        <f>'18A'!P17*1000/'19A'!F29</f>
        <v>61.293031066330812</v>
      </c>
      <c r="G16" s="253">
        <f>'18A'!Q17*1000/'19A'!G29</f>
        <v>59.224449147267521</v>
      </c>
      <c r="H16" s="253">
        <f>'18A'!R17*1000/'19A'!H29</f>
        <v>35.432086417283458</v>
      </c>
      <c r="I16" s="253">
        <f>'18A'!S17*1000/'19A'!I29</f>
        <v>63.150867823765019</v>
      </c>
      <c r="J16" s="253">
        <f>'18A'!T17*1000/'19A'!J29</f>
        <v>69.036081461593866</v>
      </c>
      <c r="K16" s="253">
        <f>'18A'!U17*1000/'19A'!K29</f>
        <v>56.254510698890122</v>
      </c>
    </row>
    <row r="17" spans="1:11">
      <c r="A17" s="260">
        <v>2013</v>
      </c>
      <c r="B17" s="253">
        <f>'18A'!L18*1000/'19A'!B30</f>
        <v>51.875309166146558</v>
      </c>
      <c r="C17" s="253">
        <f>'18A'!M18*1000/'19A'!C30</f>
        <v>56.64884379074919</v>
      </c>
      <c r="D17" s="253">
        <f>'18A'!N18*1000/'19A'!D30</f>
        <v>57.163980482034603</v>
      </c>
      <c r="E17" s="253">
        <f>'18A'!O18*1000/'19A'!E30</f>
        <v>52.126168628559235</v>
      </c>
      <c r="F17" s="253">
        <f>'18A'!P18*1000/'19A'!F30</f>
        <v>64.479600879640273</v>
      </c>
      <c r="G17" s="253">
        <f>'18A'!Q18*1000/'19A'!G30</f>
        <v>64.735423811856933</v>
      </c>
      <c r="H17" s="253">
        <f>'18A'!R18*1000/'19A'!H30</f>
        <v>38.060028823861145</v>
      </c>
      <c r="I17" s="253">
        <f>'18A'!S18*1000/'19A'!I30</f>
        <v>63.447562535724977</v>
      </c>
      <c r="J17" s="253">
        <f>'18A'!T18*1000/'19A'!J30</f>
        <v>70.486689881669506</v>
      </c>
      <c r="K17" s="253">
        <f>'18A'!U18*1000/'19A'!K30</f>
        <v>54.751733032403678</v>
      </c>
    </row>
    <row r="18" spans="1:11">
      <c r="A18" s="265"/>
      <c r="B18" s="358"/>
      <c r="C18" s="358"/>
      <c r="D18" s="358"/>
      <c r="E18" s="358"/>
      <c r="F18" s="358"/>
      <c r="G18" s="358"/>
      <c r="H18" s="358"/>
      <c r="I18" s="358"/>
      <c r="J18" s="358"/>
      <c r="K18" s="358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48" t="s">
        <v>68</v>
      </c>
      <c r="B20" s="253">
        <f>((B11/B4)^(1/7)-1)*100</f>
        <v>0.95410249152940718</v>
      </c>
      <c r="C20" s="253">
        <f t="shared" ref="C20:K20" si="0">((C11/C4)^(1/7)-1)*100</f>
        <v>3.2183733478433396</v>
      </c>
      <c r="D20" s="253">
        <f t="shared" si="0"/>
        <v>3.3844610668025688</v>
      </c>
      <c r="E20" s="253">
        <f t="shared" si="0"/>
        <v>5.100350356900929</v>
      </c>
      <c r="F20" s="253">
        <f t="shared" si="0"/>
        <v>6.1257931828028855</v>
      </c>
      <c r="G20" s="253">
        <f t="shared" si="0"/>
        <v>8.8910523344919454</v>
      </c>
      <c r="H20" s="253">
        <f t="shared" si="0"/>
        <v>1.9685272240201224</v>
      </c>
      <c r="I20" s="253">
        <f t="shared" si="0"/>
        <v>1.1065664301627365</v>
      </c>
      <c r="J20" s="253">
        <f t="shared" si="0"/>
        <v>2.2673453368311502</v>
      </c>
      <c r="K20" s="253">
        <f t="shared" si="0"/>
        <v>0.35188224614925989</v>
      </c>
    </row>
    <row r="21" spans="1:11">
      <c r="A21" s="320" t="s">
        <v>368</v>
      </c>
      <c r="B21" s="253">
        <f>((B14/B11)^(1/3)-1)*100</f>
        <v>0.68914430711670693</v>
      </c>
      <c r="C21" s="253">
        <f t="shared" ref="C21:K21" si="1">((C14/C11)^(1/3)-1)*100</f>
        <v>1.4589423676960811</v>
      </c>
      <c r="D21" s="253">
        <f t="shared" si="1"/>
        <v>4.4077931752479538</v>
      </c>
      <c r="E21" s="253">
        <f t="shared" si="1"/>
        <v>-0.547192226676807</v>
      </c>
      <c r="F21" s="253">
        <f t="shared" si="1"/>
        <v>3.9348766758941611</v>
      </c>
      <c r="G21" s="253">
        <f t="shared" si="1"/>
        <v>-2.4911971065938565</v>
      </c>
      <c r="H21" s="253">
        <f t="shared" si="1"/>
        <v>-3.9910876689798758</v>
      </c>
      <c r="I21" s="253">
        <f t="shared" si="1"/>
        <v>2.2849304177269936</v>
      </c>
      <c r="J21" s="253">
        <f t="shared" si="1"/>
        <v>3.895934255350797</v>
      </c>
      <c r="K21" s="253">
        <f t="shared" si="1"/>
        <v>0.6235017971263801</v>
      </c>
    </row>
    <row r="22" spans="1:11">
      <c r="A22" s="320" t="s">
        <v>392</v>
      </c>
      <c r="B22" s="253">
        <f>((B17/B14)^(1/3)-1)*100</f>
        <v>1.0020692450513735</v>
      </c>
      <c r="C22" s="253">
        <f t="shared" ref="C22:K22" si="2">((C17/C14)^(1/3)-1)*100</f>
        <v>4.008722994589542</v>
      </c>
      <c r="D22" s="253">
        <f t="shared" si="2"/>
        <v>4.991199838067617</v>
      </c>
      <c r="E22" s="253">
        <f t="shared" si="2"/>
        <v>7.1129696780891871</v>
      </c>
      <c r="F22" s="253">
        <f t="shared" si="2"/>
        <v>8.4236238820698528</v>
      </c>
      <c r="G22" s="253">
        <f t="shared" si="2"/>
        <v>7.7711314633694739</v>
      </c>
      <c r="H22" s="253">
        <f t="shared" si="2"/>
        <v>6.0117074482614941</v>
      </c>
      <c r="I22" s="253">
        <f t="shared" si="2"/>
        <v>0.57614265436196632</v>
      </c>
      <c r="J22" s="253">
        <f t="shared" si="2"/>
        <v>-0.3088544218508571</v>
      </c>
      <c r="K22" s="253">
        <f t="shared" si="2"/>
        <v>1.5928082981434777</v>
      </c>
    </row>
    <row r="23" spans="1:11">
      <c r="A23" s="260" t="s">
        <v>69</v>
      </c>
      <c r="B23" s="253">
        <f>IFERROR(((B17/B11)^(1/6)-1)*100,"n.a.")</f>
        <v>0.84548539985502824</v>
      </c>
      <c r="C23" s="253">
        <f t="shared" ref="C23:K23" si="3">IFERROR(((C17/C11)^(1/6)-1)*100,"n.a.")</f>
        <v>2.7259219089599052</v>
      </c>
      <c r="D23" s="253">
        <f t="shared" si="3"/>
        <v>4.6990901484539771</v>
      </c>
      <c r="E23" s="253">
        <f t="shared" si="3"/>
        <v>3.2118480767823421</v>
      </c>
      <c r="F23" s="253">
        <f t="shared" si="3"/>
        <v>6.1555273028044644</v>
      </c>
      <c r="G23" s="253">
        <f t="shared" si="3"/>
        <v>2.5116286840720203</v>
      </c>
      <c r="H23" s="253">
        <f t="shared" si="3"/>
        <v>0.88641497477195408</v>
      </c>
      <c r="I23" s="253">
        <f t="shared" si="3"/>
        <v>1.4269380050723868</v>
      </c>
      <c r="J23" s="253">
        <f t="shared" si="3"/>
        <v>1.7718266851292741</v>
      </c>
      <c r="K23" s="253">
        <f t="shared" si="3"/>
        <v>1.1069934691134709</v>
      </c>
    </row>
    <row r="24" spans="1:11" s="352" customFormat="1">
      <c r="A24" s="348" t="s">
        <v>15</v>
      </c>
      <c r="B24" s="253">
        <f>((B17/B4)^(1/13)-1)*100</f>
        <v>0.90395699684173714</v>
      </c>
      <c r="C24" s="253">
        <f t="shared" ref="C24:K24" si="4">((C17/C4)^(1/13)-1)*100</f>
        <v>2.9907954059855246</v>
      </c>
      <c r="D24" s="253">
        <f t="shared" si="4"/>
        <v>3.9891491616684371</v>
      </c>
      <c r="E24" s="253">
        <f t="shared" si="4"/>
        <v>4.2244780063856346</v>
      </c>
      <c r="F24" s="253">
        <f t="shared" si="4"/>
        <v>6.1395155877581598</v>
      </c>
      <c r="G24" s="253">
        <f t="shared" si="4"/>
        <v>5.8988123787749869</v>
      </c>
      <c r="H24" s="253">
        <f t="shared" si="4"/>
        <v>1.467656025255315</v>
      </c>
      <c r="I24" s="253">
        <f t="shared" si="4"/>
        <v>1.2543042961047135</v>
      </c>
      <c r="J24" s="253">
        <f t="shared" si="4"/>
        <v>2.0383453342162294</v>
      </c>
      <c r="K24" s="253">
        <f t="shared" si="4"/>
        <v>0.69969179043287699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618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8" orientation="landscape" horizontalDpi="0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11" width="17" style="266" customWidth="1"/>
    <col min="12" max="16384" width="9.140625" style="266"/>
  </cols>
  <sheetData>
    <row r="1" spans="1:11" ht="15" customHeight="1">
      <c r="A1" s="471" t="s">
        <v>580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53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'18B'!L5*1000/'19B'!B17</f>
        <v>55.302694366122552</v>
      </c>
      <c r="C4" s="253"/>
      <c r="D4" s="253">
        <f>'18B'!N5*1000/'19B'!D17</f>
        <v>38.598484848484851</v>
      </c>
      <c r="E4" s="253">
        <f>'18B'!O5*1000/'19B'!E17</f>
        <v>10.680127523910734</v>
      </c>
      <c r="F4" s="253"/>
      <c r="G4" s="253"/>
      <c r="H4" s="253"/>
      <c r="I4" s="253"/>
      <c r="J4" s="253"/>
      <c r="K4" s="253">
        <f>'18B'!U5*1000/'19B'!K17</f>
        <v>51.758793969849243</v>
      </c>
    </row>
    <row r="5" spans="1:11" s="332" customFormat="1">
      <c r="A5" s="333">
        <v>2001</v>
      </c>
      <c r="B5" s="253">
        <f>'18B'!L6*1000/'19B'!B18</f>
        <v>54.250645150752945</v>
      </c>
      <c r="C5" s="253"/>
      <c r="D5" s="253">
        <f>'18B'!N6*1000/'19B'!D18</f>
        <v>34.865900383141764</v>
      </c>
      <c r="E5" s="253"/>
      <c r="F5" s="253"/>
      <c r="G5" s="253"/>
      <c r="H5" s="253"/>
      <c r="I5" s="253"/>
      <c r="J5" s="253"/>
      <c r="K5" s="253">
        <f>'18B'!U6*1000/'19B'!K18</f>
        <v>48.868778280542983</v>
      </c>
    </row>
    <row r="6" spans="1:11" s="332" customFormat="1">
      <c r="A6" s="333">
        <v>2002</v>
      </c>
      <c r="B6" s="253">
        <f>'18B'!L7*1000/'19B'!B19</f>
        <v>62.369003449847035</v>
      </c>
      <c r="C6" s="253"/>
      <c r="D6" s="253">
        <f>'18B'!N7*1000/'19B'!D19</f>
        <v>38.532110091743121</v>
      </c>
      <c r="E6" s="253">
        <f>'18B'!O7*1000/'19B'!E19</f>
        <v>16.236162361623617</v>
      </c>
      <c r="F6" s="253"/>
      <c r="G6" s="253"/>
      <c r="H6" s="253"/>
      <c r="I6" s="253"/>
      <c r="J6" s="253"/>
      <c r="K6" s="253"/>
    </row>
    <row r="7" spans="1:11" s="332" customFormat="1">
      <c r="A7" s="333">
        <v>2003</v>
      </c>
      <c r="B7" s="253">
        <f>'18B'!L8*1000/'19B'!B20</f>
        <v>66.248398308505429</v>
      </c>
      <c r="C7" s="253">
        <f>'18B'!M8*1000/'19B'!C20</f>
        <v>43.893861892583118</v>
      </c>
      <c r="D7" s="253">
        <f>'18B'!N8*1000/'19B'!D20</f>
        <v>52.909535452322736</v>
      </c>
      <c r="E7" s="253">
        <f>'18B'!O8*1000/'19B'!E20</f>
        <v>25.296803652968038</v>
      </c>
      <c r="F7" s="253"/>
      <c r="G7" s="253">
        <f>'18B'!Q8*1000/'19B'!G20</f>
        <v>26.923076923076923</v>
      </c>
      <c r="H7" s="253"/>
      <c r="I7" s="253">
        <f>'18B'!S8*1000/'19B'!I20</f>
        <v>44.512195121951223</v>
      </c>
      <c r="J7" s="253"/>
      <c r="K7" s="253"/>
    </row>
    <row r="8" spans="1:11" s="332" customFormat="1">
      <c r="A8" s="333">
        <v>2004</v>
      </c>
      <c r="B8" s="253">
        <f>'18B'!L9*1000/'19B'!B21</f>
        <v>64.311886383866295</v>
      </c>
      <c r="C8" s="253">
        <f>'18B'!M9*1000/'19B'!C21</f>
        <v>36.882240797770933</v>
      </c>
      <c r="D8" s="253">
        <f>'18B'!N9*1000/'19B'!D21</f>
        <v>43.225233229675702</v>
      </c>
      <c r="E8" s="253">
        <f>'18B'!O9*1000/'19B'!E21</f>
        <v>13.022888713496448</v>
      </c>
      <c r="F8" s="253"/>
      <c r="G8" s="253"/>
      <c r="H8" s="253"/>
      <c r="I8" s="253">
        <f>'18B'!S9*1000/'19B'!I21</f>
        <v>41.714631929718266</v>
      </c>
      <c r="J8" s="253"/>
      <c r="K8" s="253"/>
    </row>
    <row r="9" spans="1:11" s="332" customFormat="1">
      <c r="A9" s="333">
        <v>2005</v>
      </c>
      <c r="B9" s="253">
        <f>'18B'!L10*1000/'19B'!B22</f>
        <v>65.93467463815395</v>
      </c>
      <c r="C9" s="253"/>
      <c r="D9" s="253">
        <f>'18B'!N10*1000/'19B'!D22</f>
        <v>46.478092068774266</v>
      </c>
      <c r="E9" s="253">
        <f>'18B'!O10*1000/'19B'!E22</f>
        <v>16.160714285714285</v>
      </c>
      <c r="F9" s="253"/>
      <c r="G9" s="253"/>
      <c r="H9" s="253">
        <f>'18B'!R10*1000/'19B'!H22</f>
        <v>22.65625</v>
      </c>
      <c r="I9" s="253"/>
      <c r="J9" s="253"/>
      <c r="K9" s="253"/>
    </row>
    <row r="10" spans="1:11" s="332" customFormat="1">
      <c r="A10" s="333">
        <v>2006</v>
      </c>
      <c r="B10" s="253">
        <f>'18B'!L11*1000/'19B'!B23</f>
        <v>66.752264207019167</v>
      </c>
      <c r="C10" s="253"/>
      <c r="D10" s="253">
        <f>'18B'!N11*1000/'19B'!D23</f>
        <v>55.912162162162161</v>
      </c>
      <c r="E10" s="253">
        <f>'18B'!O11*1000/'19B'!E23</f>
        <v>18.45672575599583</v>
      </c>
      <c r="F10" s="253">
        <f>'18B'!P11*1000/'19B'!F23</f>
        <v>13.819875776397515</v>
      </c>
      <c r="G10" s="253"/>
      <c r="H10" s="253"/>
      <c r="I10" s="253"/>
      <c r="J10" s="253"/>
      <c r="K10" s="253"/>
    </row>
    <row r="11" spans="1:11">
      <c r="A11" s="260">
        <v>2007</v>
      </c>
      <c r="B11" s="253">
        <f>'18B'!L12*1000/'19B'!B24</f>
        <v>72.616997437520098</v>
      </c>
      <c r="C11" s="253"/>
      <c r="D11" s="253">
        <f>'18B'!N12*1000/'19B'!D24</f>
        <v>51.214953271028037</v>
      </c>
      <c r="E11" s="253">
        <f>'18B'!O12*1000/'19B'!E24</f>
        <v>16.902944383860415</v>
      </c>
      <c r="F11" s="253">
        <f>'18B'!P12*1000/'19B'!F24</f>
        <v>12.084063047285465</v>
      </c>
      <c r="G11" s="253"/>
      <c r="H11" s="253"/>
      <c r="I11" s="253"/>
      <c r="J11" s="253"/>
      <c r="K11" s="253"/>
    </row>
    <row r="12" spans="1:11">
      <c r="A12" s="260">
        <v>2008</v>
      </c>
      <c r="B12" s="253">
        <f>'18B'!L13*1000/'19B'!B25</f>
        <v>71.092611595690101</v>
      </c>
      <c r="C12" s="253"/>
      <c r="D12" s="253">
        <f>'18B'!N13*1000/'19B'!D25</f>
        <v>65.537555228276872</v>
      </c>
      <c r="E12" s="253">
        <f>'18B'!O13*1000/'19B'!E25</f>
        <v>17.814207650273225</v>
      </c>
      <c r="F12" s="253">
        <f>'18B'!P13*1000/'19B'!F25</f>
        <v>11.943319838056681</v>
      </c>
      <c r="G12" s="253"/>
      <c r="H12" s="253"/>
      <c r="I12" s="253"/>
      <c r="J12" s="253"/>
      <c r="K12" s="253"/>
    </row>
    <row r="13" spans="1:11">
      <c r="A13" s="260">
        <v>2009</v>
      </c>
      <c r="B13" s="253">
        <f>'18B'!L14*1000/'19B'!B26</f>
        <v>66.957460614921501</v>
      </c>
      <c r="C13" s="253"/>
      <c r="D13" s="253">
        <f>'18B'!N14*1000/'19B'!D26</f>
        <v>92.842535787321069</v>
      </c>
      <c r="E13" s="253">
        <f>'18B'!O14*1000/'19B'!E26</f>
        <v>21.798029556650246</v>
      </c>
      <c r="F13" s="253">
        <f>'18B'!P14*1000/'19B'!F26</f>
        <v>17.161716171617162</v>
      </c>
      <c r="G13" s="253"/>
      <c r="H13" s="253"/>
      <c r="I13" s="253"/>
      <c r="J13" s="253"/>
      <c r="K13" s="253"/>
    </row>
    <row r="14" spans="1:11">
      <c r="A14" s="260">
        <v>2010</v>
      </c>
      <c r="B14" s="253">
        <f>'18B'!L15*1000/'19B'!B27</f>
        <v>68.77128504752406</v>
      </c>
      <c r="C14" s="253"/>
      <c r="D14" s="253">
        <f>'18B'!N15*1000/'19B'!D27</f>
        <v>83.390216154721273</v>
      </c>
      <c r="E14" s="253">
        <f>'18B'!O15*1000/'19B'!E27</f>
        <v>25.226244343891402</v>
      </c>
      <c r="F14" s="253">
        <f>'18B'!P15*1000/'19B'!F27</f>
        <v>20.655737704918032</v>
      </c>
      <c r="G14" s="253"/>
      <c r="H14" s="253"/>
      <c r="I14" s="253"/>
      <c r="J14" s="253"/>
      <c r="K14" s="253"/>
    </row>
    <row r="15" spans="1:11">
      <c r="A15" s="260">
        <v>2011</v>
      </c>
      <c r="B15" s="253">
        <f>'18B'!L16*1000/'19B'!B28</f>
        <v>67.723890390003831</v>
      </c>
      <c r="C15" s="253"/>
      <c r="D15" s="253">
        <f>'18B'!N16*1000/'19B'!D28</f>
        <v>77.114967462039047</v>
      </c>
      <c r="E15" s="253">
        <f>'18B'!O16*1000/'19B'!E28</f>
        <v>26.908635794743429</v>
      </c>
      <c r="F15" s="253">
        <f>'18B'!P16*1000/'19B'!F28</f>
        <v>26.086956521739129</v>
      </c>
      <c r="G15" s="253">
        <f>'18B'!Q16*1000/'19B'!G28</f>
        <v>34.5</v>
      </c>
      <c r="H15" s="253">
        <f>'18B'!R16*1000/'19B'!H28</f>
        <v>23.826714801444044</v>
      </c>
      <c r="I15" s="253"/>
      <c r="J15" s="253"/>
      <c r="K15" s="253"/>
    </row>
    <row r="16" spans="1:11">
      <c r="A16" s="260">
        <v>2012</v>
      </c>
      <c r="B16" s="253">
        <f>'18B'!L17*1000/'19B'!B29</f>
        <v>62.40698115349408</v>
      </c>
      <c r="C16" s="253"/>
      <c r="D16" s="253">
        <f>'18B'!N17*1000/'19B'!D29</f>
        <v>87.721518987341767</v>
      </c>
      <c r="E16" s="253">
        <f>'18B'!O17*1000/'19B'!E29</f>
        <v>25.92152199762188</v>
      </c>
      <c r="F16" s="253">
        <f>'18B'!P17*1000/'19B'!F29</f>
        <v>16.995073891625616</v>
      </c>
      <c r="G16" s="253">
        <f>'18B'!Q17*1000/'19B'!G29</f>
        <v>34.649122807017541</v>
      </c>
      <c r="H16" s="253">
        <f>'18B'!R17*1000/'19B'!H29</f>
        <v>34.782608695652172</v>
      </c>
      <c r="I16" s="253"/>
      <c r="J16" s="253"/>
      <c r="K16" s="253"/>
    </row>
    <row r="17" spans="1:11">
      <c r="A17" s="260">
        <v>2013</v>
      </c>
      <c r="B17" s="253">
        <f>'18B'!L18*1000/'19B'!B30</f>
        <v>67.187579536777804</v>
      </c>
      <c r="C17" s="253"/>
      <c r="D17" s="253">
        <f>'18B'!N18*1000/'19B'!D30</f>
        <v>105.08474576271186</v>
      </c>
      <c r="E17" s="253">
        <f>'18B'!O18*1000/'19B'!E30</f>
        <v>31.524547803617573</v>
      </c>
      <c r="F17" s="253">
        <f>'18B'!P18*1000/'19B'!F30</f>
        <v>19.25925925925926</v>
      </c>
      <c r="G17" s="253">
        <f>'18B'!Q18*1000/'19B'!G30</f>
        <v>48.633879781420767</v>
      </c>
      <c r="H17" s="253">
        <f>'18B'!R18*1000/'19B'!H30</f>
        <v>43.01075268817204</v>
      </c>
      <c r="I17" s="253"/>
      <c r="J17" s="253"/>
      <c r="K17" s="253"/>
    </row>
    <row r="18" spans="1:11">
      <c r="A18" s="265"/>
      <c r="B18" s="358"/>
      <c r="C18" s="358"/>
      <c r="D18" s="358"/>
      <c r="E18" s="358"/>
      <c r="F18" s="358"/>
      <c r="G18" s="358"/>
      <c r="H18" s="358"/>
      <c r="I18" s="358"/>
      <c r="J18" s="358"/>
      <c r="K18" s="358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3.967800594994042</v>
      </c>
      <c r="C20" s="253" t="s">
        <v>10</v>
      </c>
      <c r="D20" s="253">
        <f t="shared" ref="D20:E20" si="0">((D11/D4)^(1/7)-1)*100</f>
        <v>4.1229936929739974</v>
      </c>
      <c r="E20" s="253">
        <f t="shared" si="0"/>
        <v>6.7784724034546162</v>
      </c>
      <c r="F20" s="253" t="s">
        <v>10</v>
      </c>
      <c r="G20" s="253" t="s">
        <v>10</v>
      </c>
      <c r="H20" s="253" t="s">
        <v>10</v>
      </c>
      <c r="I20" s="253" t="s">
        <v>10</v>
      </c>
      <c r="J20" s="253" t="s">
        <v>10</v>
      </c>
      <c r="K20" s="253" t="s">
        <v>10</v>
      </c>
    </row>
    <row r="21" spans="1:11">
      <c r="A21" s="320" t="s">
        <v>368</v>
      </c>
      <c r="B21" s="253">
        <f>((B14/B11)^(1/3)-1)*100</f>
        <v>-1.7974080654063251</v>
      </c>
      <c r="C21" s="253" t="str">
        <f>IFERROR(((C15/C2)^(1/6)-1)*100,"n.a.")</f>
        <v>n.a.</v>
      </c>
      <c r="D21" s="253">
        <f t="shared" ref="D21:F21" si="1">((D14/D11)^(1/3)-1)*100</f>
        <v>17.644810069181727</v>
      </c>
      <c r="E21" s="253">
        <f t="shared" si="1"/>
        <v>14.278205438537906</v>
      </c>
      <c r="F21" s="253">
        <f t="shared" si="1"/>
        <v>19.566424552253949</v>
      </c>
      <c r="G21" s="253" t="str">
        <f t="shared" ref="G21:K22" si="2">IFERROR(((G15/G2)^(1/6)-1)*100,"n.a.")</f>
        <v>n.a.</v>
      </c>
      <c r="H21" s="253" t="str">
        <f t="shared" si="2"/>
        <v>n.a.</v>
      </c>
      <c r="I21" s="253" t="str">
        <f t="shared" si="2"/>
        <v>n.a.</v>
      </c>
      <c r="J21" s="253" t="str">
        <f t="shared" si="2"/>
        <v>n.a.</v>
      </c>
      <c r="K21" s="253" t="str">
        <f t="shared" si="2"/>
        <v>n.a.</v>
      </c>
    </row>
    <row r="22" spans="1:11">
      <c r="A22" s="320" t="s">
        <v>392</v>
      </c>
      <c r="B22" s="253">
        <f>((B17/B14)^(1/3)-1)*100</f>
        <v>-0.77358852227932262</v>
      </c>
      <c r="C22" s="253" t="str">
        <f>IFERROR(((C16/C3)^(1/6)-1)*100,"n.a.")</f>
        <v>n.a.</v>
      </c>
      <c r="D22" s="253">
        <f t="shared" ref="D22:F22" si="3">((D17/D14)^(1/3)-1)*100</f>
        <v>8.0127092348030828</v>
      </c>
      <c r="E22" s="253">
        <f t="shared" si="3"/>
        <v>7.7123305018626187</v>
      </c>
      <c r="F22" s="253">
        <f t="shared" si="3"/>
        <v>-2.3063603685310241</v>
      </c>
      <c r="G22" s="253" t="str">
        <f t="shared" si="2"/>
        <v>n.a.</v>
      </c>
      <c r="H22" s="253" t="str">
        <f t="shared" si="2"/>
        <v>n.a.</v>
      </c>
      <c r="I22" s="253" t="str">
        <f t="shared" si="2"/>
        <v>n.a.</v>
      </c>
      <c r="J22" s="253" t="str">
        <f t="shared" si="2"/>
        <v>n.a.</v>
      </c>
      <c r="K22" s="253" t="str">
        <f t="shared" si="2"/>
        <v>n.a.</v>
      </c>
    </row>
    <row r="23" spans="1:11">
      <c r="A23" s="260" t="s">
        <v>69</v>
      </c>
      <c r="B23" s="253">
        <f>IFERROR(((B17/B11)^(1/6)-1)*100,"n.a.")</f>
        <v>-1.2868256235233577</v>
      </c>
      <c r="C23" s="253" t="str">
        <f t="shared" ref="C23:K23" si="4">IFERROR(((C17/C11)^(1/6)-1)*100,"n.a.")</f>
        <v>n.a.</v>
      </c>
      <c r="D23" s="253">
        <f t="shared" si="4"/>
        <v>12.72592719949639</v>
      </c>
      <c r="E23" s="253">
        <f t="shared" si="4"/>
        <v>10.946707176714131</v>
      </c>
      <c r="F23" s="253">
        <f t="shared" si="4"/>
        <v>8.0781161578564955</v>
      </c>
      <c r="G23" s="253" t="str">
        <f t="shared" si="4"/>
        <v>n.a.</v>
      </c>
      <c r="H23" s="253" t="str">
        <f t="shared" si="4"/>
        <v>n.a.</v>
      </c>
      <c r="I23" s="253" t="str">
        <f t="shared" si="4"/>
        <v>n.a.</v>
      </c>
      <c r="J23" s="253" t="str">
        <f t="shared" si="4"/>
        <v>n.a.</v>
      </c>
      <c r="K23" s="253" t="str">
        <f t="shared" si="4"/>
        <v>n.a.</v>
      </c>
    </row>
    <row r="24" spans="1:11" s="352" customFormat="1">
      <c r="A24" s="348" t="s">
        <v>15</v>
      </c>
      <c r="B24" s="253">
        <f>((B17/B4)^(1/13)-1)*100</f>
        <v>1.50870446394471</v>
      </c>
      <c r="C24" s="253" t="s">
        <v>10</v>
      </c>
      <c r="D24" s="253">
        <f t="shared" ref="D24:E24" si="5">((D17/D4)^(1/13)-1)*100</f>
        <v>8.0088112427258551</v>
      </c>
      <c r="E24" s="253">
        <f t="shared" si="5"/>
        <v>8.6824493602891017</v>
      </c>
      <c r="F24" s="253" t="s">
        <v>10</v>
      </c>
      <c r="G24" s="253" t="s">
        <v>10</v>
      </c>
      <c r="H24" s="253" t="s">
        <v>10</v>
      </c>
      <c r="I24" s="253" t="s">
        <v>10</v>
      </c>
      <c r="J24" s="253" t="s">
        <v>10</v>
      </c>
      <c r="K24" s="253" t="s">
        <v>10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399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8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4"/>
  <sheetViews>
    <sheetView view="pageBreakPreview" topLeftCell="A13" zoomScaleNormal="100" zoomScaleSheetLayoutView="100" workbookViewId="0">
      <selection activeCell="AD33" sqref="AD33"/>
    </sheetView>
  </sheetViews>
  <sheetFormatPr defaultRowHeight="15"/>
  <cols>
    <col min="1" max="1" width="9.140625" style="91"/>
    <col min="2" max="2" width="12.7109375" style="91" bestFit="1" customWidth="1"/>
    <col min="3" max="3" width="11.140625" style="91" bestFit="1" customWidth="1"/>
    <col min="4" max="5" width="10.140625" style="91" bestFit="1" customWidth="1"/>
    <col min="6" max="8" width="10.140625" style="91" customWidth="1"/>
    <col min="9" max="11" width="10.140625" style="91" bestFit="1" customWidth="1"/>
    <col min="12" max="12" width="9.140625" style="91"/>
    <col min="13" max="29" width="0" style="91" hidden="1" customWidth="1"/>
    <col min="30" max="16384" width="9.140625" style="91"/>
  </cols>
  <sheetData>
    <row r="1" spans="1:29">
      <c r="A1" s="454" t="s">
        <v>168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6"/>
      <c r="B2" s="66" t="s">
        <v>16</v>
      </c>
      <c r="C2" s="66" t="s">
        <v>8</v>
      </c>
      <c r="D2" s="66" t="s">
        <v>3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17</v>
      </c>
      <c r="J2" s="66" t="s">
        <v>6</v>
      </c>
      <c r="K2" s="66" t="s">
        <v>7</v>
      </c>
    </row>
    <row r="3" spans="1:29">
      <c r="A3" s="66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6">
        <v>1984</v>
      </c>
      <c r="B4" s="10" t="s">
        <v>10</v>
      </c>
      <c r="C4" s="10" t="s">
        <v>10</v>
      </c>
      <c r="D4" s="10" t="s">
        <v>10</v>
      </c>
      <c r="E4" s="10" t="s">
        <v>10</v>
      </c>
      <c r="F4" s="10" t="s">
        <v>10</v>
      </c>
      <c r="G4" s="10" t="s">
        <v>10</v>
      </c>
      <c r="H4" s="10" t="s">
        <v>10</v>
      </c>
      <c r="I4" s="10" t="s">
        <v>10</v>
      </c>
      <c r="J4" s="10" t="s">
        <v>10</v>
      </c>
      <c r="K4" s="10" t="s">
        <v>10</v>
      </c>
    </row>
    <row r="5" spans="1:29">
      <c r="A5" s="66">
        <v>1985</v>
      </c>
      <c r="B5" s="10" t="s">
        <v>10</v>
      </c>
      <c r="C5" s="10" t="s">
        <v>10</v>
      </c>
      <c r="D5" s="10" t="s">
        <v>10</v>
      </c>
      <c r="E5" s="10" t="s">
        <v>10</v>
      </c>
      <c r="F5" s="10" t="s">
        <v>10</v>
      </c>
      <c r="G5" s="10" t="s">
        <v>10</v>
      </c>
      <c r="H5" s="10" t="s">
        <v>10</v>
      </c>
      <c r="I5" s="10" t="s">
        <v>10</v>
      </c>
      <c r="J5" s="10" t="s">
        <v>10</v>
      </c>
      <c r="K5" s="10" t="s">
        <v>10</v>
      </c>
    </row>
    <row r="6" spans="1:29">
      <c r="A6" s="66">
        <v>1986</v>
      </c>
      <c r="B6" s="10" t="s">
        <v>10</v>
      </c>
      <c r="C6" s="10" t="s">
        <v>10</v>
      </c>
      <c r="D6" s="10" t="s">
        <v>10</v>
      </c>
      <c r="E6" s="10" t="s">
        <v>10</v>
      </c>
      <c r="F6" s="10" t="s">
        <v>10</v>
      </c>
      <c r="G6" s="10" t="s">
        <v>10</v>
      </c>
      <c r="H6" s="10" t="s">
        <v>10</v>
      </c>
      <c r="I6" s="10" t="s">
        <v>10</v>
      </c>
      <c r="J6" s="10" t="s">
        <v>10</v>
      </c>
      <c r="K6" s="10" t="s">
        <v>10</v>
      </c>
    </row>
    <row r="7" spans="1:29">
      <c r="A7" s="66">
        <v>1987</v>
      </c>
      <c r="B7" s="10" t="s">
        <v>10</v>
      </c>
      <c r="C7" s="10" t="s">
        <v>10</v>
      </c>
      <c r="D7" s="10" t="s">
        <v>10</v>
      </c>
      <c r="E7" s="10" t="s">
        <v>10</v>
      </c>
      <c r="F7" s="10" t="s">
        <v>10</v>
      </c>
      <c r="G7" s="10" t="s">
        <v>10</v>
      </c>
      <c r="H7" s="10" t="s">
        <v>10</v>
      </c>
      <c r="I7" s="10" t="s">
        <v>10</v>
      </c>
      <c r="J7" s="10" t="s">
        <v>10</v>
      </c>
      <c r="K7" s="10" t="s">
        <v>10</v>
      </c>
    </row>
    <row r="8" spans="1:29">
      <c r="A8" s="66">
        <v>1988</v>
      </c>
      <c r="B8" s="10" t="s">
        <v>10</v>
      </c>
      <c r="C8" s="10" t="s">
        <v>10</v>
      </c>
      <c r="D8" s="10" t="s">
        <v>10</v>
      </c>
      <c r="E8" s="10" t="s">
        <v>10</v>
      </c>
      <c r="F8" s="10" t="s">
        <v>10</v>
      </c>
      <c r="G8" s="10" t="s">
        <v>10</v>
      </c>
      <c r="H8" s="10" t="s">
        <v>10</v>
      </c>
      <c r="I8" s="10" t="s">
        <v>10</v>
      </c>
      <c r="J8" s="10" t="s">
        <v>10</v>
      </c>
      <c r="K8" s="10" t="s">
        <v>10</v>
      </c>
    </row>
    <row r="9" spans="1:29">
      <c r="A9" s="66">
        <v>1989</v>
      </c>
      <c r="B9" s="10" t="s">
        <v>10</v>
      </c>
      <c r="C9" s="10" t="s">
        <v>10</v>
      </c>
      <c r="D9" s="10" t="s">
        <v>10</v>
      </c>
      <c r="E9" s="10" t="s">
        <v>10</v>
      </c>
      <c r="F9" s="10" t="s">
        <v>10</v>
      </c>
      <c r="G9" s="10" t="s">
        <v>10</v>
      </c>
      <c r="H9" s="10" t="s">
        <v>10</v>
      </c>
      <c r="I9" s="10" t="s">
        <v>10</v>
      </c>
      <c r="J9" s="10" t="s">
        <v>10</v>
      </c>
      <c r="K9" s="10" t="s">
        <v>10</v>
      </c>
    </row>
    <row r="10" spans="1:29">
      <c r="A10" s="66">
        <v>1990</v>
      </c>
      <c r="B10" s="10" t="s">
        <v>10</v>
      </c>
      <c r="C10" s="10" t="s">
        <v>10</v>
      </c>
      <c r="D10" s="10" t="s">
        <v>10</v>
      </c>
      <c r="E10" s="10" t="s">
        <v>10</v>
      </c>
      <c r="F10" s="10" t="s">
        <v>10</v>
      </c>
      <c r="G10" s="10" t="s">
        <v>10</v>
      </c>
      <c r="H10" s="10" t="s">
        <v>10</v>
      </c>
      <c r="I10" s="10" t="s">
        <v>10</v>
      </c>
      <c r="J10" s="10" t="s">
        <v>10</v>
      </c>
      <c r="K10" s="10" t="s">
        <v>10</v>
      </c>
    </row>
    <row r="11" spans="1:29">
      <c r="A11" s="66">
        <v>1991</v>
      </c>
      <c r="B11" s="10" t="s">
        <v>10</v>
      </c>
      <c r="C11" s="10" t="s">
        <v>10</v>
      </c>
      <c r="D11" s="10" t="s">
        <v>10</v>
      </c>
      <c r="E11" s="10" t="s">
        <v>10</v>
      </c>
      <c r="F11" s="10" t="s">
        <v>10</v>
      </c>
      <c r="G11" s="10" t="s">
        <v>10</v>
      </c>
      <c r="H11" s="10" t="s">
        <v>10</v>
      </c>
      <c r="I11" s="10" t="s">
        <v>10</v>
      </c>
      <c r="J11" s="10" t="s">
        <v>10</v>
      </c>
      <c r="K11" s="10" t="s">
        <v>10</v>
      </c>
    </row>
    <row r="12" spans="1:29">
      <c r="A12" s="66">
        <v>1992</v>
      </c>
      <c r="B12" s="10" t="s">
        <v>10</v>
      </c>
      <c r="C12" s="10" t="s">
        <v>10</v>
      </c>
      <c r="D12" s="10" t="s">
        <v>10</v>
      </c>
      <c r="E12" s="10" t="s">
        <v>10</v>
      </c>
      <c r="F12" s="10" t="s">
        <v>10</v>
      </c>
      <c r="G12" s="10" t="s">
        <v>10</v>
      </c>
      <c r="H12" s="10" t="s">
        <v>10</v>
      </c>
      <c r="I12" s="10" t="s">
        <v>10</v>
      </c>
      <c r="J12" s="10" t="s">
        <v>10</v>
      </c>
      <c r="K12" s="10" t="s">
        <v>10</v>
      </c>
    </row>
    <row r="13" spans="1:29">
      <c r="A13" s="66">
        <v>1993</v>
      </c>
      <c r="B13" s="10" t="s">
        <v>10</v>
      </c>
      <c r="C13" s="10" t="s">
        <v>10</v>
      </c>
      <c r="D13" s="10" t="s">
        <v>10</v>
      </c>
      <c r="E13" s="10" t="s">
        <v>10</v>
      </c>
      <c r="F13" s="10" t="s">
        <v>10</v>
      </c>
      <c r="G13" s="10" t="s">
        <v>10</v>
      </c>
      <c r="H13" s="10" t="s">
        <v>10</v>
      </c>
      <c r="I13" s="10" t="s">
        <v>10</v>
      </c>
      <c r="J13" s="10" t="s">
        <v>10</v>
      </c>
      <c r="K13" s="10" t="s">
        <v>10</v>
      </c>
    </row>
    <row r="14" spans="1:29">
      <c r="A14" s="66">
        <v>1994</v>
      </c>
      <c r="B14" s="10" t="s">
        <v>10</v>
      </c>
      <c r="C14" s="10" t="s">
        <v>10</v>
      </c>
      <c r="D14" s="10" t="s">
        <v>10</v>
      </c>
      <c r="E14" s="10" t="s">
        <v>10</v>
      </c>
      <c r="F14" s="10" t="s">
        <v>10</v>
      </c>
      <c r="G14" s="10" t="s">
        <v>10</v>
      </c>
      <c r="H14" s="10" t="s">
        <v>10</v>
      </c>
      <c r="I14" s="10" t="s">
        <v>10</v>
      </c>
      <c r="J14" s="10" t="s">
        <v>10</v>
      </c>
      <c r="K14" s="10" t="s">
        <v>10</v>
      </c>
      <c r="W14" s="91" t="s">
        <v>32</v>
      </c>
    </row>
    <row r="15" spans="1:29">
      <c r="A15" s="66">
        <v>1995</v>
      </c>
      <c r="B15" s="10" t="s">
        <v>10</v>
      </c>
      <c r="C15" s="10" t="s">
        <v>10</v>
      </c>
      <c r="D15" s="10" t="s">
        <v>10</v>
      </c>
      <c r="E15" s="10" t="s">
        <v>10</v>
      </c>
      <c r="F15" s="10" t="s">
        <v>10</v>
      </c>
      <c r="G15" s="10" t="s">
        <v>10</v>
      </c>
      <c r="H15" s="10" t="s">
        <v>10</v>
      </c>
      <c r="I15" s="10" t="s">
        <v>10</v>
      </c>
      <c r="J15" s="10" t="s">
        <v>10</v>
      </c>
      <c r="K15" s="10" t="s">
        <v>10</v>
      </c>
      <c r="N15" s="91" t="s">
        <v>24</v>
      </c>
      <c r="W15" s="91" t="s">
        <v>16</v>
      </c>
      <c r="X15" s="91" t="s">
        <v>8</v>
      </c>
      <c r="Y15" s="91" t="s">
        <v>3</v>
      </c>
      <c r="Z15" s="91" t="s">
        <v>4</v>
      </c>
      <c r="AA15" s="91" t="s">
        <v>17</v>
      </c>
      <c r="AB15" s="91" t="s">
        <v>6</v>
      </c>
      <c r="AC15" s="91" t="s">
        <v>7</v>
      </c>
    </row>
    <row r="16" spans="1:29">
      <c r="A16" s="66">
        <v>1996</v>
      </c>
      <c r="B16" s="10" t="s">
        <v>10</v>
      </c>
      <c r="C16" s="10" t="s">
        <v>10</v>
      </c>
      <c r="D16" s="10" t="s">
        <v>10</v>
      </c>
      <c r="E16" s="10" t="s">
        <v>10</v>
      </c>
      <c r="F16" s="10" t="s">
        <v>10</v>
      </c>
      <c r="G16" s="10" t="s">
        <v>10</v>
      </c>
      <c r="H16" s="10" t="s">
        <v>10</v>
      </c>
      <c r="I16" s="10" t="s">
        <v>10</v>
      </c>
      <c r="J16" s="10" t="s">
        <v>10</v>
      </c>
      <c r="K16" s="10" t="s">
        <v>10</v>
      </c>
      <c r="N16" s="91" t="s">
        <v>16</v>
      </c>
      <c r="O16" s="91" t="s">
        <v>8</v>
      </c>
      <c r="P16" s="91" t="s">
        <v>3</v>
      </c>
      <c r="Q16" s="91" t="s">
        <v>4</v>
      </c>
      <c r="R16" s="91" t="s">
        <v>17</v>
      </c>
      <c r="S16" s="91" t="s">
        <v>6</v>
      </c>
      <c r="T16" s="91" t="s">
        <v>7</v>
      </c>
      <c r="V16" s="91" t="s">
        <v>19</v>
      </c>
      <c r="W16" s="91">
        <f>((B20/B17)^(1/3)-1)*100</f>
        <v>2.1903676103396386</v>
      </c>
      <c r="X16" s="91" t="e">
        <f>((C20/C17)^(1/3)-1)*100</f>
        <v>#VALUE!</v>
      </c>
      <c r="Y16" s="91">
        <f>((D20/D17)^(1/3)-1)*100</f>
        <v>2.607227017377145</v>
      </c>
      <c r="Z16" s="91">
        <f>((E20/E17)^(1/3)-1)*100</f>
        <v>5.5374280770904338</v>
      </c>
      <c r="AA16" s="91" t="e">
        <f t="shared" ref="AA16:AC16" si="0">((I20/I17)^(1/3)-1)*100</f>
        <v>#VALUE!</v>
      </c>
      <c r="AB16" s="91" t="e">
        <f t="shared" si="0"/>
        <v>#VALUE!</v>
      </c>
      <c r="AC16" s="91" t="e">
        <f t="shared" si="0"/>
        <v>#VALUE!</v>
      </c>
    </row>
    <row r="17" spans="1:29">
      <c r="A17" s="66">
        <v>1997</v>
      </c>
      <c r="B17" s="62">
        <f>'2A'!B17/'2A'!B$27*100</f>
        <v>88.157839259430446</v>
      </c>
      <c r="C17" s="10" t="s">
        <v>10</v>
      </c>
      <c r="D17" s="62">
        <f>'2A'!D17/'2A'!D$27*100</f>
        <v>120.97564995261835</v>
      </c>
      <c r="E17" s="62">
        <f>'2A'!E17/'2A'!E$27*100</f>
        <v>122.98029600412204</v>
      </c>
      <c r="F17" s="62">
        <f>'2A'!F17/'2A'!F$27*100</f>
        <v>151.71955474331284</v>
      </c>
      <c r="G17" s="62">
        <f>'2A'!G17/'2A'!G$27*100</f>
        <v>151.55718754249966</v>
      </c>
      <c r="H17" s="62">
        <f>'2A'!H17/'2A'!H$27*100</f>
        <v>86.686247686489097</v>
      </c>
      <c r="I17" s="10" t="s">
        <v>10</v>
      </c>
      <c r="J17" s="10" t="s">
        <v>10</v>
      </c>
      <c r="K17" s="10" t="s">
        <v>10</v>
      </c>
      <c r="M17" s="91">
        <v>1998</v>
      </c>
      <c r="N17" s="91">
        <f>((B18/B17)-1)*100</f>
        <v>2.1970715421915532</v>
      </c>
      <c r="O17" s="91" t="e">
        <f>((C18/C17)-1)*100</f>
        <v>#VALUE!</v>
      </c>
      <c r="P17" s="91">
        <f>((D18/D17)-1)*100</f>
        <v>12.369729582453504</v>
      </c>
      <c r="Q17" s="91">
        <f>((E18/E17)-1)*100</f>
        <v>0.29039108889432619</v>
      </c>
      <c r="R17" s="91" t="e">
        <f t="shared" ref="R17:T32" si="1">((I18/I17)-1)*100</f>
        <v>#VALUE!</v>
      </c>
      <c r="S17" s="91" t="e">
        <f t="shared" si="1"/>
        <v>#VALUE!</v>
      </c>
      <c r="T17" s="91" t="e">
        <f t="shared" si="1"/>
        <v>#VALUE!</v>
      </c>
      <c r="V17" s="91" t="s">
        <v>21</v>
      </c>
      <c r="W17" s="91">
        <f>((B28/B20)^(1/8)-1)*100</f>
        <v>1.0497311640391249</v>
      </c>
      <c r="X17" s="91">
        <f>((C28/C20)^(1/8)-1)*100</f>
        <v>-4.1597982087986374</v>
      </c>
      <c r="Y17" s="91">
        <f>((D28/D20)^(1/8)-1)*100</f>
        <v>-2.8527824271512903</v>
      </c>
      <c r="Z17" s="91">
        <f>((E28/E20)^(1/8)-1)*100</f>
        <v>-5.6109824194711777</v>
      </c>
      <c r="AA17" s="91">
        <f t="shared" ref="AA17:AC17" si="2">((I28/I20)^(1/8)-1)*100</f>
        <v>-3.1096185563860623</v>
      </c>
      <c r="AB17" s="91">
        <f t="shared" si="2"/>
        <v>-3.7172821540023104</v>
      </c>
      <c r="AC17" s="91">
        <f t="shared" si="2"/>
        <v>-2.0733999488123933</v>
      </c>
    </row>
    <row r="18" spans="1:29">
      <c r="A18" s="66">
        <v>1998</v>
      </c>
      <c r="B18" s="62">
        <f>'2A'!B18/'2A'!B$27*100</f>
        <v>90.094730058010356</v>
      </c>
      <c r="C18" s="62">
        <f>'2A'!C18/'2A'!C$27*100</f>
        <v>123.59516999843181</v>
      </c>
      <c r="D18" s="62">
        <f>'2A'!D18/'2A'!D$27*100</f>
        <v>135.94001071237278</v>
      </c>
      <c r="E18" s="62">
        <f>'2A'!E18/'2A'!E$27*100</f>
        <v>123.33741982481388</v>
      </c>
      <c r="F18" s="62">
        <f>'2A'!F18/'2A'!F$27*100</f>
        <v>153.01129755773383</v>
      </c>
      <c r="G18" s="62">
        <f>'2A'!G18/'2A'!G$27*100</f>
        <v>156.05875152998777</v>
      </c>
      <c r="H18" s="62">
        <f>'2A'!H18/'2A'!H$27*100</f>
        <v>84.911885410799073</v>
      </c>
      <c r="I18" s="62">
        <f>'2A'!I18/'2A'!I$27*100</f>
        <v>118.25184130137372</v>
      </c>
      <c r="J18" s="62">
        <f>'2A'!J18/'2A'!J$27*100</f>
        <v>123.55278605617268</v>
      </c>
      <c r="K18" s="62">
        <f>'2A'!K18/'2A'!K$27*100</f>
        <v>109.50844091360477</v>
      </c>
      <c r="M18" s="91">
        <v>1999</v>
      </c>
      <c r="N18" s="91">
        <f t="shared" ref="N18:Q32" si="3">((B19/B18)-1)*100</f>
        <v>3.2150279655233316</v>
      </c>
      <c r="O18" s="91">
        <f t="shared" si="3"/>
        <v>2.8910639840493246</v>
      </c>
      <c r="P18" s="91">
        <f t="shared" si="3"/>
        <v>5.6343577620173502</v>
      </c>
      <c r="Q18" s="91">
        <f t="shared" si="3"/>
        <v>6.3441758621683109</v>
      </c>
      <c r="R18" s="91">
        <f t="shared" si="1"/>
        <v>-2.3423880313163781</v>
      </c>
      <c r="S18" s="91">
        <f t="shared" si="1"/>
        <v>-4.4173184221426354</v>
      </c>
      <c r="T18" s="91">
        <f t="shared" si="1"/>
        <v>1.5189299478576279</v>
      </c>
      <c r="V18" s="91" t="s">
        <v>22</v>
      </c>
      <c r="W18" s="91">
        <f>((B33/B28)^(1/5)-1)*100</f>
        <v>0.34939816572960858</v>
      </c>
      <c r="X18" s="91">
        <f>((C33/C28)^(1/5)-1)*100</f>
        <v>-5.3246797757472653</v>
      </c>
      <c r="Y18" s="91">
        <f>((D33/D28)^(1/5)-1)*100</f>
        <v>-10.514032125459426</v>
      </c>
      <c r="Z18" s="91">
        <f>((E33/E28)^(1/5)-1)*100</f>
        <v>-2.6748741971482581</v>
      </c>
      <c r="AA18" s="91">
        <f t="shared" ref="AA18:AC18" si="4">((I33/I28)^(1/5)-1)*100</f>
        <v>-5.8772208288281336</v>
      </c>
      <c r="AB18" s="91">
        <f t="shared" si="4"/>
        <v>-6.7846449745308179</v>
      </c>
      <c r="AC18" s="91">
        <f t="shared" si="4"/>
        <v>-4.5107102734598055</v>
      </c>
    </row>
    <row r="19" spans="1:29">
      <c r="A19" s="66">
        <v>1999</v>
      </c>
      <c r="B19" s="62">
        <f>'2A'!B19/'2A'!B$27*100</f>
        <v>92.991300824838149</v>
      </c>
      <c r="C19" s="62">
        <f>'2A'!C19/'2A'!C$27*100</f>
        <v>127.168385444281</v>
      </c>
      <c r="D19" s="62">
        <f>'2A'!D19/'2A'!D$27*100</f>
        <v>143.59935725763256</v>
      </c>
      <c r="E19" s="62">
        <f>'2A'!E19/'2A'!E$27*100</f>
        <v>131.16216264236093</v>
      </c>
      <c r="F19" s="62">
        <f>'2A'!F19/'2A'!F$27*100</f>
        <v>167.15401229440104</v>
      </c>
      <c r="G19" s="62">
        <f>'2A'!G19/'2A'!G$27*100</f>
        <v>154.53556371549027</v>
      </c>
      <c r="H19" s="62">
        <f>'2A'!H19/'2A'!H$27*100</f>
        <v>89.381990826426332</v>
      </c>
      <c r="I19" s="62">
        <f>'2A'!I19/'2A'!I$27*100</f>
        <v>115.4819243239191</v>
      </c>
      <c r="J19" s="62">
        <f>'2A'!J19/'2A'!J$27*100</f>
        <v>118.09506607664288</v>
      </c>
      <c r="K19" s="62">
        <f>'2A'!K19/'2A'!K$27*100</f>
        <v>111.17179741807348</v>
      </c>
      <c r="M19" s="91">
        <v>2000</v>
      </c>
      <c r="N19" s="91">
        <f t="shared" si="3"/>
        <v>1.1692425593655464</v>
      </c>
      <c r="O19" s="91">
        <f t="shared" si="3"/>
        <v>3.2678587157579431</v>
      </c>
      <c r="P19" s="91">
        <f t="shared" si="3"/>
        <v>-8.9920523340888963</v>
      </c>
      <c r="Q19" s="91">
        <f t="shared" si="3"/>
        <v>10.216466635962163</v>
      </c>
      <c r="R19" s="91">
        <f t="shared" si="1"/>
        <v>1.8776371308016904</v>
      </c>
      <c r="S19" s="91">
        <f t="shared" si="1"/>
        <v>3.0690797858781593</v>
      </c>
      <c r="T19" s="91">
        <f t="shared" si="1"/>
        <v>-0.20991514068779971</v>
      </c>
      <c r="V19" s="91" t="s">
        <v>18</v>
      </c>
      <c r="W19" s="91">
        <f>((B33/B17)^(1/16)-1)*100</f>
        <v>1.0427867018800718</v>
      </c>
      <c r="X19" s="91" t="e">
        <f>((C33/C17)^(1/16)-1)*100</f>
        <v>#VALUE!</v>
      </c>
      <c r="Y19" s="91">
        <f>((D33/D17)^(1/16)-1)*100</f>
        <v>-4.3390988699052109</v>
      </c>
      <c r="Z19" s="91">
        <f>((E33/E17)^(1/16)-1)*100</f>
        <v>-2.6872474125196444</v>
      </c>
      <c r="AA19" s="91" t="e">
        <f t="shared" ref="AA19:AC19" si="5">((I33/I17)^(1/16)-1)*100</f>
        <v>#VALUE!</v>
      </c>
      <c r="AB19" s="91" t="e">
        <f t="shared" si="5"/>
        <v>#VALUE!</v>
      </c>
      <c r="AC19" s="91" t="e">
        <f t="shared" si="5"/>
        <v>#VALUE!</v>
      </c>
    </row>
    <row r="20" spans="1:29">
      <c r="A20" s="66">
        <v>2000</v>
      </c>
      <c r="B20" s="62">
        <f>'2A'!B20/'2A'!B$27*100</f>
        <v>94.078594690589796</v>
      </c>
      <c r="C20" s="62">
        <f>'2A'!C20/'2A'!C$27*100</f>
        <v>131.3240686117106</v>
      </c>
      <c r="D20" s="62">
        <f>'2A'!D20/'2A'!D$27*100</f>
        <v>130.68682790161097</v>
      </c>
      <c r="E20" s="62">
        <f>'2A'!E20/'2A'!E$27*100</f>
        <v>144.56230122772416</v>
      </c>
      <c r="F20" s="62">
        <f>'2A'!F20/'2A'!F$27*100</f>
        <v>168.93586974580495</v>
      </c>
      <c r="G20" s="62">
        <f>'2A'!G20/'2A'!G$27*100</f>
        <v>161.86590507275943</v>
      </c>
      <c r="H20" s="62">
        <f>'2A'!H20/'2A'!H$27*100</f>
        <v>115.83246157560151</v>
      </c>
      <c r="I20" s="62">
        <f>'2A'!I20/'2A'!I$27*100</f>
        <v>117.65025581438933</v>
      </c>
      <c r="J20" s="62">
        <f>'2A'!J20/'2A'!J$27*100</f>
        <v>121.71949787772058</v>
      </c>
      <c r="K20" s="62">
        <f>'2A'!K20/'2A'!K$27*100</f>
        <v>110.93843098311818</v>
      </c>
      <c r="M20" s="91">
        <v>2001</v>
      </c>
      <c r="N20" s="91">
        <f t="shared" si="3"/>
        <v>-0.4138796690984492</v>
      </c>
      <c r="O20" s="91">
        <f t="shared" si="3"/>
        <v>-6.6592744228363472</v>
      </c>
      <c r="P20" s="91">
        <f t="shared" si="3"/>
        <v>-12.494088716542128</v>
      </c>
      <c r="Q20" s="91">
        <f t="shared" si="3"/>
        <v>-4.8043360700063875</v>
      </c>
      <c r="R20" s="91">
        <f t="shared" si="1"/>
        <v>-6.1152970036796983</v>
      </c>
      <c r="S20" s="91">
        <f t="shared" si="1"/>
        <v>-6.657763268536387</v>
      </c>
      <c r="T20" s="91">
        <f t="shared" si="1"/>
        <v>-5.1335988900326868</v>
      </c>
    </row>
    <row r="21" spans="1:29">
      <c r="A21" s="66">
        <v>2001</v>
      </c>
      <c r="B21" s="62">
        <f>'2A'!B21/'2A'!B$27*100</f>
        <v>93.689222514191911</v>
      </c>
      <c r="C21" s="62">
        <f>'2A'!C21/'2A'!C$27*100</f>
        <v>122.5788384996229</v>
      </c>
      <c r="D21" s="62">
        <f>'2A'!D21/'2A'!D$27*100</f>
        <v>114.35869968274896</v>
      </c>
      <c r="E21" s="62">
        <f>'2A'!E21/'2A'!E$27*100</f>
        <v>137.61704244620933</v>
      </c>
      <c r="F21" s="62">
        <f>'2A'!F21/'2A'!F$27*100</f>
        <v>156.84083734839675</v>
      </c>
      <c r="G21" s="62">
        <f>'2A'!G21/'2A'!G$27*100</f>
        <v>165.85067319461444</v>
      </c>
      <c r="H21" s="62">
        <f>'2A'!H21/'2A'!H$27*100</f>
        <v>110.64215015691639</v>
      </c>
      <c r="I21" s="62">
        <f>'2A'!I21/'2A'!I$27*100</f>
        <v>110.45559324575048</v>
      </c>
      <c r="J21" s="62">
        <f>'2A'!J21/'2A'!J$27*100</f>
        <v>113.61570185737078</v>
      </c>
      <c r="K21" s="62">
        <f>'2A'!K21/'2A'!K$27*100</f>
        <v>105.24329692154915</v>
      </c>
      <c r="M21" s="91">
        <v>2002</v>
      </c>
      <c r="N21" s="91">
        <f t="shared" si="3"/>
        <v>2.9213118165507312</v>
      </c>
      <c r="O21" s="91">
        <f t="shared" si="3"/>
        <v>-2.4191435829642782</v>
      </c>
      <c r="P21" s="91">
        <f t="shared" si="3"/>
        <v>-3.6172359129557519</v>
      </c>
      <c r="Q21" s="91">
        <f t="shared" si="3"/>
        <v>0.96055774320573661</v>
      </c>
      <c r="R21" s="91">
        <f t="shared" si="1"/>
        <v>-6.2964471139163258</v>
      </c>
      <c r="S21" s="91">
        <f t="shared" si="1"/>
        <v>-8.1447724020984538</v>
      </c>
      <c r="T21" s="91">
        <f t="shared" si="1"/>
        <v>-3.0052840158520278</v>
      </c>
    </row>
    <row r="22" spans="1:29">
      <c r="A22" s="66">
        <v>2002</v>
      </c>
      <c r="B22" s="62">
        <f>'2A'!B22/'2A'!B$27*100</f>
        <v>96.426176842333504</v>
      </c>
      <c r="C22" s="62">
        <f>'2A'!C22/'2A'!C$27*100</f>
        <v>119.61348039398713</v>
      </c>
      <c r="D22" s="62">
        <f>'2A'!D22/'2A'!D$27*100</f>
        <v>110.22207572823535</v>
      </c>
      <c r="E22" s="62">
        <f>'2A'!E22/'2A'!E$27*100</f>
        <v>138.93893360339712</v>
      </c>
      <c r="F22" s="62">
        <f>'2A'!F22/'2A'!F$27*100</f>
        <v>152.33427479647784</v>
      </c>
      <c r="G22" s="62">
        <f>'2A'!G22/'2A'!G$27*100</f>
        <v>172.80021759825922</v>
      </c>
      <c r="H22" s="62">
        <f>'2A'!H22/'2A'!H$27*100</f>
        <v>115.94511949786754</v>
      </c>
      <c r="I22" s="62">
        <f>'2A'!I22/'2A'!I$27*100</f>
        <v>103.50081523266927</v>
      </c>
      <c r="J22" s="62">
        <f>'2A'!J22/'2A'!J$27*100</f>
        <v>104.36196152804118</v>
      </c>
      <c r="K22" s="62">
        <f>'2A'!K22/'2A'!K$27*100</f>
        <v>102.08043694141014</v>
      </c>
      <c r="M22" s="91">
        <v>2003</v>
      </c>
      <c r="N22" s="91">
        <f t="shared" si="3"/>
        <v>-0.17426093211598825</v>
      </c>
      <c r="O22" s="91">
        <f t="shared" si="3"/>
        <v>-1.0263581765285967</v>
      </c>
      <c r="P22" s="91">
        <f t="shared" si="3"/>
        <v>2.6689593301435277</v>
      </c>
      <c r="Q22" s="91">
        <f t="shared" si="3"/>
        <v>-0.52430337983861985</v>
      </c>
      <c r="R22" s="91">
        <f t="shared" si="1"/>
        <v>-3.5272602169228673</v>
      </c>
      <c r="S22" s="91">
        <f t="shared" si="1"/>
        <v>-2.6854736356293984</v>
      </c>
      <c r="T22" s="91">
        <f t="shared" si="1"/>
        <v>-4.9516027044117177</v>
      </c>
    </row>
    <row r="23" spans="1:29">
      <c r="A23" s="66">
        <v>2003</v>
      </c>
      <c r="B23" s="62">
        <f>'2A'!B23/'2A'!B$27*100</f>
        <v>96.258143687764246</v>
      </c>
      <c r="C23" s="62">
        <f>'2A'!C23/'2A'!C$27*100</f>
        <v>118.38581765773301</v>
      </c>
      <c r="D23" s="62">
        <f>'2A'!D23/'2A'!D$27*100</f>
        <v>113.16385810226195</v>
      </c>
      <c r="E23" s="62">
        <f>'2A'!E23/'2A'!E$27*100</f>
        <v>138.21047207860278</v>
      </c>
      <c r="F23" s="62">
        <f>'2A'!F23/'2A'!F$27*100</f>
        <v>142.93071938860277</v>
      </c>
      <c r="G23" s="62">
        <f>'2A'!G23/'2A'!G$27*100</f>
        <v>157.4187406500748</v>
      </c>
      <c r="H23" s="62">
        <f>'2A'!H23/'2A'!H$27*100</f>
        <v>127.9552587108715</v>
      </c>
      <c r="I23" s="62">
        <f>'2A'!I23/'2A'!I$27*100</f>
        <v>99.850072152776477</v>
      </c>
      <c r="J23" s="62">
        <f>'2A'!J23/'2A'!J$27*100</f>
        <v>101.55934856557994</v>
      </c>
      <c r="K23" s="62">
        <f>'2A'!K23/'2A'!K$27*100</f>
        <v>97.02581926514398</v>
      </c>
      <c r="M23" s="91">
        <v>2004</v>
      </c>
      <c r="N23" s="91">
        <f t="shared" si="3"/>
        <v>2.1391597457846911</v>
      </c>
      <c r="O23" s="91">
        <f t="shared" si="3"/>
        <v>-3.1797595468480044</v>
      </c>
      <c r="P23" s="91">
        <f t="shared" si="3"/>
        <v>0.74273647418625632</v>
      </c>
      <c r="Q23" s="91">
        <f t="shared" si="3"/>
        <v>-7.151396727043668</v>
      </c>
      <c r="R23" s="91">
        <f t="shared" si="1"/>
        <v>0.5968580491375608</v>
      </c>
      <c r="S23" s="91">
        <f t="shared" si="1"/>
        <v>0.96926223434210534</v>
      </c>
      <c r="T23" s="91">
        <f t="shared" si="1"/>
        <v>-3.582211759887155E-2</v>
      </c>
    </row>
    <row r="24" spans="1:29">
      <c r="A24" s="66">
        <v>2004</v>
      </c>
      <c r="B24" s="62">
        <f>'2A'!B24/'2A'!B$27*100</f>
        <v>98.317259149572493</v>
      </c>
      <c r="C24" s="62">
        <f>'2A'!C24/'2A'!C$27*100</f>
        <v>114.62143331864718</v>
      </c>
      <c r="D24" s="62">
        <f>'2A'!D24/'2A'!D$27*100</f>
        <v>114.00436735198384</v>
      </c>
      <c r="E24" s="62">
        <f>'2A'!E24/'2A'!E$27*100</f>
        <v>128.32649290194198</v>
      </c>
      <c r="F24" s="62">
        <f>'2A'!F24/'2A'!F$27*100</f>
        <v>138.80212659910285</v>
      </c>
      <c r="G24" s="62">
        <f>'2A'!G24/'2A'!G$27*100</f>
        <v>135.42771657826736</v>
      </c>
      <c r="H24" s="62">
        <f>'2A'!H24/'2A'!H$27*100</f>
        <v>116.07387140902871</v>
      </c>
      <c r="I24" s="62">
        <f>'2A'!I24/'2A'!I$27*100</f>
        <v>100.44603534548999</v>
      </c>
      <c r="J24" s="62">
        <f>'2A'!J24/'2A'!J$27*100</f>
        <v>102.54372497666996</v>
      </c>
      <c r="K24" s="62">
        <f>'2A'!K24/'2A'!K$27*100</f>
        <v>96.991062562065551</v>
      </c>
      <c r="M24" s="91">
        <v>2005</v>
      </c>
      <c r="N24" s="91">
        <f t="shared" si="3"/>
        <v>5.3363754435142852E-2</v>
      </c>
      <c r="O24" s="91">
        <f t="shared" si="3"/>
        <v>0.46386480165219179</v>
      </c>
      <c r="P24" s="91">
        <f t="shared" si="3"/>
        <v>-1.2359956631731062</v>
      </c>
      <c r="Q24" s="91">
        <f t="shared" si="3"/>
        <v>-3.8573366931575981</v>
      </c>
      <c r="R24" s="91">
        <f t="shared" si="1"/>
        <v>7.1645801070955306</v>
      </c>
      <c r="S24" s="91">
        <f t="shared" si="1"/>
        <v>12.910991075622391</v>
      </c>
      <c r="T24" s="91">
        <f t="shared" si="1"/>
        <v>-2.8616770758677301</v>
      </c>
    </row>
    <row r="25" spans="1:29">
      <c r="A25" s="66">
        <v>2005</v>
      </c>
      <c r="B25" s="62">
        <f>'2A'!B25/'2A'!B$27*100</f>
        <v>98.369724930312444</v>
      </c>
      <c r="C25" s="62">
        <f>'2A'!C25/'2A'!C$27*100</f>
        <v>115.15312180296162</v>
      </c>
      <c r="D25" s="62">
        <f>'2A'!D25/'2A'!D$27*100</f>
        <v>112.59527831568539</v>
      </c>
      <c r="E25" s="62">
        <f>'2A'!E25/'2A'!E$27*100</f>
        <v>123.37650800419308</v>
      </c>
      <c r="F25" s="62">
        <f>'2A'!F25/'2A'!F$27*100</f>
        <v>134.15849808938361</v>
      </c>
      <c r="G25" s="62">
        <f>'2A'!G25/'2A'!G$27*100</f>
        <v>124.54780361757105</v>
      </c>
      <c r="H25" s="62">
        <f>'2A'!H25/'2A'!H$27*100</f>
        <v>112.58147581878168</v>
      </c>
      <c r="I25" s="62">
        <f>'2A'!I25/'2A'!I$27*100</f>
        <v>107.64257201221912</v>
      </c>
      <c r="J25" s="62">
        <f>'2A'!J25/'2A'!J$27*100</f>
        <v>115.78313615701859</v>
      </c>
      <c r="K25" s="62">
        <f>'2A'!K25/'2A'!K$27*100</f>
        <v>94.215491559086388</v>
      </c>
      <c r="M25" s="91">
        <v>2006</v>
      </c>
      <c r="N25" s="91">
        <f t="shared" si="3"/>
        <v>0.51715897881123851</v>
      </c>
      <c r="O25" s="91">
        <f t="shared" si="3"/>
        <v>-5.6424888946532192</v>
      </c>
      <c r="P25" s="91">
        <f t="shared" si="3"/>
        <v>-1.390515222482458</v>
      </c>
      <c r="Q25" s="91">
        <f t="shared" si="3"/>
        <v>-8.8940092165898488</v>
      </c>
      <c r="R25" s="91">
        <f t="shared" si="1"/>
        <v>-3.7345265247140325</v>
      </c>
      <c r="S25" s="91">
        <f t="shared" si="1"/>
        <v>-2.2905725131298627</v>
      </c>
      <c r="T25" s="91">
        <f t="shared" si="1"/>
        <v>-6.6613965744400367</v>
      </c>
    </row>
    <row r="26" spans="1:29">
      <c r="A26" s="66">
        <v>2006</v>
      </c>
      <c r="B26" s="62">
        <f>'2A'!B26/'2A'!B$27*100</f>
        <v>98.878452795221463</v>
      </c>
      <c r="C26" s="62">
        <f>'2A'!C26/'2A'!C$27*100</f>
        <v>108.65561969338302</v>
      </c>
      <c r="D26" s="62">
        <f>'2A'!D26/'2A'!D$27*100</f>
        <v>111.0296238309093</v>
      </c>
      <c r="E26" s="62">
        <f>'2A'!E26/'2A'!E$27*100</f>
        <v>112.40339001119344</v>
      </c>
      <c r="F26" s="62">
        <f>'2A'!F26/'2A'!F$27*100</f>
        <v>114.19255690314006</v>
      </c>
      <c r="G26" s="62">
        <f>'2A'!G26/'2A'!G$27*100</f>
        <v>125.3093975248198</v>
      </c>
      <c r="H26" s="62">
        <f>'2A'!H26/'2A'!H$27*100</f>
        <v>106.84799227488533</v>
      </c>
      <c r="I26" s="62">
        <f>'2A'!I26/'2A'!I$27*100</f>
        <v>103.6226316085384</v>
      </c>
      <c r="J26" s="62">
        <f>'2A'!J26/'2A'!J$27*100</f>
        <v>113.1310394653662</v>
      </c>
      <c r="K26" s="62">
        <f>'2A'!K26/'2A'!K$27*100</f>
        <v>87.939424031777563</v>
      </c>
      <c r="M26" s="91">
        <v>2007</v>
      </c>
      <c r="N26" s="91">
        <f t="shared" si="3"/>
        <v>1.1342685621318127</v>
      </c>
      <c r="O26" s="91">
        <f t="shared" si="3"/>
        <v>-7.9661040246316261</v>
      </c>
      <c r="P26" s="91">
        <f t="shared" si="3"/>
        <v>-9.9339468606204466</v>
      </c>
      <c r="Q26" s="91">
        <f t="shared" si="3"/>
        <v>-11.034711684370258</v>
      </c>
      <c r="R26" s="91">
        <f t="shared" si="1"/>
        <v>-3.4959849526152165</v>
      </c>
      <c r="S26" s="91">
        <f t="shared" si="1"/>
        <v>-11.606929033288093</v>
      </c>
      <c r="T26" s="91">
        <f t="shared" si="1"/>
        <v>13.714640618824458</v>
      </c>
    </row>
    <row r="27" spans="1:29">
      <c r="A27" s="66">
        <v>2007</v>
      </c>
      <c r="B27" s="92">
        <f>'2A'!B27/'2A'!B$27*100</f>
        <v>100</v>
      </c>
      <c r="C27" s="92">
        <f>'2A'!C27/'2A'!C$27*100</f>
        <v>100</v>
      </c>
      <c r="D27" s="92">
        <f>'2A'!D27/'2A'!D$27*100</f>
        <v>100</v>
      </c>
      <c r="E27" s="92">
        <f>'2A'!E27/'2A'!E$27*100</f>
        <v>100</v>
      </c>
      <c r="F27" s="92">
        <f>'2A'!F27/'2A'!F$27*100</f>
        <v>100</v>
      </c>
      <c r="G27" s="92">
        <f>'2A'!G27/'2A'!G$27*100</f>
        <v>100</v>
      </c>
      <c r="H27" s="92">
        <f>'2A'!H27/'2A'!H$27*100</f>
        <v>100</v>
      </c>
      <c r="I27" s="92">
        <f>'2A'!I27/'2A'!I$27*100</f>
        <v>100</v>
      </c>
      <c r="J27" s="92">
        <f>'2A'!J27/'2A'!J$27*100</f>
        <v>100</v>
      </c>
      <c r="K27" s="92">
        <f>'2A'!K27/'2A'!K$27*100</f>
        <v>100</v>
      </c>
      <c r="M27" s="91">
        <v>2008</v>
      </c>
      <c r="N27" s="91">
        <f t="shared" si="3"/>
        <v>2.2756200234780311</v>
      </c>
      <c r="O27" s="91">
        <f t="shared" si="3"/>
        <v>-6.5184112072763529</v>
      </c>
      <c r="P27" s="91">
        <f t="shared" si="3"/>
        <v>3.675167895842768</v>
      </c>
      <c r="Q27" s="91">
        <f t="shared" si="3"/>
        <v>-8.9192118401648752</v>
      </c>
      <c r="R27" s="91">
        <f t="shared" si="1"/>
        <v>-8.6227253134429027</v>
      </c>
      <c r="S27" s="91">
        <f t="shared" si="1"/>
        <v>-10.102652096691656</v>
      </c>
      <c r="T27" s="91">
        <f t="shared" si="1"/>
        <v>-6.1817279046673228</v>
      </c>
    </row>
    <row r="28" spans="1:29">
      <c r="A28" s="66">
        <v>2008</v>
      </c>
      <c r="B28" s="62">
        <f>'2A'!B28/'2A'!B$27*100</f>
        <v>102.27562002347803</v>
      </c>
      <c r="C28" s="62">
        <f>'2A'!C28/'2A'!C$27*100</f>
        <v>93.481588792723642</v>
      </c>
      <c r="D28" s="62">
        <f>'2A'!D28/'2A'!D$27*100</f>
        <v>103.67516789584276</v>
      </c>
      <c r="E28" s="62">
        <f>'2A'!E28/'2A'!E$27*100</f>
        <v>91.080788159835123</v>
      </c>
      <c r="F28" s="62">
        <f>'2A'!F28/'2A'!F$27*100</f>
        <v>80.187738827047681</v>
      </c>
      <c r="G28" s="62">
        <f>'2A'!G28/'2A'!G$27*100</f>
        <v>86.087311301509587</v>
      </c>
      <c r="H28" s="62">
        <f>'2A'!H28/'2A'!H$27*100</f>
        <v>103.10613985676349</v>
      </c>
      <c r="I28" s="62">
        <f>'2A'!I28/'2A'!I$27*100</f>
        <v>91.377274686557101</v>
      </c>
      <c r="J28" s="62">
        <f>'2A'!J28/'2A'!J$27*100</f>
        <v>89.897347903308344</v>
      </c>
      <c r="K28" s="62">
        <f>'2A'!K28/'2A'!K$27*100</f>
        <v>93.818272095332674</v>
      </c>
      <c r="M28" s="91">
        <v>2009</v>
      </c>
      <c r="N28" s="91">
        <f t="shared" si="3"/>
        <v>-2.442300897024996</v>
      </c>
      <c r="O28" s="91">
        <f t="shared" si="3"/>
        <v>-9.2200281186094237</v>
      </c>
      <c r="P28" s="91">
        <f t="shared" si="3"/>
        <v>-3.5727059571593056</v>
      </c>
      <c r="Q28" s="91">
        <f t="shared" si="3"/>
        <v>-8.3198408208649539</v>
      </c>
      <c r="R28" s="91">
        <f t="shared" si="1"/>
        <v>-13.080930308872407</v>
      </c>
      <c r="S28" s="91">
        <f t="shared" si="1"/>
        <v>-16.297759769614572</v>
      </c>
      <c r="T28" s="91">
        <f t="shared" si="1"/>
        <v>-8.0021169621593113</v>
      </c>
    </row>
    <row r="29" spans="1:29">
      <c r="A29" s="66">
        <v>2009</v>
      </c>
      <c r="B29" s="62">
        <f>'2A'!B29/'2A'!B$27*100</f>
        <v>99.777741638206749</v>
      </c>
      <c r="C29" s="62">
        <f>'2A'!C29/'2A'!C$27*100</f>
        <v>84.86256002031169</v>
      </c>
      <c r="D29" s="62">
        <f>'2A'!D29/'2A'!D$27*100</f>
        <v>99.971158996333074</v>
      </c>
      <c r="E29" s="62">
        <f>'2A'!E29/'2A'!E$27*100</f>
        <v>83.503011566547627</v>
      </c>
      <c r="F29" s="62">
        <f>'2A'!F29/'2A'!F$27*100</f>
        <v>57.796145539126101</v>
      </c>
      <c r="G29" s="62">
        <f>'2A'!G29/'2A'!G$27*100</f>
        <v>88.916088671290623</v>
      </c>
      <c r="H29" s="62">
        <f>'2A'!H29/'2A'!H$27*100</f>
        <v>106.80373380542368</v>
      </c>
      <c r="I29" s="62">
        <f>'2A'!I29/'2A'!I$27*100</f>
        <v>79.424277066661659</v>
      </c>
      <c r="J29" s="62">
        <f>'2A'!J29/'2A'!J$27*100</f>
        <v>75.246094102772503</v>
      </c>
      <c r="K29" s="62">
        <f>'2A'!K29/'2A'!K$27*100</f>
        <v>86.310824230387283</v>
      </c>
      <c r="M29" s="91">
        <v>2010</v>
      </c>
      <c r="N29" s="91">
        <f t="shared" si="3"/>
        <v>2.1748724195580937</v>
      </c>
      <c r="O29" s="91">
        <f t="shared" si="3"/>
        <v>0.11263441333311253</v>
      </c>
      <c r="P29" s="91">
        <f t="shared" si="3"/>
        <v>-29.310913287174412</v>
      </c>
      <c r="Q29" s="91">
        <f t="shared" si="3"/>
        <v>10.538746329631055</v>
      </c>
      <c r="R29" s="91">
        <f t="shared" si="1"/>
        <v>5.3964134025483945</v>
      </c>
      <c r="S29" s="91">
        <f t="shared" si="1"/>
        <v>0.99615938550168259</v>
      </c>
      <c r="T29" s="91">
        <f t="shared" si="1"/>
        <v>11.735603750791013</v>
      </c>
    </row>
    <row r="30" spans="1:29">
      <c r="A30" s="66">
        <v>2010</v>
      </c>
      <c r="B30" s="62">
        <f>'2A'!B30/'2A'!B$27*100</f>
        <v>101.94778022195403</v>
      </c>
      <c r="C30" s="62">
        <f>'2A'!C30/'2A'!C$27*100</f>
        <v>84.958144466930023</v>
      </c>
      <c r="D30" s="62">
        <f>'2A'!D30/'2A'!D$27*100</f>
        <v>70.668699270734621</v>
      </c>
      <c r="E30" s="62">
        <f>'2A'!E30/'2A'!E$27*100</f>
        <v>92.303182133148553</v>
      </c>
      <c r="F30" s="62">
        <f>'2A'!F30/'2A'!F$27*100</f>
        <v>65.596444592124939</v>
      </c>
      <c r="G30" s="62">
        <f>'2A'!G30/'2A'!G$27*100</f>
        <v>133.30613355093161</v>
      </c>
      <c r="H30" s="62">
        <f>'2A'!H30/'2A'!H$27*100</f>
        <v>106.03524583568039</v>
      </c>
      <c r="I30" s="62">
        <f>'2A'!I30/'2A'!I$27*100</f>
        <v>83.710339399164155</v>
      </c>
      <c r="J30" s="62">
        <f>'2A'!J30/'2A'!J$27*100</f>
        <v>75.995665131400699</v>
      </c>
      <c r="K30" s="62">
        <f>'2A'!K30/'2A'!K$27*100</f>
        <v>96.439920556107253</v>
      </c>
      <c r="M30" s="91">
        <v>2011</v>
      </c>
      <c r="N30" s="91">
        <f t="shared" si="3"/>
        <v>0.65238783119447863</v>
      </c>
      <c r="O30" s="91">
        <f t="shared" si="3"/>
        <v>-4.4967917728750972</v>
      </c>
      <c r="P30" s="91">
        <f t="shared" si="3"/>
        <v>30.608675373134343</v>
      </c>
      <c r="Q30" s="91">
        <f t="shared" si="3"/>
        <v>-6.0884294816269229</v>
      </c>
      <c r="R30" s="91">
        <f t="shared" si="1"/>
        <v>-16.125999059708505</v>
      </c>
      <c r="S30" s="91">
        <f t="shared" si="1"/>
        <v>-14.620716973658132</v>
      </c>
      <c r="T30" s="91">
        <f t="shared" si="1"/>
        <v>-18.086804304175452</v>
      </c>
    </row>
    <row r="31" spans="1:29">
      <c r="A31" s="66">
        <v>2011</v>
      </c>
      <c r="B31" s="62">
        <f>'2A'!B31/'2A'!B$27*100</f>
        <v>102.61287513429495</v>
      </c>
      <c r="C31" s="62">
        <f>'2A'!C31/'2A'!C$27*100</f>
        <v>81.137753616153773</v>
      </c>
      <c r="D31" s="62">
        <f>'2A'!D31/'2A'!D$27*100</f>
        <v>92.299452020930332</v>
      </c>
      <c r="E31" s="62">
        <f>'2A'!E31/'2A'!E$27*100</f>
        <v>86.683367979674145</v>
      </c>
      <c r="F31" s="62">
        <f>'2A'!F31/'2A'!F$27*100</f>
        <v>57.995514205017443</v>
      </c>
      <c r="G31" s="62">
        <f>'2A'!G31/'2A'!G$27*100</f>
        <v>124.99660002719979</v>
      </c>
      <c r="H31" s="62">
        <f>'2A'!H31/'2A'!H$27*100</f>
        <v>103.13832783455379</v>
      </c>
      <c r="I31" s="62">
        <f>'2A'!I31/'2A'!I$27*100</f>
        <v>70.211210854776141</v>
      </c>
      <c r="J31" s="62">
        <f>'2A'!J31/'2A'!J$27*100</f>
        <v>64.884554020289599</v>
      </c>
      <c r="K31" s="62">
        <f>'2A'!K31/'2A'!K$27*100</f>
        <v>78.997020854021855</v>
      </c>
      <c r="M31" s="91">
        <v>2012</v>
      </c>
      <c r="N31" s="91">
        <f t="shared" si="3"/>
        <v>0.95739433775061666</v>
      </c>
      <c r="O31" s="91">
        <f t="shared" si="3"/>
        <v>-9.6977561801682377</v>
      </c>
      <c r="P31" s="91">
        <f t="shared" si="3"/>
        <v>-24.189804481742716</v>
      </c>
      <c r="Q31" s="91">
        <f t="shared" si="3"/>
        <v>-10.289415430023773</v>
      </c>
      <c r="R31" s="91">
        <f t="shared" si="1"/>
        <v>-0.26158445440958022</v>
      </c>
      <c r="S31" s="91">
        <f t="shared" si="1"/>
        <v>2.1666512016330852</v>
      </c>
      <c r="T31" s="91">
        <f t="shared" si="1"/>
        <v>-3.5512256442489121</v>
      </c>
    </row>
    <row r="32" spans="1:29">
      <c r="A32" s="66">
        <v>2012</v>
      </c>
      <c r="B32" s="62">
        <f>'2A'!B32/'2A'!B$27*100</f>
        <v>103.59528499063381</v>
      </c>
      <c r="C32" s="62">
        <f>'2A'!C32/'2A'!C$27*100</f>
        <v>73.269212100393545</v>
      </c>
      <c r="D32" s="62">
        <f>'2A'!D32/'2A'!D$27*100</f>
        <v>69.972395039347361</v>
      </c>
      <c r="E32" s="62">
        <f>'2A'!E32/'2A'!E$27*100</f>
        <v>77.764156139509268</v>
      </c>
      <c r="F32" s="62">
        <f>'2A'!F32/'2A'!F$27*100</f>
        <v>39.981724538959959</v>
      </c>
      <c r="G32" s="62">
        <f>'2A'!G32/'2A'!G$27*100</f>
        <v>120.11423908608731</v>
      </c>
      <c r="H32" s="62">
        <f>'2A'!H32/'2A'!H$27*100</f>
        <v>101.83873823127063</v>
      </c>
      <c r="I32" s="62">
        <f>'2A'!I32/'2A'!I$27*100</f>
        <v>70.027549241927318</v>
      </c>
      <c r="J32" s="62">
        <f>'2A'!J32/'2A'!J$27*100</f>
        <v>66.290375989644474</v>
      </c>
      <c r="K32" s="62">
        <f>'2A'!K32/'2A'!K$27*100</f>
        <v>76.191658391261171</v>
      </c>
      <c r="M32" s="91">
        <v>2013</v>
      </c>
      <c r="N32" s="91">
        <f t="shared" si="3"/>
        <v>0.46296522971693843</v>
      </c>
      <c r="O32" s="91">
        <f t="shared" si="3"/>
        <v>-2.9515782178419658</v>
      </c>
      <c r="P32" s="91">
        <f t="shared" si="3"/>
        <v>-14.979685567920843</v>
      </c>
      <c r="Q32" s="91">
        <f t="shared" si="3"/>
        <v>2.2756351672454711</v>
      </c>
      <c r="R32" s="91">
        <f t="shared" si="1"/>
        <v>-3.6075576727506165</v>
      </c>
      <c r="S32" s="91">
        <f t="shared" si="1"/>
        <v>-4.5592843195131794</v>
      </c>
      <c r="T32" s="91">
        <f t="shared" si="1"/>
        <v>-2.241772564353206</v>
      </c>
    </row>
    <row r="33" spans="1:20">
      <c r="A33" s="66">
        <v>2013</v>
      </c>
      <c r="B33" s="62">
        <f>'2A'!B33/'2A'!B$27*100</f>
        <v>104.07489513976662</v>
      </c>
      <c r="C33" s="62">
        <f>'2A'!C33/'2A'!C$27*100</f>
        <v>71.106613995653902</v>
      </c>
      <c r="D33" s="62">
        <f>'2A'!D33/'2A'!D$27*100</f>
        <v>59.490750278109687</v>
      </c>
      <c r="E33" s="62">
        <f>'2A'!E33/'2A'!E$27*100</f>
        <v>79.533784624131627</v>
      </c>
      <c r="F33" s="62">
        <f>'2A'!F33/'2A'!F$27*100</f>
        <v>43.287921581658082</v>
      </c>
      <c r="G33" s="62">
        <f>'2A'!G33/'2A'!G$27*100</f>
        <v>110.83911328709371</v>
      </c>
      <c r="H33" s="62">
        <f>'2A'!H33/'2A'!H$27*100</f>
        <v>105.37539229097932</v>
      </c>
      <c r="I33" s="62">
        <f>'2A'!I33/'2A'!I$27*100</f>
        <v>67.501265016210951</v>
      </c>
      <c r="J33" s="62">
        <f>'2A'!J33/'2A'!J$27*100</f>
        <v>63.268009271802285</v>
      </c>
      <c r="K33" s="62">
        <f>'2A'!K33/'2A'!K$27*100</f>
        <v>74.48361469712016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91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91" t="s">
        <v>16</v>
      </c>
      <c r="O35" s="91" t="s">
        <v>8</v>
      </c>
      <c r="P35" s="91" t="s">
        <v>3</v>
      </c>
      <c r="Q35" s="91" t="s">
        <v>4</v>
      </c>
      <c r="R35" s="91" t="s">
        <v>17</v>
      </c>
      <c r="S35" s="91" t="s">
        <v>6</v>
      </c>
      <c r="T35" s="91" t="s">
        <v>7</v>
      </c>
    </row>
    <row r="36" spans="1:20" ht="30">
      <c r="A36" s="66" t="s">
        <v>19</v>
      </c>
      <c r="B36" s="11">
        <f>((B20/B17)^(1/3)-1)*100</f>
        <v>2.1903676103396386</v>
      </c>
      <c r="C36" s="11" t="s">
        <v>10</v>
      </c>
      <c r="D36" s="11">
        <f t="shared" ref="D36:E36" si="6">((D20/D17)^(1/3)-1)*100</f>
        <v>2.607227017377145</v>
      </c>
      <c r="E36" s="11">
        <f t="shared" si="6"/>
        <v>5.5374280770904338</v>
      </c>
      <c r="F36" s="11">
        <f t="shared" ref="F36:H36" si="7">((F20/F17)^(1/3)-1)*100</f>
        <v>3.6478037894873694</v>
      </c>
      <c r="G36" s="11">
        <f t="shared" si="7"/>
        <v>2.2177414634555914</v>
      </c>
      <c r="H36" s="11">
        <f t="shared" si="7"/>
        <v>10.14379274103141</v>
      </c>
      <c r="I36" s="11" t="s">
        <v>10</v>
      </c>
      <c r="J36" s="11" t="s">
        <v>10</v>
      </c>
      <c r="K36" s="11" t="s">
        <v>10</v>
      </c>
      <c r="M36" s="91">
        <v>1999</v>
      </c>
      <c r="N36" s="91">
        <f>B19/$B$20</f>
        <v>0.98844270719255967</v>
      </c>
      <c r="O36" s="91">
        <f t="shared" ref="O36:O38" si="8">C19/$C$20</f>
        <v>0.96835551006482434</v>
      </c>
      <c r="P36" s="91">
        <f t="shared" ref="P36:P38" si="9">D19/$D$20</f>
        <v>1.0988051325703838</v>
      </c>
      <c r="Q36" s="91">
        <f t="shared" ref="Q36:Q38" si="10">E19/$E$20</f>
        <v>0.90730544221031428</v>
      </c>
      <c r="R36" s="91">
        <f t="shared" ref="R36:R38" si="11">I19/$I$20</f>
        <v>0.98156968316421611</v>
      </c>
      <c r="S36" s="91">
        <f t="shared" ref="S36:S38" si="12">J19/$J$20</f>
        <v>0.97022307958648657</v>
      </c>
      <c r="T36" s="91">
        <f t="shared" ref="T36:T38" si="13">K19/$K$20</f>
        <v>1.0021035671127421</v>
      </c>
    </row>
    <row r="37" spans="1:20" ht="30">
      <c r="A37" s="325" t="s">
        <v>68</v>
      </c>
      <c r="B37" s="11">
        <f>((B27/B20)^(1/7)-1)*100</f>
        <v>0.87580779759077743</v>
      </c>
      <c r="C37" s="11">
        <f t="shared" ref="C37:K37" si="14">((C27/C20)^(1/7)-1)*100</f>
        <v>-3.81803018069653</v>
      </c>
      <c r="D37" s="11">
        <f t="shared" si="14"/>
        <v>-3.7511709243974289</v>
      </c>
      <c r="E37" s="11">
        <f t="shared" si="14"/>
        <v>-5.1286692481944174</v>
      </c>
      <c r="F37" s="11">
        <f t="shared" ref="F37:H37" si="15">((F27/F20)^(1/7)-1)*100</f>
        <v>-7.217022791902572</v>
      </c>
      <c r="G37" s="11">
        <f t="shared" si="15"/>
        <v>-6.6486377202551132</v>
      </c>
      <c r="H37" s="11">
        <f t="shared" si="15"/>
        <v>-2.0777491260590364</v>
      </c>
      <c r="I37" s="11">
        <f t="shared" si="14"/>
        <v>-2.2953342247502895</v>
      </c>
      <c r="J37" s="11">
        <f t="shared" si="14"/>
        <v>-2.7687895156675579</v>
      </c>
      <c r="K37" s="11">
        <f t="shared" si="14"/>
        <v>-1.471989948523722</v>
      </c>
      <c r="M37" s="91">
        <v>2000</v>
      </c>
      <c r="N37" s="91">
        <f>B20/$B$20</f>
        <v>1</v>
      </c>
      <c r="O37" s="91">
        <f t="shared" si="8"/>
        <v>1</v>
      </c>
      <c r="P37" s="91">
        <f t="shared" si="9"/>
        <v>1</v>
      </c>
      <c r="Q37" s="91">
        <f t="shared" si="10"/>
        <v>1</v>
      </c>
      <c r="R37" s="91">
        <f t="shared" si="11"/>
        <v>1</v>
      </c>
      <c r="S37" s="91">
        <f t="shared" si="12"/>
        <v>1</v>
      </c>
      <c r="T37" s="91">
        <f t="shared" si="13"/>
        <v>1</v>
      </c>
    </row>
    <row r="38" spans="1:20" ht="30">
      <c r="A38" s="66" t="s">
        <v>69</v>
      </c>
      <c r="B38" s="11">
        <f>((B33/B27)^(1/6)-1)*100</f>
        <v>0.6678972106952008</v>
      </c>
      <c r="C38" s="11">
        <f t="shared" ref="C38:K38" si="16">((C33/C27)^(1/6)-1)*100</f>
        <v>-5.5246883759227261</v>
      </c>
      <c r="D38" s="11">
        <f t="shared" si="16"/>
        <v>-8.2917848813006785</v>
      </c>
      <c r="E38" s="11">
        <f t="shared" si="16"/>
        <v>-3.7445619436016764</v>
      </c>
      <c r="F38" s="11">
        <f t="shared" si="16"/>
        <v>-13.024996339772832</v>
      </c>
      <c r="G38" s="11">
        <f t="shared" si="16"/>
        <v>1.7299522061261952</v>
      </c>
      <c r="H38" s="11">
        <f t="shared" si="16"/>
        <v>0.87646790204713998</v>
      </c>
      <c r="I38" s="11">
        <f t="shared" si="16"/>
        <v>-6.3404675793389149</v>
      </c>
      <c r="J38" s="11">
        <f t="shared" si="16"/>
        <v>-7.3460309094066423</v>
      </c>
      <c r="K38" s="11">
        <f t="shared" si="16"/>
        <v>-4.7912658974083477</v>
      </c>
      <c r="M38" s="91">
        <v>2001</v>
      </c>
      <c r="N38" s="91">
        <f>B21/$B$20</f>
        <v>0.99586120330901551</v>
      </c>
      <c r="O38" s="91">
        <f t="shared" si="8"/>
        <v>0.93340725577163652</v>
      </c>
      <c r="P38" s="91">
        <f t="shared" si="9"/>
        <v>0.87505911283457871</v>
      </c>
      <c r="Q38" s="91">
        <f t="shared" si="10"/>
        <v>0.95195663929993612</v>
      </c>
      <c r="R38" s="91">
        <f t="shared" si="11"/>
        <v>0.93884702996320302</v>
      </c>
      <c r="S38" s="91">
        <f t="shared" si="12"/>
        <v>0.93342236731463613</v>
      </c>
      <c r="T38" s="91">
        <f t="shared" si="13"/>
        <v>0.94866401109967313</v>
      </c>
    </row>
    <row r="39" spans="1:20" s="259" customFormat="1" ht="30">
      <c r="A39" s="325" t="s">
        <v>15</v>
      </c>
      <c r="B39" s="11">
        <f>((B33/B20)^(1/13)-1)*100</f>
        <v>0.77979576137880979</v>
      </c>
      <c r="C39" s="11">
        <f t="shared" ref="C39:K39" si="17">((C33/C20)^(1/13)-1)*100</f>
        <v>-4.6095161912709575</v>
      </c>
      <c r="D39" s="11">
        <f t="shared" si="17"/>
        <v>-5.8741202395248271</v>
      </c>
      <c r="E39" s="11">
        <f t="shared" si="17"/>
        <v>-4.4923411017426362</v>
      </c>
      <c r="F39" s="11">
        <f t="shared" si="17"/>
        <v>-9.9443130825656034</v>
      </c>
      <c r="G39" s="11">
        <f t="shared" si="17"/>
        <v>-2.8709701334041937</v>
      </c>
      <c r="H39" s="11">
        <f t="shared" si="17"/>
        <v>-0.72517101706460751</v>
      </c>
      <c r="I39" s="11">
        <f t="shared" si="17"/>
        <v>-4.1835831729424839</v>
      </c>
      <c r="J39" s="11">
        <f t="shared" si="17"/>
        <v>-4.9088041513876579</v>
      </c>
      <c r="K39" s="11">
        <f t="shared" si="17"/>
        <v>-3.0181038084284961</v>
      </c>
    </row>
    <row r="40" spans="1:20">
      <c r="M40" s="91">
        <v>2003</v>
      </c>
      <c r="N40" s="91">
        <f>B23/$B$20</f>
        <v>1.0231673209441814</v>
      </c>
      <c r="O40" s="91">
        <f>C23/$C$20</f>
        <v>0.90147844876606387</v>
      </c>
      <c r="P40" s="91">
        <f>D23/$D$20</f>
        <v>0.8659163277530818</v>
      </c>
      <c r="Q40" s="91">
        <f>E23/$E$20</f>
        <v>0.95606164888648559</v>
      </c>
      <c r="R40" s="91">
        <f>I23/$I$20</f>
        <v>0.8487025502970833</v>
      </c>
      <c r="S40" s="91">
        <f>J23/$J$20</f>
        <v>0.83437206311520007</v>
      </c>
      <c r="T40" s="91">
        <f>K23/$K$20</f>
        <v>0.87459159468289827</v>
      </c>
    </row>
    <row r="41" spans="1:20">
      <c r="A41" s="237" t="s">
        <v>304</v>
      </c>
      <c r="M41" s="91">
        <v>2008</v>
      </c>
      <c r="N41" s="91">
        <f t="shared" ref="N41" si="18">B28/$B$20</f>
        <v>1.0871295469479216</v>
      </c>
      <c r="O41" s="91">
        <f t="shared" ref="O41" si="19">C28/$C$20</f>
        <v>0.71183896281132719</v>
      </c>
      <c r="P41" s="91">
        <f t="shared" ref="P41" si="20">D28/$D$20</f>
        <v>0.79331000346795288</v>
      </c>
      <c r="Q41" s="91">
        <f t="shared" ref="Q41" si="21">E28/$E$20</f>
        <v>0.63004522884813929</v>
      </c>
      <c r="R41" s="91">
        <f t="shared" ref="R41" si="22">I28/$I$20</f>
        <v>0.77668572884973797</v>
      </c>
      <c r="S41" s="91">
        <f t="shared" ref="S41" si="23">J28/$J$20</f>
        <v>0.73856160656872927</v>
      </c>
      <c r="T41" s="91">
        <f t="shared" ref="T41" si="24">K28/$K$20</f>
        <v>0.84567873606946242</v>
      </c>
    </row>
    <row r="42" spans="1:20">
      <c r="A42" s="231" t="s">
        <v>144</v>
      </c>
      <c r="M42" s="91">
        <v>2011</v>
      </c>
      <c r="N42" s="91">
        <f>B31/$B$20</f>
        <v>1.0907143699560258</v>
      </c>
      <c r="O42" s="91">
        <f>C31/$C$20</f>
        <v>0.61784373933810977</v>
      </c>
      <c r="P42" s="91">
        <f>D31/$D$20</f>
        <v>0.7062643841230809</v>
      </c>
      <c r="Q42" s="91">
        <f>E31/$E$20</f>
        <v>0.59962637038493694</v>
      </c>
      <c r="R42" s="91">
        <f>I31/$I$20</f>
        <v>0.59677907513898398</v>
      </c>
      <c r="S42" s="91">
        <f>J31/$J$20</f>
        <v>0.53306623138942477</v>
      </c>
      <c r="T42" s="91">
        <f>K31/$K$20</f>
        <v>0.71207984603679009</v>
      </c>
    </row>
    <row r="43" spans="1:20">
      <c r="M43" s="91">
        <v>2012</v>
      </c>
      <c r="N43" s="91">
        <f>B32/$B$20</f>
        <v>1.1011568075750171</v>
      </c>
      <c r="O43" s="91">
        <f>C32/$C$20</f>
        <v>0.55792675992266572</v>
      </c>
      <c r="P43" s="91">
        <f>D32/$D$20</f>
        <v>0.53542041047952327</v>
      </c>
      <c r="Q43" s="91">
        <f>E32/$E$20</f>
        <v>0.53792832210805774</v>
      </c>
      <c r="R43" s="91">
        <f>I32/$I$20</f>
        <v>0.59521799385125118</v>
      </c>
      <c r="S43" s="91">
        <f>J32/$J$20</f>
        <v>0.54461591729732395</v>
      </c>
      <c r="T43" s="91">
        <f>K32/$K$20</f>
        <v>0.68679228393680347</v>
      </c>
    </row>
    <row r="44" spans="1:20">
      <c r="M44" s="91">
        <v>2013</v>
      </c>
      <c r="N44" s="91">
        <f>B33/$B$20</f>
        <v>1.1062547807187506</v>
      </c>
      <c r="O44" s="91">
        <f>C33/$C$20</f>
        <v>0.5414591152052769</v>
      </c>
      <c r="P44" s="91">
        <f>D33/$D$20</f>
        <v>0.45521611652321964</v>
      </c>
      <c r="Q44" s="91">
        <f>E33/$E$20</f>
        <v>0.55016960818052218</v>
      </c>
      <c r="R44" s="91">
        <f>I33/$I$20</f>
        <v>0.57374516144447807</v>
      </c>
      <c r="S44" s="91">
        <f>J33/$J$20</f>
        <v>0.51978532917841425</v>
      </c>
      <c r="T44" s="91">
        <f>K33/$K$20</f>
        <v>0.67139596294141335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9" orientation="portrait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8" width="17.140625" style="266" customWidth="1"/>
    <col min="9" max="9" width="17" style="266" customWidth="1"/>
    <col min="10" max="11" width="17.140625" style="266" customWidth="1"/>
    <col min="12" max="16384" width="9.140625" style="266"/>
  </cols>
  <sheetData>
    <row r="1" spans="1:11" ht="15" customHeight="1">
      <c r="A1" s="471" t="s">
        <v>581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'18C'!L5*1000/'19C'!B17</f>
        <v>30.806995219589368</v>
      </c>
      <c r="C4" s="253"/>
      <c r="D4" s="253">
        <f>'18C'!N5*1000/'19C'!D17</f>
        <v>34.574468085106382</v>
      </c>
      <c r="E4" s="253"/>
      <c r="F4" s="253"/>
      <c r="G4" s="253"/>
      <c r="H4" s="253"/>
      <c r="I4" s="253"/>
      <c r="J4" s="253">
        <f>'18C'!T5*1000/'19C'!J17</f>
        <v>30.76923076923077</v>
      </c>
      <c r="K4" s="253"/>
    </row>
    <row r="5" spans="1:11" s="332" customFormat="1">
      <c r="A5" s="333">
        <v>2001</v>
      </c>
      <c r="B5" s="253">
        <f>'18C'!L6*1000/'19C'!B18</f>
        <v>30.486526116571895</v>
      </c>
      <c r="C5" s="253"/>
      <c r="D5" s="253">
        <f>'18C'!N6*1000/'19C'!D18</f>
        <v>41.40625</v>
      </c>
      <c r="E5" s="253">
        <f>'18C'!O6*1000/'19C'!E18</f>
        <v>14.715719063545151</v>
      </c>
      <c r="F5" s="253"/>
      <c r="G5" s="253"/>
      <c r="H5" s="253"/>
      <c r="I5" s="253"/>
      <c r="J5" s="253">
        <f>'18C'!T6*1000/'19C'!J18</f>
        <v>12.121212121212121</v>
      </c>
      <c r="K5" s="253"/>
    </row>
    <row r="6" spans="1:11" s="332" customFormat="1">
      <c r="A6" s="333">
        <v>2002</v>
      </c>
      <c r="B6" s="253">
        <f>'18C'!L7*1000/'19C'!B19</f>
        <v>31.748497504329226</v>
      </c>
      <c r="C6" s="253"/>
      <c r="D6" s="253">
        <f>'18C'!N7*1000/'19C'!D19</f>
        <v>42.857142857142854</v>
      </c>
      <c r="E6" s="253"/>
      <c r="F6" s="253"/>
      <c r="G6" s="253">
        <f>'18C'!Q7*1000/'19C'!G19</f>
        <v>9.3959731543624159</v>
      </c>
      <c r="H6" s="253"/>
      <c r="I6" s="253"/>
      <c r="J6" s="253"/>
      <c r="K6" s="253"/>
    </row>
    <row r="7" spans="1:11" s="332" customFormat="1">
      <c r="A7" s="333">
        <v>2003</v>
      </c>
      <c r="B7" s="253">
        <f>'18C'!L8*1000/'19C'!B20</f>
        <v>32.147424033381569</v>
      </c>
      <c r="C7" s="253">
        <f>'18C'!M8*1000/'19C'!C20</f>
        <v>29.227941176470583</v>
      </c>
      <c r="D7" s="253">
        <f>'18C'!N8*1000/'19C'!D20</f>
        <v>44.171779141104295</v>
      </c>
      <c r="E7" s="253">
        <f>'18C'!O8*1000/'19C'!E20</f>
        <v>19.871794871794872</v>
      </c>
      <c r="F7" s="253">
        <f>'18C'!P8*1000/'19C'!F20</f>
        <v>17.491749174917491</v>
      </c>
      <c r="G7" s="253"/>
      <c r="H7" s="253"/>
      <c r="I7" s="253">
        <f>'18C'!S8*1000/'19C'!I20</f>
        <v>62.758620689655174</v>
      </c>
      <c r="J7" s="253"/>
      <c r="K7" s="253">
        <f>'18C'!U8*1000/'19C'!K20</f>
        <v>63.448275862068968</v>
      </c>
    </row>
    <row r="8" spans="1:11" s="332" customFormat="1">
      <c r="A8" s="333">
        <v>2004</v>
      </c>
      <c r="B8" s="253">
        <f>'18C'!L9*1000/'19C'!B21</f>
        <v>33.44650652234958</v>
      </c>
      <c r="C8" s="253">
        <f>'18C'!M9*1000/'19C'!C21</f>
        <v>27.927146574154381</v>
      </c>
      <c r="D8" s="253">
        <f>'18C'!N9*1000/'19C'!D21</f>
        <v>90.243902439024396</v>
      </c>
      <c r="E8" s="253">
        <f>'18C'!O9*1000/'19C'!E21</f>
        <v>19.193154034229828</v>
      </c>
      <c r="F8" s="253"/>
      <c r="G8" s="253"/>
      <c r="H8" s="253"/>
      <c r="I8" s="253">
        <f>'18C'!S9*1000/'19C'!I21</f>
        <v>35.968379446640313</v>
      </c>
      <c r="J8" s="253"/>
      <c r="K8" s="253">
        <f>'18C'!U9*1000/'19C'!K21</f>
        <v>36.363636363636367</v>
      </c>
    </row>
    <row r="9" spans="1:11" s="332" customFormat="1">
      <c r="A9" s="333">
        <v>2005</v>
      </c>
      <c r="B9" s="253">
        <f>'18C'!L10*1000/'19C'!B22</f>
        <v>32.951457919151757</v>
      </c>
      <c r="C9" s="253"/>
      <c r="D9" s="253">
        <f>'18C'!N10*1000/'19C'!D22</f>
        <v>100</v>
      </c>
      <c r="E9" s="253">
        <f>'18C'!O10*1000/'19C'!E22</f>
        <v>18.785151856017997</v>
      </c>
      <c r="F9" s="253"/>
      <c r="G9" s="253"/>
      <c r="H9" s="253"/>
      <c r="I9" s="253"/>
      <c r="J9" s="253"/>
      <c r="K9" s="253"/>
    </row>
    <row r="10" spans="1:11" s="332" customFormat="1">
      <c r="A10" s="333">
        <v>2006</v>
      </c>
      <c r="B10" s="253">
        <f>'18C'!L11*1000/'19C'!B23</f>
        <v>33.421576723174816</v>
      </c>
      <c r="C10" s="253"/>
      <c r="D10" s="253">
        <f>'18C'!N11*1000/'19C'!D23</f>
        <v>77.333333333333329</v>
      </c>
      <c r="E10" s="253"/>
      <c r="F10" s="253"/>
      <c r="G10" s="253"/>
      <c r="H10" s="253"/>
      <c r="I10" s="253"/>
      <c r="J10" s="253"/>
      <c r="K10" s="253"/>
    </row>
    <row r="11" spans="1:11">
      <c r="A11" s="260">
        <v>2007</v>
      </c>
      <c r="B11" s="253">
        <f>'18C'!L12*1000/'19C'!B24</f>
        <v>34.651162790697676</v>
      </c>
      <c r="C11" s="253"/>
      <c r="D11" s="253">
        <f>'18C'!N12*1000/'19C'!D24</f>
        <v>107.54716981132076</v>
      </c>
      <c r="E11" s="253"/>
      <c r="F11" s="253"/>
      <c r="G11" s="253"/>
      <c r="H11" s="253"/>
      <c r="I11" s="253"/>
      <c r="J11" s="253"/>
      <c r="K11" s="253"/>
    </row>
    <row r="12" spans="1:11">
      <c r="A12" s="260">
        <v>2008</v>
      </c>
      <c r="B12" s="253">
        <f>'18C'!L13*1000/'19C'!B25</f>
        <v>34.672306162697829</v>
      </c>
      <c r="C12" s="253"/>
      <c r="D12" s="253">
        <f>'18C'!N13*1000/'19C'!D25</f>
        <v>121.21212121212122</v>
      </c>
      <c r="E12" s="253"/>
      <c r="F12" s="253"/>
      <c r="G12" s="253"/>
      <c r="H12" s="253"/>
      <c r="I12" s="253"/>
      <c r="J12" s="253"/>
      <c r="K12" s="253"/>
    </row>
    <row r="13" spans="1:11">
      <c r="A13" s="260">
        <v>2009</v>
      </c>
      <c r="B13" s="253">
        <f>'18C'!L14*1000/'19C'!B26</f>
        <v>35.416045085363834</v>
      </c>
      <c r="C13" s="253"/>
      <c r="D13" s="253">
        <f>'18C'!N14*1000/'19C'!D26</f>
        <v>106.66666666666667</v>
      </c>
      <c r="E13" s="253"/>
      <c r="F13" s="253"/>
      <c r="G13" s="253"/>
      <c r="H13" s="253"/>
      <c r="I13" s="253"/>
      <c r="J13" s="253"/>
      <c r="K13" s="253"/>
    </row>
    <row r="14" spans="1:11">
      <c r="A14" s="260">
        <v>2010</v>
      </c>
      <c r="B14" s="253">
        <f>'18C'!L15*1000/'19C'!B27</f>
        <v>35.861115909483502</v>
      </c>
      <c r="C14" s="253"/>
      <c r="D14" s="253">
        <f>'18C'!N15*1000/'19C'!D27</f>
        <v>121.42857142857143</v>
      </c>
      <c r="E14" s="253"/>
      <c r="F14" s="253"/>
      <c r="G14" s="253"/>
      <c r="H14" s="253"/>
      <c r="I14" s="253"/>
      <c r="J14" s="253"/>
      <c r="K14" s="253"/>
    </row>
    <row r="15" spans="1:11">
      <c r="A15" s="260">
        <v>2011</v>
      </c>
      <c r="B15" s="253">
        <f>'18C'!L16*1000/'19C'!B28</f>
        <v>35.385915807436824</v>
      </c>
      <c r="C15" s="253"/>
      <c r="D15" s="253">
        <f>'18C'!N16*1000/'19C'!D28</f>
        <v>100</v>
      </c>
      <c r="E15" s="253"/>
      <c r="F15" s="253"/>
      <c r="G15" s="253"/>
      <c r="H15" s="253"/>
      <c r="I15" s="253"/>
      <c r="J15" s="253"/>
      <c r="K15" s="253"/>
    </row>
    <row r="16" spans="1:11">
      <c r="A16" s="260">
        <v>2012</v>
      </c>
      <c r="B16" s="253">
        <f>'18C'!L17*1000/'19C'!B29</f>
        <v>35.486167133298537</v>
      </c>
      <c r="C16" s="253"/>
      <c r="D16" s="253">
        <f>'18C'!N17*1000/'19C'!D29</f>
        <v>92.5</v>
      </c>
      <c r="E16" s="253"/>
      <c r="F16" s="253"/>
      <c r="G16" s="253"/>
      <c r="H16" s="253"/>
      <c r="I16" s="253"/>
      <c r="J16" s="253"/>
      <c r="K16" s="253"/>
    </row>
    <row r="17" spans="1:11">
      <c r="A17" s="260">
        <v>2013</v>
      </c>
      <c r="B17" s="253">
        <f>'18C'!L18*1000/'19C'!B30</f>
        <v>35.604736944282664</v>
      </c>
      <c r="C17" s="253"/>
      <c r="D17" s="253">
        <f>'18C'!N18*1000/'19C'!D30</f>
        <v>104.25531914893617</v>
      </c>
      <c r="E17" s="253"/>
      <c r="F17" s="253"/>
      <c r="G17" s="253"/>
      <c r="H17" s="253"/>
      <c r="I17" s="253"/>
      <c r="J17" s="253"/>
      <c r="K17" s="253"/>
    </row>
    <row r="18" spans="1:11">
      <c r="A18" s="265"/>
      <c r="B18" s="358"/>
      <c r="C18" s="253"/>
      <c r="D18" s="358"/>
      <c r="E18" s="358"/>
      <c r="F18" s="358"/>
      <c r="G18" s="358"/>
      <c r="H18" s="358"/>
      <c r="I18" s="358"/>
      <c r="J18" s="358"/>
      <c r="K18" s="358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1.6940388413535956</v>
      </c>
      <c r="C20" s="253" t="s">
        <v>10</v>
      </c>
      <c r="D20" s="253">
        <f t="shared" ref="D20" si="0">((D11/D4)^(1/7)-1)*100</f>
        <v>17.599699295196913</v>
      </c>
      <c r="E20" s="253" t="s">
        <v>10</v>
      </c>
      <c r="F20" s="253" t="s">
        <v>10</v>
      </c>
      <c r="G20" s="253" t="s">
        <v>10</v>
      </c>
      <c r="H20" s="253" t="s">
        <v>10</v>
      </c>
      <c r="I20" s="253" t="s">
        <v>10</v>
      </c>
      <c r="J20" s="253" t="s">
        <v>10</v>
      </c>
      <c r="K20" s="253" t="s">
        <v>10</v>
      </c>
    </row>
    <row r="21" spans="1:11">
      <c r="A21" s="320" t="s">
        <v>368</v>
      </c>
      <c r="B21" s="253">
        <f>((B14/B11)^(1/3)-1)*100</f>
        <v>1.150646352990492</v>
      </c>
      <c r="C21" s="253" t="str">
        <f>IFERROR(((C15/C2)^(1/6)-1)*100,"n.a.")</f>
        <v>n.a.</v>
      </c>
      <c r="D21" s="253">
        <f t="shared" ref="D21" si="1">((D14/D11)^(1/3)-1)*100</f>
        <v>4.1295439982828475</v>
      </c>
      <c r="E21" s="253" t="str">
        <f t="shared" ref="E21:K22" si="2">IFERROR(((E15/E2)^(1/6)-1)*100,"n.a.")</f>
        <v>n.a.</v>
      </c>
      <c r="F21" s="253" t="str">
        <f t="shared" si="2"/>
        <v>n.a.</v>
      </c>
      <c r="G21" s="253" t="str">
        <f t="shared" si="2"/>
        <v>n.a.</v>
      </c>
      <c r="H21" s="253" t="str">
        <f t="shared" si="2"/>
        <v>n.a.</v>
      </c>
      <c r="I21" s="253" t="str">
        <f t="shared" si="2"/>
        <v>n.a.</v>
      </c>
      <c r="J21" s="253" t="str">
        <f t="shared" si="2"/>
        <v>n.a.</v>
      </c>
      <c r="K21" s="253" t="str">
        <f t="shared" si="2"/>
        <v>n.a.</v>
      </c>
    </row>
    <row r="22" spans="1:11">
      <c r="A22" s="320" t="s">
        <v>392</v>
      </c>
      <c r="B22" s="253">
        <f>((B17/B14)^(1/3)-1)*100</f>
        <v>-0.23887746446985547</v>
      </c>
      <c r="C22" s="253" t="str">
        <f>IFERROR(((C16/C3)^(1/6)-1)*100,"n.a.")</f>
        <v>n.a.</v>
      </c>
      <c r="D22" s="253">
        <f t="shared" ref="D22" si="3">((D17/D14)^(1/3)-1)*100</f>
        <v>-4.9557651424506748</v>
      </c>
      <c r="E22" s="253" t="str">
        <f t="shared" si="2"/>
        <v>n.a.</v>
      </c>
      <c r="F22" s="253" t="str">
        <f t="shared" si="2"/>
        <v>n.a.</v>
      </c>
      <c r="G22" s="253" t="str">
        <f t="shared" si="2"/>
        <v>n.a.</v>
      </c>
      <c r="H22" s="253" t="str">
        <f t="shared" si="2"/>
        <v>n.a.</v>
      </c>
      <c r="I22" s="253" t="str">
        <f t="shared" si="2"/>
        <v>n.a.</v>
      </c>
      <c r="J22" s="253" t="str">
        <f t="shared" si="2"/>
        <v>n.a.</v>
      </c>
      <c r="K22" s="253" t="str">
        <f t="shared" si="2"/>
        <v>n.a.</v>
      </c>
    </row>
    <row r="23" spans="1:11">
      <c r="A23" s="285" t="s">
        <v>69</v>
      </c>
      <c r="B23" s="253">
        <f>IFERROR(((B17/B11)^(1/6)-1)*100,"n.a.")</f>
        <v>0.45348189768614766</v>
      </c>
      <c r="C23" s="253" t="str">
        <f t="shared" ref="C23:K23" si="4">IFERROR(((C17/C11)^(1/6)-1)*100,"n.a.")</f>
        <v>n.a.</v>
      </c>
      <c r="D23" s="253">
        <f t="shared" si="4"/>
        <v>-0.51677108485918</v>
      </c>
      <c r="E23" s="253" t="str">
        <f t="shared" si="4"/>
        <v>n.a.</v>
      </c>
      <c r="F23" s="253" t="str">
        <f t="shared" si="4"/>
        <v>n.a.</v>
      </c>
      <c r="G23" s="253" t="str">
        <f t="shared" si="4"/>
        <v>n.a.</v>
      </c>
      <c r="H23" s="253" t="str">
        <f t="shared" si="4"/>
        <v>n.a.</v>
      </c>
      <c r="I23" s="253" t="str">
        <f t="shared" si="4"/>
        <v>n.a.</v>
      </c>
      <c r="J23" s="253" t="str">
        <f t="shared" si="4"/>
        <v>n.a.</v>
      </c>
      <c r="K23" s="253" t="str">
        <f t="shared" si="4"/>
        <v>n.a.</v>
      </c>
    </row>
    <row r="24" spans="1:11" s="352" customFormat="1">
      <c r="A24" s="355" t="s">
        <v>15</v>
      </c>
      <c r="B24" s="253">
        <f>((B17/B4)^(1/13)-1)*100</f>
        <v>1.1195817544784159</v>
      </c>
      <c r="C24" s="253" t="s">
        <v>10</v>
      </c>
      <c r="D24" s="253">
        <f t="shared" ref="D24" si="5">((D17/D4)^(1/13)-1)*100</f>
        <v>8.8610493995591622</v>
      </c>
      <c r="E24" s="253" t="s">
        <v>10</v>
      </c>
      <c r="F24" s="253" t="s">
        <v>10</v>
      </c>
      <c r="G24" s="253" t="s">
        <v>10</v>
      </c>
      <c r="H24" s="253" t="s">
        <v>10</v>
      </c>
      <c r="I24" s="253" t="s">
        <v>10</v>
      </c>
      <c r="J24" s="253" t="s">
        <v>10</v>
      </c>
      <c r="K24" s="253" t="s">
        <v>10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400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8" orientation="landscape" horizontalDpi="0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8" width="17.7109375" style="266" customWidth="1"/>
    <col min="9" max="9" width="17" style="266" customWidth="1"/>
    <col min="10" max="11" width="17.7109375" style="266" customWidth="1"/>
    <col min="12" max="16384" width="9.140625" style="266"/>
  </cols>
  <sheetData>
    <row r="1" spans="1:11">
      <c r="A1" s="456" t="s">
        <v>582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'18D'!L5*1000/'19D'!B17</f>
        <v>35.861587135241138</v>
      </c>
      <c r="C4" s="253">
        <f>'18D'!M5*1000/'19D'!C17</f>
        <v>19.827586206896552</v>
      </c>
      <c r="D4" s="253">
        <f>'18D'!N5*1000/'19D'!D17</f>
        <v>19.897225077081192</v>
      </c>
      <c r="E4" s="253">
        <f>'18D'!O5*1000/'19D'!E17</f>
        <v>13.820404890759672</v>
      </c>
      <c r="F4" s="253">
        <f>'18D'!P5*1000/'19D'!F17</f>
        <v>16.469750889679716</v>
      </c>
      <c r="G4" s="253"/>
      <c r="H4" s="253"/>
      <c r="I4" s="253">
        <f>'18D'!S5*1000/'19D'!I17</f>
        <v>30.749496060106285</v>
      </c>
      <c r="J4" s="253"/>
      <c r="K4" s="253"/>
    </row>
    <row r="5" spans="1:11" s="332" customFormat="1">
      <c r="A5" s="333">
        <v>2001</v>
      </c>
      <c r="B5" s="253">
        <f>'18D'!L6*1000/'19D'!B18</f>
        <v>36.876857048530866</v>
      </c>
      <c r="C5" s="253">
        <f>'18D'!M6*1000/'19D'!C18</f>
        <v>23.538437931563607</v>
      </c>
      <c r="D5" s="253">
        <f>'18D'!N6*1000/'19D'!D18</f>
        <v>24.496056091148116</v>
      </c>
      <c r="E5" s="253">
        <f>'18D'!O6*1000/'19D'!E18</f>
        <v>13.939521652091456</v>
      </c>
      <c r="F5" s="253">
        <f>'18D'!P6*1000/'19D'!F18</f>
        <v>14.243716007643686</v>
      </c>
      <c r="G5" s="253"/>
      <c r="H5" s="253"/>
      <c r="I5" s="253">
        <f>'18D'!S6*1000/'19D'!I18</f>
        <v>39.319505094614264</v>
      </c>
      <c r="J5" s="253"/>
      <c r="K5" s="253"/>
    </row>
    <row r="6" spans="1:11" s="332" customFormat="1">
      <c r="A6" s="333">
        <v>2002</v>
      </c>
      <c r="B6" s="253">
        <f>'18D'!L7*1000/'19D'!B19</f>
        <v>37.927602692945655</v>
      </c>
      <c r="C6" s="253">
        <f>'18D'!M7*1000/'19D'!C19</f>
        <v>27.62387826765509</v>
      </c>
      <c r="D6" s="253">
        <f>'18D'!N7*1000/'19D'!D19</f>
        <v>26.153186011585497</v>
      </c>
      <c r="E6" s="253">
        <f>'18D'!O7*1000/'19D'!E19</f>
        <v>20.710263188139294</v>
      </c>
      <c r="F6" s="253">
        <f>'18D'!P7*1000/'19D'!F19</f>
        <v>20.677743049843723</v>
      </c>
      <c r="G6" s="253"/>
      <c r="H6" s="253"/>
      <c r="I6" s="253">
        <f>'18D'!S7*1000/'19D'!I19</f>
        <v>42.258134963965929</v>
      </c>
      <c r="J6" s="253"/>
      <c r="K6" s="253"/>
    </row>
    <row r="7" spans="1:11" s="332" customFormat="1">
      <c r="A7" s="333">
        <v>2003</v>
      </c>
      <c r="B7" s="253">
        <f>'18D'!L8*1000/'19D'!B20</f>
        <v>38.149798893981227</v>
      </c>
      <c r="C7" s="253">
        <f>'18D'!M8*1000/'19D'!C20</f>
        <v>26.449115044247787</v>
      </c>
      <c r="D7" s="253">
        <f>'18D'!N8*1000/'19D'!D20</f>
        <v>25.384615384615383</v>
      </c>
      <c r="E7" s="253">
        <f>'18D'!O8*1000/'19D'!E20</f>
        <v>20.232226968999889</v>
      </c>
      <c r="F7" s="253"/>
      <c r="G7" s="253"/>
      <c r="H7" s="253"/>
      <c r="I7" s="253">
        <f>'18D'!S8*1000/'19D'!I20</f>
        <v>40.013242109909513</v>
      </c>
      <c r="J7" s="253"/>
      <c r="K7" s="253"/>
    </row>
    <row r="8" spans="1:11" s="332" customFormat="1">
      <c r="A8" s="333">
        <v>2004</v>
      </c>
      <c r="B8" s="253">
        <f>'18D'!L9*1000/'19D'!B21</f>
        <v>38.734793501562621</v>
      </c>
      <c r="C8" s="253"/>
      <c r="D8" s="253">
        <f>'18D'!N9*1000/'19D'!D21</f>
        <v>22.153911384354462</v>
      </c>
      <c r="E8" s="253">
        <f>'18D'!O9*1000/'19D'!E21</f>
        <v>21.143497757847534</v>
      </c>
      <c r="F8" s="253"/>
      <c r="G8" s="253"/>
      <c r="H8" s="253"/>
      <c r="I8" s="253"/>
      <c r="J8" s="253"/>
      <c r="K8" s="253"/>
    </row>
    <row r="9" spans="1:11" s="332" customFormat="1">
      <c r="A9" s="333">
        <v>2005</v>
      </c>
      <c r="B9" s="253">
        <f>'18D'!L10*1000/'19D'!B22</f>
        <v>38.560482045650801</v>
      </c>
      <c r="C9" s="253"/>
      <c r="D9" s="253">
        <f>'18D'!N10*1000/'19D'!D22</f>
        <v>22.598373268850295</v>
      </c>
      <c r="E9" s="253">
        <f>'18D'!O10*1000/'19D'!E22</f>
        <v>20.02301495972382</v>
      </c>
      <c r="F9" s="253"/>
      <c r="G9" s="253"/>
      <c r="H9" s="253"/>
      <c r="I9" s="253"/>
      <c r="J9" s="253"/>
      <c r="K9" s="253"/>
    </row>
    <row r="10" spans="1:11" s="332" customFormat="1">
      <c r="A10" s="333">
        <v>2006</v>
      </c>
      <c r="B10" s="253">
        <f>'18D'!L11*1000/'19D'!B23</f>
        <v>38.914932707773097</v>
      </c>
      <c r="C10" s="253"/>
      <c r="D10" s="253">
        <f>'18D'!N11*1000/'19D'!D23</f>
        <v>22.236024844720497</v>
      </c>
      <c r="E10" s="253">
        <f>'18D'!O11*1000/'19D'!E23</f>
        <v>20.865862313697658</v>
      </c>
      <c r="F10" s="253"/>
      <c r="G10" s="253"/>
      <c r="H10" s="253">
        <f>'18D'!R11*1000/'19D'!H23</f>
        <v>21.779548472775563</v>
      </c>
      <c r="I10" s="253"/>
      <c r="J10" s="253"/>
      <c r="K10" s="253"/>
    </row>
    <row r="11" spans="1:11">
      <c r="A11" s="260">
        <v>2007</v>
      </c>
      <c r="B11" s="253">
        <f>'18D'!L12*1000/'19D'!B24</f>
        <v>38.900719107811156</v>
      </c>
      <c r="C11" s="253"/>
      <c r="D11" s="253">
        <f>'18D'!N12*1000/'19D'!D24</f>
        <v>21.71875</v>
      </c>
      <c r="E11" s="253">
        <f>'18D'!O12*1000/'19D'!E24</f>
        <v>20.087815587266739</v>
      </c>
      <c r="F11" s="253">
        <f>'18D'!P12*1000/'19D'!F24</f>
        <v>17.659023668639055</v>
      </c>
      <c r="G11" s="253">
        <f>'18D'!Q12*1000/'19D'!G24</f>
        <v>32.587859424920126</v>
      </c>
      <c r="H11" s="253">
        <f>'18D'!R12*1000/'19D'!H24</f>
        <v>18.453541260558804</v>
      </c>
      <c r="I11" s="253"/>
      <c r="J11" s="253"/>
      <c r="K11" s="253"/>
    </row>
    <row r="12" spans="1:11">
      <c r="A12" s="260">
        <v>2008</v>
      </c>
      <c r="B12" s="253">
        <f>'18D'!L13*1000/'19D'!B25</f>
        <v>39.432888588751126</v>
      </c>
      <c r="C12" s="253"/>
      <c r="D12" s="253">
        <f>'18D'!N13*1000/'19D'!D25</f>
        <v>25.036137612026597</v>
      </c>
      <c r="E12" s="253">
        <f>'18D'!O13*1000/'19D'!E25</f>
        <v>21.413721413721415</v>
      </c>
      <c r="F12" s="253">
        <f>'18D'!P13*1000/'19D'!F25</f>
        <v>18.816878659398345</v>
      </c>
      <c r="G12" s="253">
        <f>'18D'!Q13*1000/'19D'!G25</f>
        <v>34.262948207171313</v>
      </c>
      <c r="H12" s="253">
        <f>'18D'!R13*1000/'19D'!H25</f>
        <v>19.19463087248322</v>
      </c>
      <c r="I12" s="253"/>
      <c r="J12" s="253"/>
      <c r="K12" s="253"/>
    </row>
    <row r="13" spans="1:11">
      <c r="A13" s="260">
        <v>2009</v>
      </c>
      <c r="B13" s="253">
        <f>'18D'!L14*1000/'19D'!B26</f>
        <v>39.738331161505293</v>
      </c>
      <c r="C13" s="253"/>
      <c r="D13" s="253">
        <f>'18D'!N14*1000/'19D'!D26</f>
        <v>24.591329068941008</v>
      </c>
      <c r="E13" s="253">
        <f>'18D'!O14*1000/'19D'!E26</f>
        <v>23.783783783783782</v>
      </c>
      <c r="F13" s="253">
        <f>'18D'!P14*1000/'19D'!F26</f>
        <v>21.991493620215163</v>
      </c>
      <c r="G13" s="253">
        <f>'18D'!Q14*1000/'19D'!G26</f>
        <v>35.68118628359592</v>
      </c>
      <c r="H13" s="253">
        <f>'18D'!R14*1000/'19D'!H26</f>
        <v>19.571428571428573</v>
      </c>
      <c r="I13" s="253"/>
      <c r="J13" s="253"/>
      <c r="K13" s="253"/>
    </row>
    <row r="14" spans="1:11">
      <c r="A14" s="260">
        <v>2010</v>
      </c>
      <c r="B14" s="253">
        <f>'18D'!L15*1000/'19D'!B27</f>
        <v>40.645494910922501</v>
      </c>
      <c r="C14" s="253"/>
      <c r="D14" s="253">
        <f>'18D'!N15*1000/'19D'!D27</f>
        <v>27.089041095890412</v>
      </c>
      <c r="E14" s="253">
        <f>'18D'!O15*1000/'19D'!E27</f>
        <v>29.223976906096112</v>
      </c>
      <c r="F14" s="253"/>
      <c r="G14" s="253">
        <f>'18D'!Q15*1000/'19D'!G27</f>
        <v>42.656587473002162</v>
      </c>
      <c r="H14" s="253"/>
      <c r="I14" s="253"/>
      <c r="J14" s="253"/>
      <c r="K14" s="253"/>
    </row>
    <row r="15" spans="1:11">
      <c r="A15" s="260">
        <v>2011</v>
      </c>
      <c r="B15" s="253">
        <f>'18D'!L16*1000/'19D'!B28</f>
        <v>41.350479724677562</v>
      </c>
      <c r="C15" s="253"/>
      <c r="D15" s="253">
        <f>'18D'!N16*1000/'19D'!D28</f>
        <v>27.188584650983415</v>
      </c>
      <c r="E15" s="253">
        <f>'18D'!O16*1000/'19D'!E28</f>
        <v>40.425012212994623</v>
      </c>
      <c r="F15" s="253"/>
      <c r="G15" s="253"/>
      <c r="H15" s="253"/>
      <c r="I15" s="253"/>
      <c r="J15" s="253"/>
      <c r="K15" s="253"/>
    </row>
    <row r="16" spans="1:11">
      <c r="A16" s="260">
        <v>2012</v>
      </c>
      <c r="B16" s="253">
        <f>'18D'!L17*1000/'19D'!B29</f>
        <v>40.954423686157668</v>
      </c>
      <c r="C16" s="253"/>
      <c r="D16" s="253">
        <f>'18D'!N17*1000/'19D'!D29</f>
        <v>23.325635103926096</v>
      </c>
      <c r="E16" s="253">
        <f>'18D'!O17*1000/'19D'!E29</f>
        <v>36.082474226804123</v>
      </c>
      <c r="F16" s="253"/>
      <c r="G16" s="253">
        <f>'18D'!Q17*1000/'19D'!G29</f>
        <v>40.481927710843372</v>
      </c>
      <c r="H16" s="253"/>
      <c r="I16" s="253"/>
      <c r="J16" s="253"/>
      <c r="K16" s="253"/>
    </row>
    <row r="17" spans="1:11">
      <c r="A17" s="260">
        <v>2013</v>
      </c>
      <c r="B17" s="253">
        <f>'18D'!L18*1000/'19D'!B30</f>
        <v>41.617781122393573</v>
      </c>
      <c r="C17" s="253"/>
      <c r="D17" s="253">
        <f>'18D'!N18*1000/'19D'!D30</f>
        <v>27.713498622589533</v>
      </c>
      <c r="E17" s="253">
        <f>'18D'!O18*1000/'19D'!E30</f>
        <v>31.771530566711288</v>
      </c>
      <c r="F17" s="253"/>
      <c r="G17" s="253">
        <f>'18D'!Q18*1000/'19D'!G30</f>
        <v>33.999999999999993</v>
      </c>
      <c r="H17" s="253"/>
      <c r="I17" s="253"/>
      <c r="J17" s="253"/>
      <c r="K17" s="253"/>
    </row>
    <row r="18" spans="1:11">
      <c r="A18" s="265"/>
      <c r="B18" s="358"/>
      <c r="C18" s="253"/>
      <c r="D18" s="358"/>
      <c r="E18" s="358"/>
      <c r="F18" s="358"/>
      <c r="G18" s="358"/>
      <c r="H18" s="358"/>
      <c r="I18" s="358"/>
      <c r="J18" s="358"/>
      <c r="K18" s="358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1.1688643080983052</v>
      </c>
      <c r="C20" s="253"/>
      <c r="D20" s="253">
        <f t="shared" ref="D20:E20" si="0">((D11/D4)^(1/7)-1)*100</f>
        <v>1.2592289839051363</v>
      </c>
      <c r="E20" s="253">
        <f t="shared" si="0"/>
        <v>5.4876716544809634</v>
      </c>
      <c r="F20" s="253"/>
      <c r="G20" s="253"/>
      <c r="H20" s="253"/>
      <c r="I20" s="253"/>
      <c r="J20" s="253"/>
      <c r="K20" s="253"/>
    </row>
    <row r="21" spans="1:11">
      <c r="A21" s="320" t="s">
        <v>368</v>
      </c>
      <c r="B21" s="253">
        <f>((B14/B11)^(1/3)-1)*100</f>
        <v>1.4732558906427773</v>
      </c>
      <c r="C21" s="253"/>
      <c r="D21" s="253">
        <f t="shared" ref="D21:G21" si="1">((D14/D11)^(1/3)-1)*100</f>
        <v>7.6431178778154418</v>
      </c>
      <c r="E21" s="253">
        <f t="shared" si="1"/>
        <v>13.31016390198938</v>
      </c>
      <c r="F21" s="253"/>
      <c r="G21" s="253">
        <f t="shared" si="1"/>
        <v>9.389782353496944</v>
      </c>
      <c r="H21" s="253"/>
      <c r="I21" s="253"/>
      <c r="J21" s="253"/>
      <c r="K21" s="253"/>
    </row>
    <row r="22" spans="1:11">
      <c r="A22" s="320" t="s">
        <v>392</v>
      </c>
      <c r="B22" s="253">
        <f>((B17/B14)^(1/3)-1)*100</f>
        <v>0.7910962007831035</v>
      </c>
      <c r="C22" s="253"/>
      <c r="D22" s="253">
        <f t="shared" ref="D22:E22" si="2">((D17/D14)^(1/3)-1)*100</f>
        <v>0.76257124013972</v>
      </c>
      <c r="E22" s="253">
        <f t="shared" si="2"/>
        <v>2.8252104473063477</v>
      </c>
      <c r="F22" s="253"/>
      <c r="G22" s="253"/>
      <c r="H22" s="253"/>
      <c r="I22" s="253"/>
      <c r="J22" s="253"/>
      <c r="K22" s="253"/>
    </row>
    <row r="23" spans="1:11">
      <c r="A23" s="285" t="s">
        <v>69</v>
      </c>
      <c r="B23" s="253">
        <f>IFERROR(((B17/B11)^(1/6)-1)*100,"n.a.")</f>
        <v>1.1316008786593779</v>
      </c>
      <c r="C23" s="253"/>
      <c r="D23" s="253">
        <f t="shared" ref="D23:G23" si="3">IFERROR(((D17/D11)^(1/6)-1)*100,"n.a.")</f>
        <v>4.1460384924656424</v>
      </c>
      <c r="E23" s="253">
        <f t="shared" si="3"/>
        <v>7.9404532556762497</v>
      </c>
      <c r="F23" s="253"/>
      <c r="G23" s="253">
        <f t="shared" si="3"/>
        <v>0.70951716136631315</v>
      </c>
      <c r="H23" s="253"/>
      <c r="I23" s="253"/>
      <c r="J23" s="253"/>
      <c r="K23" s="253"/>
    </row>
    <row r="24" spans="1:11" s="352" customFormat="1">
      <c r="A24" s="355" t="s">
        <v>15</v>
      </c>
      <c r="B24" s="253">
        <f>((B17/B4)^(1/13)-1)*100</f>
        <v>1.1516640963826319</v>
      </c>
      <c r="C24" s="253"/>
      <c r="D24" s="253">
        <f t="shared" ref="D24:E24" si="4">((D17/D4)^(1/13)-1)*100</f>
        <v>2.5815227963702281</v>
      </c>
      <c r="E24" s="253">
        <f t="shared" si="4"/>
        <v>6.6127212022715876</v>
      </c>
      <c r="F24" s="253"/>
      <c r="G24" s="253"/>
      <c r="H24" s="253"/>
      <c r="I24" s="253"/>
      <c r="J24" s="253"/>
      <c r="K24" s="253"/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401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5" orientation="landscape" horizontalDpi="0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8" width="16.5703125" style="266" customWidth="1"/>
    <col min="9" max="9" width="17" style="266" customWidth="1"/>
    <col min="10" max="11" width="16.5703125" style="266" customWidth="1"/>
    <col min="12" max="16384" width="9.140625" style="266"/>
  </cols>
  <sheetData>
    <row r="1" spans="1:11" ht="15" customHeight="1">
      <c r="A1" s="493" t="s">
        <v>583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351"/>
      <c r="H3" s="265"/>
      <c r="I3" s="253"/>
      <c r="J3" s="265"/>
      <c r="K3" s="265"/>
    </row>
    <row r="4" spans="1:11" s="332" customFormat="1">
      <c r="A4" s="333">
        <v>2000</v>
      </c>
      <c r="B4" s="253">
        <f>'18E'!L5*1000/'19E'!B17</f>
        <v>35.265477588632343</v>
      </c>
      <c r="C4" s="253">
        <f>'18E'!M5*1000/'19E'!C17</f>
        <v>30.324616185271925</v>
      </c>
      <c r="D4" s="253">
        <f>'18E'!N5*1000/'19E'!D17</f>
        <v>19.036697247706421</v>
      </c>
      <c r="E4" s="253">
        <f>'18E'!O5*1000/'19E'!E17</f>
        <v>32.270881158396612</v>
      </c>
      <c r="F4" s="253">
        <f>'18E'!P5*1000/'19E'!F17</f>
        <v>26.74727610948711</v>
      </c>
      <c r="G4" s="253">
        <f>'18E'!Q5*1000/'19E'!G17</f>
        <v>60.219780219780219</v>
      </c>
      <c r="H4" s="253">
        <f>'18E'!R5*1000/'19E'!H17</f>
        <v>28.911704312114988</v>
      </c>
      <c r="I4" s="253">
        <f>'18E'!S5*1000/'19E'!I17</f>
        <v>42.181263207325664</v>
      </c>
      <c r="J4" s="253"/>
      <c r="K4" s="253"/>
    </row>
    <row r="5" spans="1:11" s="332" customFormat="1">
      <c r="A5" s="333">
        <v>2001</v>
      </c>
      <c r="B5" s="253">
        <f>'18E'!L6*1000/'19E'!B18</f>
        <v>36.425358289068228</v>
      </c>
      <c r="C5" s="253">
        <f>'18E'!M6*1000/'19E'!C18</f>
        <v>28.863976559763049</v>
      </c>
      <c r="D5" s="253">
        <f>'18E'!N6*1000/'19E'!D18</f>
        <v>22.614379084967322</v>
      </c>
      <c r="E5" s="253">
        <f>'18E'!O6*1000/'19E'!E18</f>
        <v>29.322882999353588</v>
      </c>
      <c r="F5" s="253">
        <f>'18E'!P6*1000/'19E'!F18</f>
        <v>23.249400479616305</v>
      </c>
      <c r="G5" s="253">
        <f>'18E'!Q6*1000/'19E'!G18</f>
        <v>57.310704960835508</v>
      </c>
      <c r="H5" s="253">
        <f>'18E'!R6*1000/'19E'!H18</f>
        <v>30.363563723531762</v>
      </c>
      <c r="I5" s="253">
        <f>'18E'!S6*1000/'19E'!I18</f>
        <v>36.232407073258749</v>
      </c>
      <c r="J5" s="253"/>
      <c r="K5" s="253"/>
    </row>
    <row r="6" spans="1:11" s="332" customFormat="1">
      <c r="A6" s="333">
        <v>2002</v>
      </c>
      <c r="B6" s="253">
        <f>'18E'!L7*1000/'19E'!B19</f>
        <v>36.705063232839464</v>
      </c>
      <c r="C6" s="253">
        <f>'18E'!M7*1000/'19E'!C19</f>
        <v>30.475513232747961</v>
      </c>
      <c r="D6" s="253">
        <f>'18E'!N7*1000/'19E'!D19</f>
        <v>22.565855285095033</v>
      </c>
      <c r="E6" s="253">
        <f>'18E'!O7*1000/'19E'!E19</f>
        <v>33.080874031513886</v>
      </c>
      <c r="F6" s="253">
        <f>'18E'!P7*1000/'19E'!F19</f>
        <v>25.211482457356816</v>
      </c>
      <c r="G6" s="253"/>
      <c r="H6" s="253">
        <f>'18E'!R7*1000/'19E'!H19</f>
        <v>37.057408044001377</v>
      </c>
      <c r="I6" s="253">
        <f>'18E'!S7*1000/'19E'!I19</f>
        <v>37.806116691118383</v>
      </c>
      <c r="J6" s="253">
        <f>'18E'!T7*1000/'19E'!J19</f>
        <v>37.6956879978028</v>
      </c>
      <c r="K6" s="253">
        <f>'18E'!U7*1000/'19E'!K19</f>
        <v>34.262191260291324</v>
      </c>
    </row>
    <row r="7" spans="1:11" s="332" customFormat="1">
      <c r="A7" s="333">
        <v>2003</v>
      </c>
      <c r="B7" s="253">
        <f>'18E'!L8*1000/'19E'!B20</f>
        <v>37.787626844375005</v>
      </c>
      <c r="C7" s="253">
        <f>'18E'!M8*1000/'19E'!C20</f>
        <v>34.213239843266656</v>
      </c>
      <c r="D7" s="253">
        <f>'18E'!N8*1000/'19E'!D20</f>
        <v>26.989114577488497</v>
      </c>
      <c r="E7" s="253">
        <f>'18E'!O8*1000/'19E'!E20</f>
        <v>34.909190471844482</v>
      </c>
      <c r="F7" s="253">
        <f>'18E'!P8*1000/'19E'!F20</f>
        <v>27.16030534351145</v>
      </c>
      <c r="G7" s="253">
        <f>'18E'!Q8*1000/'19E'!G20</f>
        <v>74.202496532593614</v>
      </c>
      <c r="H7" s="253">
        <f>'18E'!R8*1000/'19E'!H20</f>
        <v>40.168634064080948</v>
      </c>
      <c r="I7" s="253">
        <f>'18E'!S8*1000/'19E'!I20</f>
        <v>40.364188163884677</v>
      </c>
      <c r="J7" s="253">
        <f>'18E'!T8*1000/'19E'!J20</f>
        <v>40.109746537758035</v>
      </c>
      <c r="K7" s="253">
        <f>'18E'!U8*1000/'19E'!K20</f>
        <v>35.496183206106871</v>
      </c>
    </row>
    <row r="8" spans="1:11" s="332" customFormat="1">
      <c r="A8" s="333">
        <v>2004</v>
      </c>
      <c r="B8" s="253">
        <f>'18E'!L9*1000/'19E'!B21</f>
        <v>38.445352673895755</v>
      </c>
      <c r="C8" s="253"/>
      <c r="D8" s="253">
        <f>'18E'!N9*1000/'19E'!D21</f>
        <v>35.818561001042752</v>
      </c>
      <c r="E8" s="253">
        <f>'18E'!O9*1000/'19E'!E21</f>
        <v>33.933024581403636</v>
      </c>
      <c r="F8" s="253">
        <f>'18E'!P9*1000/'19E'!F21</f>
        <v>25.798192771084338</v>
      </c>
      <c r="G8" s="253">
        <f>'18E'!Q9*1000/'19E'!G21</f>
        <v>85.931834662799133</v>
      </c>
      <c r="H8" s="253">
        <f>'18E'!R9*1000/'19E'!H21</f>
        <v>34.216266749766284</v>
      </c>
      <c r="I8" s="253"/>
      <c r="J8" s="253"/>
      <c r="K8" s="253"/>
    </row>
    <row r="9" spans="1:11" s="332" customFormat="1">
      <c r="A9" s="333">
        <v>2005</v>
      </c>
      <c r="B9" s="253">
        <f>'18E'!L10*1000/'19E'!B22</f>
        <v>39.437593473503192</v>
      </c>
      <c r="C9" s="253"/>
      <c r="D9" s="253">
        <f>'18E'!N10*1000/'19E'!D22</f>
        <v>29.227351271291038</v>
      </c>
      <c r="E9" s="253">
        <f>'18E'!O10*1000/'19E'!E22</f>
        <v>37.483085250338299</v>
      </c>
      <c r="F9" s="253">
        <f>'18E'!P10*1000/'19E'!F22</f>
        <v>31.800704902274912</v>
      </c>
      <c r="G9" s="253">
        <f>'18E'!Q10*1000/'19E'!G22</f>
        <v>109.375</v>
      </c>
      <c r="H9" s="253">
        <f>'18E'!R10*1000/'19E'!H22</f>
        <v>25.530503978779841</v>
      </c>
      <c r="I9" s="253"/>
      <c r="J9" s="253"/>
      <c r="K9" s="253"/>
    </row>
    <row r="10" spans="1:11" s="332" customFormat="1">
      <c r="A10" s="333">
        <v>2006</v>
      </c>
      <c r="B10" s="253">
        <f>'18E'!L11*1000/'19E'!B23</f>
        <v>39.822862242338331</v>
      </c>
      <c r="C10" s="253"/>
      <c r="D10" s="253">
        <f>'18E'!N11*1000/'19E'!D23</f>
        <v>30.673036391738091</v>
      </c>
      <c r="E10" s="253">
        <f>'18E'!O11*1000/'19E'!E23</f>
        <v>34.920962909391463</v>
      </c>
      <c r="F10" s="253">
        <f>'18E'!P11*1000/'19E'!F23</f>
        <v>32.177479492915737</v>
      </c>
      <c r="G10" s="253">
        <f>'18E'!Q11*1000/'19E'!G23</f>
        <v>64.824120603015075</v>
      </c>
      <c r="H10" s="253">
        <f>'18E'!R11*1000/'19E'!H23</f>
        <v>24.825560044069043</v>
      </c>
      <c r="I10" s="253"/>
      <c r="J10" s="253"/>
      <c r="K10" s="253"/>
    </row>
    <row r="11" spans="1:11">
      <c r="A11" s="260">
        <v>2007</v>
      </c>
      <c r="B11" s="253">
        <f>'18E'!L12*1000/'19E'!B24</f>
        <v>39.868160966118417</v>
      </c>
      <c r="C11" s="253"/>
      <c r="D11" s="253">
        <f>'18E'!N12*1000/'19E'!D24</f>
        <v>34.364312267657994</v>
      </c>
      <c r="E11" s="253">
        <f>'18E'!O12*1000/'19E'!E24</f>
        <v>30.800527820541017</v>
      </c>
      <c r="F11" s="253">
        <f>'18E'!P12*1000/'19E'!F24</f>
        <v>30.592236894757903</v>
      </c>
      <c r="G11" s="253">
        <f>'18E'!Q12*1000/'19E'!G24</f>
        <v>50.041017227235436</v>
      </c>
      <c r="H11" s="253">
        <f>'18E'!R12*1000/'19E'!H24</f>
        <v>23.018080667593882</v>
      </c>
      <c r="I11" s="253"/>
      <c r="J11" s="253"/>
      <c r="K11" s="253"/>
    </row>
    <row r="12" spans="1:11">
      <c r="A12" s="260">
        <v>2008</v>
      </c>
      <c r="B12" s="253">
        <f>'18E'!L13*1000/'19E'!B25</f>
        <v>40.169109096929702</v>
      </c>
      <c r="C12" s="253"/>
      <c r="D12" s="253">
        <f>'18E'!N13*1000/'19E'!D25</f>
        <v>42.842775729131745</v>
      </c>
      <c r="E12" s="253">
        <f>'18E'!O13*1000/'19E'!E25</f>
        <v>28.633575013943112</v>
      </c>
      <c r="F12" s="253"/>
      <c r="G12" s="253">
        <f>'18E'!Q13*1000/'19E'!G25</f>
        <v>41.639072847682122</v>
      </c>
      <c r="H12" s="253"/>
      <c r="I12" s="253"/>
      <c r="J12" s="253"/>
      <c r="K12" s="253"/>
    </row>
    <row r="13" spans="1:11">
      <c r="A13" s="260">
        <v>2009</v>
      </c>
      <c r="B13" s="253">
        <f>'18E'!L14*1000/'19E'!B26</f>
        <v>39.879410430347448</v>
      </c>
      <c r="C13" s="253"/>
      <c r="D13" s="253">
        <f>'18E'!N14*1000/'19E'!D26</f>
        <v>37.002609262883233</v>
      </c>
      <c r="E13" s="253">
        <f>'18E'!O14*1000/'19E'!E26</f>
        <v>25.595375722543352</v>
      </c>
      <c r="F13" s="253"/>
      <c r="G13" s="253">
        <f>'18E'!Q14*1000/'19E'!G26</f>
        <v>32.832618025751074</v>
      </c>
      <c r="H13" s="253"/>
      <c r="I13" s="253"/>
      <c r="J13" s="253"/>
      <c r="K13" s="253"/>
    </row>
    <row r="14" spans="1:11">
      <c r="A14" s="260">
        <v>2010</v>
      </c>
      <c r="B14" s="253">
        <f>'18E'!L15*1000/'19E'!B27</f>
        <v>40.713819760045737</v>
      </c>
      <c r="C14" s="253"/>
      <c r="D14" s="253">
        <f>'18E'!N15*1000/'19E'!D27</f>
        <v>38.478581979320531</v>
      </c>
      <c r="E14" s="253">
        <f>'18E'!O15*1000/'19E'!E27</f>
        <v>27.148542540604495</v>
      </c>
      <c r="F14" s="253"/>
      <c r="G14" s="253"/>
      <c r="H14" s="253"/>
      <c r="I14" s="253"/>
      <c r="J14" s="253"/>
      <c r="K14" s="253"/>
    </row>
    <row r="15" spans="1:11">
      <c r="A15" s="260">
        <v>2011</v>
      </c>
      <c r="B15" s="253">
        <f>'18E'!L16*1000/'19E'!B28</f>
        <v>42.258485179572126</v>
      </c>
      <c r="C15" s="253"/>
      <c r="D15" s="253">
        <f>'18E'!N16*1000/'19E'!D28</f>
        <v>37.871096754345487</v>
      </c>
      <c r="E15" s="253">
        <f>'18E'!O16*1000/'19E'!E28</f>
        <v>31.717561584742878</v>
      </c>
      <c r="F15" s="253"/>
      <c r="G15" s="253"/>
      <c r="H15" s="253">
        <f>'18E'!R16*1000/'19E'!H28</f>
        <v>22.986942328618063</v>
      </c>
      <c r="I15" s="253"/>
      <c r="J15" s="253"/>
      <c r="K15" s="253"/>
    </row>
    <row r="16" spans="1:11">
      <c r="A16" s="260">
        <v>2012</v>
      </c>
      <c r="B16" s="253">
        <f>'18E'!L17*1000/'19E'!B29</f>
        <v>41.215246615626668</v>
      </c>
      <c r="C16" s="253"/>
      <c r="D16" s="253">
        <f>'18E'!N17*1000/'19E'!D29</f>
        <v>44.945075404952526</v>
      </c>
      <c r="E16" s="253">
        <f>'18E'!O17*1000/'19E'!E29</f>
        <v>28.767401686820445</v>
      </c>
      <c r="F16" s="253"/>
      <c r="G16" s="253"/>
      <c r="H16" s="253">
        <f>'18E'!R17*1000/'19E'!H29</f>
        <v>19.744922059518185</v>
      </c>
      <c r="I16" s="253"/>
      <c r="J16" s="253"/>
      <c r="K16" s="253"/>
    </row>
    <row r="17" spans="1:11">
      <c r="A17" s="260">
        <v>2013</v>
      </c>
      <c r="B17" s="253">
        <f>'18E'!L18*1000/'19E'!B30</f>
        <v>41.43637013786801</v>
      </c>
      <c r="C17" s="253"/>
      <c r="D17" s="253">
        <f>'18E'!N18*1000/'19E'!D30</f>
        <v>46.619148526295511</v>
      </c>
      <c r="E17" s="253">
        <f>'18E'!O18*1000/'19E'!E30</f>
        <v>31.450604418507712</v>
      </c>
      <c r="F17" s="253"/>
      <c r="G17" s="253"/>
      <c r="H17" s="253">
        <f>'18E'!R18*1000/'19E'!H30</f>
        <v>21.142589557480683</v>
      </c>
      <c r="I17" s="253"/>
      <c r="J17" s="253"/>
      <c r="K17" s="253"/>
    </row>
    <row r="18" spans="1:11">
      <c r="A18" s="265"/>
      <c r="B18" s="358"/>
      <c r="C18" s="358"/>
      <c r="D18" s="358"/>
      <c r="E18" s="358"/>
      <c r="F18" s="358"/>
      <c r="G18" s="358"/>
      <c r="H18" s="358"/>
      <c r="I18" s="358"/>
      <c r="J18" s="358"/>
      <c r="K18" s="358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1.7679248820684945</v>
      </c>
      <c r="C20" s="253" t="s">
        <v>9</v>
      </c>
      <c r="D20" s="253">
        <f t="shared" ref="D20:E20" si="0">((D11/D4)^(1/7)-1)*100</f>
        <v>8.8040723408500998</v>
      </c>
      <c r="E20" s="253">
        <f t="shared" si="0"/>
        <v>-0.66397849403924125</v>
      </c>
      <c r="F20" s="253" t="s">
        <v>9</v>
      </c>
      <c r="G20" s="253" t="s">
        <v>9</v>
      </c>
      <c r="H20" s="253" t="s">
        <v>9</v>
      </c>
      <c r="I20" s="253" t="s">
        <v>9</v>
      </c>
      <c r="J20" s="253" t="s">
        <v>9</v>
      </c>
      <c r="K20" s="253" t="s">
        <v>9</v>
      </c>
    </row>
    <row r="21" spans="1:11">
      <c r="A21" s="320" t="s">
        <v>368</v>
      </c>
      <c r="B21" s="253">
        <f>((B14/B11)^(1/3)-1)*100</f>
        <v>0.70210501703114048</v>
      </c>
      <c r="C21" s="253" t="str">
        <f>IFERROR(((C15/C2)^(1/6)-1)*100,"n.a.")</f>
        <v>n.a.</v>
      </c>
      <c r="D21" s="253">
        <f t="shared" ref="D21:E21" si="1">((D14/D11)^(1/3)-1)*100</f>
        <v>3.8413839047608311</v>
      </c>
      <c r="E21" s="253">
        <f t="shared" si="1"/>
        <v>-4.1196846950392612</v>
      </c>
      <c r="F21" s="253" t="str">
        <f t="shared" ref="F21:K22" si="2">IFERROR(((F15/F2)^(1/6)-1)*100,"n.a.")</f>
        <v>n.a.</v>
      </c>
      <c r="G21" s="253" t="str">
        <f t="shared" si="2"/>
        <v>n.a.</v>
      </c>
      <c r="H21" s="253" t="str">
        <f t="shared" si="2"/>
        <v>n.a.</v>
      </c>
      <c r="I21" s="253" t="str">
        <f t="shared" si="2"/>
        <v>n.a.</v>
      </c>
      <c r="J21" s="253" t="str">
        <f t="shared" si="2"/>
        <v>n.a.</v>
      </c>
      <c r="K21" s="253" t="str">
        <f t="shared" si="2"/>
        <v>n.a.</v>
      </c>
    </row>
    <row r="22" spans="1:11">
      <c r="A22" s="320" t="s">
        <v>392</v>
      </c>
      <c r="B22" s="253">
        <f>((B17/B14)^(1/3)-1)*100</f>
        <v>0.58810305090579718</v>
      </c>
      <c r="C22" s="253" t="str">
        <f>IFERROR(((C16/C3)^(1/6)-1)*100,"n.a.")</f>
        <v>n.a.</v>
      </c>
      <c r="D22" s="253">
        <f t="shared" ref="D22:E22" si="3">((D17/D14)^(1/3)-1)*100</f>
        <v>6.6060272566184075</v>
      </c>
      <c r="E22" s="253">
        <f t="shared" si="3"/>
        <v>5.0253551587733591</v>
      </c>
      <c r="F22" s="253" t="str">
        <f t="shared" si="2"/>
        <v>n.a.</v>
      </c>
      <c r="G22" s="253" t="str">
        <f t="shared" si="2"/>
        <v>n.a.</v>
      </c>
      <c r="H22" s="253" t="str">
        <f t="shared" si="2"/>
        <v>n.a.</v>
      </c>
      <c r="I22" s="253" t="str">
        <f t="shared" si="2"/>
        <v>n.a.</v>
      </c>
      <c r="J22" s="253" t="str">
        <f t="shared" si="2"/>
        <v>n.a.</v>
      </c>
      <c r="K22" s="253" t="str">
        <f t="shared" si="2"/>
        <v>n.a.</v>
      </c>
    </row>
    <row r="23" spans="1:11">
      <c r="A23" s="285" t="s">
        <v>69</v>
      </c>
      <c r="B23" s="253">
        <f>IFERROR(((B17/B11)^(1/6)-1)*100,"n.a.")</f>
        <v>0.64508789253585608</v>
      </c>
      <c r="C23" s="253" t="str">
        <f t="shared" ref="C23:K23" si="4">IFERROR(((C17/C11)^(1/6)-1)*100,"n.a.")</f>
        <v>n.a.</v>
      </c>
      <c r="D23" s="253">
        <f t="shared" si="4"/>
        <v>5.2146254230651667</v>
      </c>
      <c r="E23" s="253">
        <f t="shared" si="4"/>
        <v>0.34871283498694172</v>
      </c>
      <c r="F23" s="253"/>
      <c r="G23" s="253"/>
      <c r="H23" s="253">
        <f t="shared" si="4"/>
        <v>-1.4065239529612361</v>
      </c>
      <c r="I23" s="253" t="str">
        <f t="shared" si="4"/>
        <v>n.a.</v>
      </c>
      <c r="J23" s="253" t="str">
        <f t="shared" si="4"/>
        <v>n.a.</v>
      </c>
      <c r="K23" s="253" t="str">
        <f t="shared" si="4"/>
        <v>n.a.</v>
      </c>
    </row>
    <row r="24" spans="1:11" s="352" customFormat="1">
      <c r="A24" s="355" t="s">
        <v>15</v>
      </c>
      <c r="B24" s="253">
        <f>((B17/B4)^(1/13)-1)*100</f>
        <v>1.2481442409303378</v>
      </c>
      <c r="C24" s="253" t="s">
        <v>9</v>
      </c>
      <c r="D24" s="253">
        <f t="shared" ref="D24:E24" si="5">((D17/D4)^(1/13)-1)*100</f>
        <v>7.1324358602450344</v>
      </c>
      <c r="E24" s="253">
        <f t="shared" si="5"/>
        <v>-0.19785869450784643</v>
      </c>
      <c r="F24" s="253" t="s">
        <v>9</v>
      </c>
      <c r="G24" s="253" t="s">
        <v>9</v>
      </c>
      <c r="H24" s="253" t="s">
        <v>9</v>
      </c>
      <c r="I24" s="253" t="s">
        <v>9</v>
      </c>
      <c r="J24" s="253" t="s">
        <v>9</v>
      </c>
      <c r="K24" s="253" t="s">
        <v>9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402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9" orientation="landscape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activeCell="C22" sqref="C22"/>
    </sheetView>
  </sheetViews>
  <sheetFormatPr defaultRowHeight="15"/>
  <cols>
    <col min="1" max="1" width="12" style="266" customWidth="1"/>
    <col min="2" max="8" width="18" style="266" customWidth="1"/>
    <col min="9" max="9" width="17" style="266" customWidth="1"/>
    <col min="10" max="11" width="18" style="266" customWidth="1"/>
    <col min="12" max="16384" width="9.140625" style="266"/>
  </cols>
  <sheetData>
    <row r="1" spans="1:11">
      <c r="A1" s="456" t="s">
        <v>584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'18F'!L5*1000/'19F'!B17</f>
        <v>42.412733981433121</v>
      </c>
      <c r="C4" s="253">
        <f>'18F'!M5*1000/'19F'!C17</f>
        <v>37.919936312976233</v>
      </c>
      <c r="D4" s="253">
        <f>'18F'!N5*1000/'19F'!D17</f>
        <v>27.32431665563227</v>
      </c>
      <c r="E4" s="253">
        <f>'18F'!O5*1000/'19F'!E17</f>
        <v>29.715844845386165</v>
      </c>
      <c r="F4" s="253">
        <f>'18F'!P5*1000/'19F'!F17</f>
        <v>24.315885230988616</v>
      </c>
      <c r="G4" s="253">
        <f>'18F'!Q5*1000/'19F'!G17</f>
        <v>33.145689800033608</v>
      </c>
      <c r="H4" s="253">
        <f>'18F'!R5*1000/'19F'!H17</f>
        <v>36.698044391955264</v>
      </c>
      <c r="I4" s="253">
        <f>'18F'!S5*1000/'19F'!I17</f>
        <v>53.906685569555727</v>
      </c>
      <c r="J4" s="253">
        <f>'18F'!T5*1000/'19F'!J17</f>
        <v>56.28431518029381</v>
      </c>
      <c r="K4" s="253">
        <f>'18F'!U5*1000/'19F'!K17</f>
        <v>48.037416640558561</v>
      </c>
    </row>
    <row r="5" spans="1:11" s="332" customFormat="1">
      <c r="A5" s="333">
        <v>2001</v>
      </c>
      <c r="B5" s="253">
        <f>'18F'!L6*1000/'19F'!B18</f>
        <v>43.201632284309817</v>
      </c>
      <c r="C5" s="253">
        <f>'18F'!M6*1000/'19F'!C18</f>
        <v>41.846736806194372</v>
      </c>
      <c r="D5" s="253">
        <f>'18F'!N6*1000/'19F'!D18</f>
        <v>32.184032281308546</v>
      </c>
      <c r="E5" s="253">
        <f>'18F'!O6*1000/'19F'!E18</f>
        <v>33.734426441159385</v>
      </c>
      <c r="F5" s="253">
        <f>'18F'!P6*1000/'19F'!F18</f>
        <v>28.857816265459071</v>
      </c>
      <c r="G5" s="253">
        <f>'18F'!Q6*1000/'19F'!G18</f>
        <v>36.195161951619518</v>
      </c>
      <c r="H5" s="253">
        <f>'18F'!R6*1000/'19F'!H18</f>
        <v>39.081421142587004</v>
      </c>
      <c r="I5" s="253">
        <f>'18F'!S6*1000/'19F'!I18</f>
        <v>57.058264617055208</v>
      </c>
      <c r="J5" s="253">
        <f>'18F'!T6*1000/'19F'!J18</f>
        <v>59.427163372370302</v>
      </c>
      <c r="K5" s="253">
        <f>'18F'!U6*1000/'19F'!K18</f>
        <v>51.962634459331952</v>
      </c>
    </row>
    <row r="6" spans="1:11" s="332" customFormat="1">
      <c r="A6" s="333">
        <v>2002</v>
      </c>
      <c r="B6" s="253">
        <f>'18F'!L7*1000/'19F'!B19</f>
        <v>43.04552416853322</v>
      </c>
      <c r="C6" s="253">
        <f>'18F'!M7*1000/'19F'!C19</f>
        <v>45.396995842125634</v>
      </c>
      <c r="D6" s="253">
        <f>'18F'!N7*1000/'19F'!D19</f>
        <v>33.97876794258373</v>
      </c>
      <c r="E6" s="253">
        <f>'18F'!O7*1000/'19F'!E19</f>
        <v>36.537551631095027</v>
      </c>
      <c r="F6" s="253">
        <f>'18F'!P7*1000/'19F'!F19</f>
        <v>32.612607699858216</v>
      </c>
      <c r="G6" s="253">
        <f>'18F'!Q7*1000/'19F'!G19</f>
        <v>38.85565874390052</v>
      </c>
      <c r="H6" s="253">
        <f>'18F'!R7*1000/'19F'!H19</f>
        <v>39.844536211264185</v>
      </c>
      <c r="I6" s="253">
        <f>'18F'!S7*1000/'19F'!I19</f>
        <v>63.472576819309396</v>
      </c>
      <c r="J6" s="253">
        <f>'18F'!T7*1000/'19F'!J19</f>
        <v>66.300334602515292</v>
      </c>
      <c r="K6" s="253">
        <f>'18F'!U7*1000/'19F'!K19</f>
        <v>59.020380368694973</v>
      </c>
    </row>
    <row r="7" spans="1:11" s="332" customFormat="1">
      <c r="A7" s="333">
        <v>2003</v>
      </c>
      <c r="B7" s="253">
        <f>'18F'!L8*1000/'19F'!B20</f>
        <v>43.63958664900322</v>
      </c>
      <c r="C7" s="253">
        <f>'18F'!M8*1000/'19F'!C20</f>
        <v>43.955870664967769</v>
      </c>
      <c r="D7" s="253">
        <f>'18F'!N8*1000/'19F'!D20</f>
        <v>30.812641083521445</v>
      </c>
      <c r="E7" s="253">
        <f>'18F'!O8*1000/'19F'!E20</f>
        <v>35.605291236550158</v>
      </c>
      <c r="F7" s="253">
        <f>'18F'!P8*1000/'19F'!F20</f>
        <v>32.808322678135532</v>
      </c>
      <c r="G7" s="253">
        <f>'18F'!Q8*1000/'19F'!G20</f>
        <v>38.4622030237581</v>
      </c>
      <c r="H7" s="253">
        <f>'18F'!R8*1000/'19F'!H20</f>
        <v>38.418967360543363</v>
      </c>
      <c r="I7" s="253">
        <f>'18F'!S8*1000/'19F'!I20</f>
        <v>62.923478293511515</v>
      </c>
      <c r="J7" s="253">
        <f>'18F'!T8*1000/'19F'!J20</f>
        <v>65.124344191836855</v>
      </c>
      <c r="K7" s="253">
        <f>'18F'!U8*1000/'19F'!K20</f>
        <v>59.49541988639271</v>
      </c>
    </row>
    <row r="8" spans="1:11" s="332" customFormat="1">
      <c r="A8" s="333">
        <v>2004</v>
      </c>
      <c r="B8" s="253">
        <f>'18F'!L9*1000/'19F'!B21</f>
        <v>43.674879633295888</v>
      </c>
      <c r="C8" s="253">
        <f>'18F'!M9*1000/'19F'!C21</f>
        <v>43.555080687718657</v>
      </c>
      <c r="D8" s="253">
        <f>'18F'!N9*1000/'19F'!D21</f>
        <v>34.8283339356704</v>
      </c>
      <c r="E8" s="253">
        <f>'18F'!O9*1000/'19F'!E21</f>
        <v>35.917813529753829</v>
      </c>
      <c r="F8" s="253">
        <f>'18F'!P9*1000/'19F'!F21</f>
        <v>27.542043210245975</v>
      </c>
      <c r="G8" s="253">
        <f>'18F'!Q9*1000/'19F'!G21</f>
        <v>42.147017473388232</v>
      </c>
      <c r="H8" s="253">
        <f>'18F'!R9*1000/'19F'!H21</f>
        <v>47.72782418801345</v>
      </c>
      <c r="I8" s="253">
        <f>'18F'!S9*1000/'19F'!I21</f>
        <v>58.352146575368025</v>
      </c>
      <c r="J8" s="253">
        <f>'18F'!T9*1000/'19F'!J21</f>
        <v>57.427195866604038</v>
      </c>
      <c r="K8" s="253">
        <f>'18F'!U9*1000/'19F'!K21</f>
        <v>61.344322719361116</v>
      </c>
    </row>
    <row r="9" spans="1:11" s="332" customFormat="1">
      <c r="A9" s="333">
        <v>2005</v>
      </c>
      <c r="B9" s="253">
        <f>'18F'!L10*1000/'19F'!B22</f>
        <v>44.382182338380368</v>
      </c>
      <c r="C9" s="253">
        <f>'18F'!M10*1000/'19F'!C22</f>
        <v>46.783178236762751</v>
      </c>
      <c r="D9" s="253">
        <f>'18F'!N10*1000/'19F'!D22</f>
        <v>38.045228337236537</v>
      </c>
      <c r="E9" s="253">
        <f>'18F'!O10*1000/'19F'!E22</f>
        <v>41.15495391705069</v>
      </c>
      <c r="F9" s="253">
        <f>'18F'!P10*1000/'19F'!F22</f>
        <v>35.705882352941174</v>
      </c>
      <c r="G9" s="253">
        <f>'18F'!Q10*1000/'19F'!G22</f>
        <v>54.968333697313824</v>
      </c>
      <c r="H9" s="253">
        <f>'18F'!R10*1000/'19F'!H22</f>
        <v>43.318680533218973</v>
      </c>
      <c r="I9" s="253">
        <f>'18F'!S10*1000/'19F'!I22</f>
        <v>57.745007573515331</v>
      </c>
      <c r="J9" s="253">
        <f>'18F'!T10*1000/'19F'!J22</f>
        <v>57.214913421038951</v>
      </c>
      <c r="K9" s="253">
        <f>'18F'!U10*1000/'19F'!K22</f>
        <v>58.882740447957836</v>
      </c>
    </row>
    <row r="10" spans="1:11" s="332" customFormat="1">
      <c r="A10" s="333">
        <v>2006</v>
      </c>
      <c r="B10" s="253">
        <f>'18F'!L11*1000/'19F'!B23</f>
        <v>44.862672501974551</v>
      </c>
      <c r="C10" s="253">
        <f>'18F'!M11*1000/'19F'!C23</f>
        <v>48.097646800087979</v>
      </c>
      <c r="D10" s="253">
        <f>'18F'!N11*1000/'19F'!D23</f>
        <v>36.340359210331009</v>
      </c>
      <c r="E10" s="253">
        <f>'18F'!O11*1000/'19F'!E23</f>
        <v>45.140996459281737</v>
      </c>
      <c r="F10" s="253">
        <f>'18F'!P11*1000/'19F'!F23</f>
        <v>39.788309751573131</v>
      </c>
      <c r="G10" s="253">
        <f>'18F'!Q11*1000/'19F'!G23</f>
        <v>61.004992402865206</v>
      </c>
      <c r="H10" s="253">
        <f>'18F'!R11*1000/'19F'!H23</f>
        <v>45.018075011296879</v>
      </c>
      <c r="I10" s="253">
        <f>'18F'!S11*1000/'19F'!I23</f>
        <v>57.210808073500687</v>
      </c>
      <c r="J10" s="253">
        <f>'18F'!T11*1000/'19F'!J23</f>
        <v>56.355605226045078</v>
      </c>
      <c r="K10" s="253">
        <f>'18F'!U11*1000/'19F'!K23</f>
        <v>58.83349330924284</v>
      </c>
    </row>
    <row r="11" spans="1:11">
      <c r="A11" s="260">
        <v>2007</v>
      </c>
      <c r="B11" s="253">
        <f>'18F'!L12*1000/'19F'!B24</f>
        <v>45.226564994006857</v>
      </c>
      <c r="C11" s="253">
        <f>'18F'!M12*1000/'19F'!C24</f>
        <v>48.91683406390716</v>
      </c>
      <c r="D11" s="253">
        <f>'18F'!N12*1000/'19F'!D24</f>
        <v>35.86584813151498</v>
      </c>
      <c r="E11" s="253">
        <f>'18F'!O12*1000/'19F'!E24</f>
        <v>45.535952241351737</v>
      </c>
      <c r="F11" s="253">
        <f>'18F'!P12*1000/'19F'!F24</f>
        <v>37.91742814421</v>
      </c>
      <c r="G11" s="253">
        <f>'18F'!Q12*1000/'19F'!G24</f>
        <v>70.529035767713864</v>
      </c>
      <c r="H11" s="253">
        <f>'18F'!R12*1000/'19F'!H24</f>
        <v>45.521847589925166</v>
      </c>
      <c r="I11" s="253">
        <f>'18F'!S12*1000/'19F'!I24</f>
        <v>58.419385670646001</v>
      </c>
      <c r="J11" s="253">
        <f>'18F'!T12*1000/'19F'!J24</f>
        <v>62.202354074475458</v>
      </c>
      <c r="K11" s="253">
        <f>'18F'!U12*1000/'19F'!K24</f>
        <v>52.179741807348563</v>
      </c>
    </row>
    <row r="12" spans="1:11">
      <c r="A12" s="260">
        <v>2008</v>
      </c>
      <c r="B12" s="253">
        <f>'18F'!L13*1000/'19F'!B25</f>
        <v>45.034111126953526</v>
      </c>
      <c r="C12" s="253">
        <f>'18F'!M13*1000/'19F'!C25</f>
        <v>49.838637525562369</v>
      </c>
      <c r="D12" s="253">
        <f>'18F'!N13*1000/'19F'!D25</f>
        <v>34.359972976195209</v>
      </c>
      <c r="E12" s="253">
        <f>'18F'!O13*1000/'19F'!E25</f>
        <v>47.693268049080231</v>
      </c>
      <c r="F12" s="253">
        <f>'18F'!P13*1000/'19F'!F25</f>
        <v>41.753858903967675</v>
      </c>
      <c r="G12" s="253">
        <f>'18F'!Q13*1000/'19F'!G25</f>
        <v>78.436018957345965</v>
      </c>
      <c r="H12" s="253">
        <f>'18F'!R13*1000/'19F'!H25</f>
        <v>44.55630999765863</v>
      </c>
      <c r="I12" s="253">
        <f>'18F'!S13*1000/'19F'!I25</f>
        <v>60.082448008531934</v>
      </c>
      <c r="J12" s="253">
        <f>'18F'!T13*1000/'19F'!J25</f>
        <v>62.749891169674846</v>
      </c>
      <c r="K12" s="253">
        <f>'18F'!U13*1000/'19F'!K25</f>
        <v>55.850754167769253</v>
      </c>
    </row>
    <row r="13" spans="1:11">
      <c r="A13" s="260">
        <v>2009</v>
      </c>
      <c r="B13" s="253">
        <f>'18F'!L14*1000/'19F'!B26</f>
        <v>45.78026616034817</v>
      </c>
      <c r="C13" s="253">
        <f>'18F'!M14*1000/'19F'!C26</f>
        <v>48.988050192710439</v>
      </c>
      <c r="D13" s="253">
        <f>'18F'!N14*1000/'19F'!D26</f>
        <v>32.558522914606002</v>
      </c>
      <c r="E13" s="253">
        <f>'18F'!O14*1000/'19F'!E26</f>
        <v>45.372143495467895</v>
      </c>
      <c r="F13" s="253">
        <f>'18F'!P14*1000/'19F'!F26</f>
        <v>44.160977362558391</v>
      </c>
      <c r="G13" s="253">
        <f>'18F'!Q14*1000/'19F'!G26</f>
        <v>76.888956867543598</v>
      </c>
      <c r="H13" s="253">
        <f>'18F'!R14*1000/'19F'!H26</f>
        <v>38.248257675645128</v>
      </c>
      <c r="I13" s="253">
        <f>'18F'!S14*1000/'19F'!I26</f>
        <v>62.404436054742803</v>
      </c>
      <c r="J13" s="253">
        <f>'18F'!T14*1000/'19F'!J26</f>
        <v>64.26628260521683</v>
      </c>
      <c r="K13" s="253">
        <f>'18F'!U14*1000/'19F'!K26</f>
        <v>59.995397802450675</v>
      </c>
    </row>
    <row r="14" spans="1:11">
      <c r="A14" s="260">
        <v>2010</v>
      </c>
      <c r="B14" s="253">
        <f>'18F'!L15*1000/'19F'!B27</f>
        <v>45.724613041195433</v>
      </c>
      <c r="C14" s="253">
        <f>'18F'!M15*1000/'19F'!C27</f>
        <v>51.258679792563946</v>
      </c>
      <c r="D14" s="253">
        <f>'18F'!N15*1000/'19F'!D27</f>
        <v>50.792910447761194</v>
      </c>
      <c r="E14" s="253">
        <f>'18F'!O15*1000/'19F'!E27</f>
        <v>42.722950472560683</v>
      </c>
      <c r="F14" s="253">
        <f>'18F'!P15*1000/'19F'!F27</f>
        <v>44.317102513771921</v>
      </c>
      <c r="G14" s="253">
        <f>'18F'!Q15*1000/'19F'!G27</f>
        <v>52.346459906141604</v>
      </c>
      <c r="H14" s="253">
        <f>'18F'!R15*1000/'19F'!H27</f>
        <v>38.240874250588149</v>
      </c>
      <c r="I14" s="253">
        <f>'18F'!S15*1000/'19F'!I27</f>
        <v>61.365213692435134</v>
      </c>
      <c r="J14" s="253">
        <f>'18F'!T15*1000/'19F'!J27</f>
        <v>69.221628045157459</v>
      </c>
      <c r="K14" s="253">
        <f>'18F'!U15*1000/'19F'!K27</f>
        <v>51.063172527415951</v>
      </c>
    </row>
    <row r="15" spans="1:11">
      <c r="A15" s="260">
        <v>2011</v>
      </c>
      <c r="B15" s="253">
        <f>'18F'!L16*1000/'19F'!B28</f>
        <v>46.342495354678</v>
      </c>
      <c r="C15" s="253">
        <f>'18F'!M16*1000/'19F'!C28</f>
        <v>53.119995582307148</v>
      </c>
      <c r="D15" s="253">
        <f>'18F'!N16*1000/'19F'!D28</f>
        <v>40.215159360771359</v>
      </c>
      <c r="E15" s="253">
        <f>'18F'!O16*1000/'19F'!E28</f>
        <v>45.673116340083624</v>
      </c>
      <c r="F15" s="253">
        <f>'18F'!P16*1000/'19F'!F28</f>
        <v>48.327723268638543</v>
      </c>
      <c r="G15" s="253">
        <f>'18F'!Q16*1000/'19F'!G28</f>
        <v>55.848112283755839</v>
      </c>
      <c r="H15" s="253">
        <f>'18F'!R16*1000/'19F'!H28</f>
        <v>40.532105796988375</v>
      </c>
      <c r="I15" s="253">
        <f>'18F'!S16*1000/'19F'!I28</f>
        <v>70.534379671150973</v>
      </c>
      <c r="J15" s="253">
        <f>'18F'!T16*1000/'19F'!J28</f>
        <v>80.1057808295444</v>
      </c>
      <c r="K15" s="253">
        <f>'18F'!U16*1000/'19F'!K28</f>
        <v>57.37272155876807</v>
      </c>
    </row>
    <row r="16" spans="1:11">
      <c r="A16" s="260">
        <v>2012</v>
      </c>
      <c r="B16" s="253">
        <f>'18F'!L17*1000/'19F'!B29</f>
        <v>46.52006458072713</v>
      </c>
      <c r="C16" s="253">
        <f>'18F'!M17*1000/'19F'!C29</f>
        <v>57.325437997492791</v>
      </c>
      <c r="D16" s="253">
        <f>'18F'!N17*1000/'19F'!D29</f>
        <v>53.088382500147205</v>
      </c>
      <c r="E16" s="253">
        <f>'18F'!O17*1000/'19F'!E29</f>
        <v>51.599341985011883</v>
      </c>
      <c r="F16" s="253">
        <f>'18F'!P17*1000/'19F'!F29</f>
        <v>72.730105963016825</v>
      </c>
      <c r="G16" s="253">
        <f>'18F'!Q17*1000/'19F'!G29</f>
        <v>54.495018115942031</v>
      </c>
      <c r="H16" s="253">
        <f>'18F'!R17*1000/'19F'!H29</f>
        <v>42.238552408043937</v>
      </c>
      <c r="I16" s="253">
        <f>'18F'!S17*1000/'19F'!I29</f>
        <v>65.958357865439169</v>
      </c>
      <c r="J16" s="253">
        <f>'18F'!T17*1000/'19F'!J29</f>
        <v>73.997547795286323</v>
      </c>
      <c r="K16" s="253">
        <f>'18F'!U17*1000/'19F'!K29</f>
        <v>54.226132290648422</v>
      </c>
    </row>
    <row r="17" spans="1:11">
      <c r="A17" s="260">
        <v>2013</v>
      </c>
      <c r="B17" s="253">
        <f>'18F'!L18*1000/'19F'!B30</f>
        <v>46.814659377753792</v>
      </c>
      <c r="C17" s="253">
        <f>'18F'!M18*1000/'19F'!C30</f>
        <v>61.006500666869705</v>
      </c>
      <c r="D17" s="253">
        <f>'18F'!N18*1000/'19F'!D30</f>
        <v>63.515478911281946</v>
      </c>
      <c r="E17" s="253">
        <f>'18F'!O18*1000/'19F'!E30</f>
        <v>54.423197212045395</v>
      </c>
      <c r="F17" s="253">
        <f>'18F'!P18*1000/'19F'!F30</f>
        <v>72.10708117443869</v>
      </c>
      <c r="G17" s="253">
        <f>'18F'!Q18*1000/'19F'!G30</f>
        <v>66.159509202453989</v>
      </c>
      <c r="H17" s="253">
        <f>'18F'!R18*1000/'19F'!H30</f>
        <v>43.547155402825503</v>
      </c>
      <c r="I17" s="253">
        <f>'18F'!S18*1000/'19F'!I30</f>
        <v>68.182575378977177</v>
      </c>
      <c r="J17" s="253">
        <f>'18F'!T18*1000/'19F'!J30</f>
        <v>77.513441499738306</v>
      </c>
      <c r="K17" s="253">
        <f>'18F'!U18*1000/'19F'!K30</f>
        <v>54.909672688487433</v>
      </c>
    </row>
    <row r="18" spans="1:11">
      <c r="A18" s="265"/>
      <c r="B18" s="358"/>
      <c r="C18" s="358"/>
      <c r="D18" s="358"/>
      <c r="E18" s="358"/>
      <c r="F18" s="358"/>
      <c r="G18" s="358"/>
      <c r="H18" s="358"/>
      <c r="I18" s="358"/>
      <c r="J18" s="253"/>
      <c r="K18" s="253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0.92188035768894228</v>
      </c>
      <c r="C20" s="253">
        <f t="shared" ref="C20:K20" si="0">((C11/C4)^(1/7)-1)*100</f>
        <v>3.7047568209460424</v>
      </c>
      <c r="D20" s="253">
        <f t="shared" si="0"/>
        <v>3.9623219720691605</v>
      </c>
      <c r="E20" s="253">
        <f t="shared" si="0"/>
        <v>6.2871852072850176</v>
      </c>
      <c r="F20" s="253" t="s">
        <v>9</v>
      </c>
      <c r="G20" s="253" t="s">
        <v>9</v>
      </c>
      <c r="H20" s="253" t="s">
        <v>9</v>
      </c>
      <c r="I20" s="253">
        <f t="shared" si="0"/>
        <v>1.1550956466403361</v>
      </c>
      <c r="J20" s="253">
        <f t="shared" si="0"/>
        <v>1.4384901529010508</v>
      </c>
      <c r="K20" s="253">
        <f t="shared" si="0"/>
        <v>1.188638985091317</v>
      </c>
    </row>
    <row r="21" spans="1:11">
      <c r="A21" s="320" t="s">
        <v>368</v>
      </c>
      <c r="B21" s="253">
        <f>((B14/B11)^(1/3)-1)*100</f>
        <v>0.36573706494003044</v>
      </c>
      <c r="C21" s="253">
        <f t="shared" ref="C21:K21" si="1">((C14/C11)^(1/3)-1)*100</f>
        <v>1.5709914455302787</v>
      </c>
      <c r="D21" s="253">
        <f t="shared" si="1"/>
        <v>12.298510997006895</v>
      </c>
      <c r="E21" s="253">
        <f t="shared" si="1"/>
        <v>-2.1031003168096474</v>
      </c>
      <c r="F21" s="253">
        <f t="shared" si="1"/>
        <v>5.3361631559069034</v>
      </c>
      <c r="G21" s="253">
        <f t="shared" si="1"/>
        <v>-9.4601459651227451</v>
      </c>
      <c r="H21" s="253">
        <f t="shared" si="1"/>
        <v>-5.6440458516479275</v>
      </c>
      <c r="I21" s="253">
        <f t="shared" si="1"/>
        <v>1.6533639569136671</v>
      </c>
      <c r="J21" s="253">
        <f t="shared" si="1"/>
        <v>3.6282894381824748</v>
      </c>
      <c r="K21" s="253">
        <f t="shared" si="1"/>
        <v>-0.71843312092061407</v>
      </c>
    </row>
    <row r="22" spans="1:11">
      <c r="A22" s="320" t="s">
        <v>392</v>
      </c>
      <c r="B22" s="253">
        <f>((B17/B14)^(1/3)-1)*100</f>
        <v>0.78841363857573565</v>
      </c>
      <c r="C22" s="253">
        <f>((C17/C14)^(1/3)-1)*100</f>
        <v>5.9748716844268746</v>
      </c>
      <c r="D22" s="253">
        <f t="shared" ref="D22:K22" si="2">((D17/D14)^(1/3)-1)*100</f>
        <v>7.7354986468966214</v>
      </c>
      <c r="E22" s="253">
        <f t="shared" si="2"/>
        <v>8.4029093368401586</v>
      </c>
      <c r="F22" s="253">
        <f t="shared" si="2"/>
        <v>17.61666276675351</v>
      </c>
      <c r="G22" s="253">
        <f t="shared" si="2"/>
        <v>8.118908520568958</v>
      </c>
      <c r="H22" s="253">
        <f t="shared" si="2"/>
        <v>4.4264849304357146</v>
      </c>
      <c r="I22" s="253">
        <f t="shared" si="2"/>
        <v>3.5739128459528091</v>
      </c>
      <c r="J22" s="253">
        <f t="shared" si="2"/>
        <v>3.8432814417686201</v>
      </c>
      <c r="K22" s="253">
        <f t="shared" si="2"/>
        <v>2.4504067650418682</v>
      </c>
    </row>
    <row r="23" spans="1:11">
      <c r="A23" s="285" t="s">
        <v>69</v>
      </c>
      <c r="B23" s="253">
        <f>IFERROR(((B17/B11)^(1/6)-1)*100,"n.a.")</f>
        <v>0.57685331348216184</v>
      </c>
      <c r="C23" s="253">
        <f t="shared" ref="C23:K23" si="3">IFERROR(((C17/C11)^(1/6)-1)*100,"n.a.")</f>
        <v>3.7495676390995492</v>
      </c>
      <c r="D23" s="253">
        <f t="shared" si="3"/>
        <v>9.9933456149350128</v>
      </c>
      <c r="E23" s="253">
        <f t="shared" si="3"/>
        <v>3.0160605959799858</v>
      </c>
      <c r="F23" s="253">
        <f t="shared" si="3"/>
        <v>11.307178470447376</v>
      </c>
      <c r="G23" s="253">
        <f t="shared" si="3"/>
        <v>-1.0602698817984479</v>
      </c>
      <c r="H23" s="253">
        <f t="shared" si="3"/>
        <v>-0.73640836656285735</v>
      </c>
      <c r="I23" s="253">
        <f t="shared" si="3"/>
        <v>2.609145103988153</v>
      </c>
      <c r="J23" s="253">
        <f t="shared" si="3"/>
        <v>3.7357297437013326</v>
      </c>
      <c r="K23" s="253">
        <f t="shared" si="3"/>
        <v>0.8535418864027422</v>
      </c>
    </row>
    <row r="24" spans="1:11" s="352" customFormat="1">
      <c r="A24" s="355" t="s">
        <v>15</v>
      </c>
      <c r="B24" s="253">
        <f>((B17/B4)^(1/13)-1)*100</f>
        <v>0.76249027613537468</v>
      </c>
      <c r="C24" s="253">
        <f t="shared" ref="C24:K24" si="4">((C17/C4)^(1/13)-1)*100</f>
        <v>3.7254363315275318</v>
      </c>
      <c r="D24" s="253">
        <f t="shared" si="4"/>
        <v>6.7036440535314767</v>
      </c>
      <c r="E24" s="253">
        <f t="shared" si="4"/>
        <v>4.7647243378084791</v>
      </c>
      <c r="F24" s="253" t="s">
        <v>9</v>
      </c>
      <c r="G24" s="253" t="s">
        <v>9</v>
      </c>
      <c r="H24" s="253" t="s">
        <v>9</v>
      </c>
      <c r="I24" s="253">
        <f t="shared" si="4"/>
        <v>1.8236171817263447</v>
      </c>
      <c r="J24" s="253">
        <f t="shared" si="4"/>
        <v>2.4923639841529788</v>
      </c>
      <c r="K24" s="253">
        <f t="shared" si="4"/>
        <v>1.0338406580407522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253"/>
      <c r="K25" s="253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403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4" orientation="landscape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.140625" style="266" customWidth="1"/>
    <col min="2" max="2" width="13.7109375" style="266" bestFit="1" customWidth="1"/>
    <col min="3" max="3" width="13.7109375" style="266" customWidth="1"/>
    <col min="4" max="4" width="20.42578125" style="266" bestFit="1" customWidth="1"/>
    <col min="5" max="5" width="19.5703125" style="266" bestFit="1" customWidth="1"/>
    <col min="6" max="8" width="19.5703125" style="266" customWidth="1"/>
    <col min="9" max="9" width="17" style="266" customWidth="1"/>
    <col min="10" max="10" width="17.28515625" style="266" bestFit="1" customWidth="1"/>
    <col min="11" max="11" width="24" style="266" bestFit="1" customWidth="1"/>
    <col min="12" max="16384" width="9.140625" style="266"/>
  </cols>
  <sheetData>
    <row r="1" spans="1:11" ht="15" customHeight="1">
      <c r="A1" s="471" t="s">
        <v>585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'18G'!L5*1000/'19G'!B17</f>
        <v>45.259045175962555</v>
      </c>
      <c r="C4" s="253">
        <f>'18G'!M5*1000/'19G'!C17</f>
        <v>42.719764213989514</v>
      </c>
      <c r="D4" s="253">
        <f>'18G'!N5*1000/'19G'!D17</f>
        <v>40</v>
      </c>
      <c r="E4" s="253">
        <f>'18G'!O5*1000/'19G'!E17</f>
        <v>25.993648507071764</v>
      </c>
      <c r="F4" s="253">
        <f>'18G'!P5*1000/'19G'!F17</f>
        <v>24.288028073964099</v>
      </c>
      <c r="G4" s="253">
        <f>'18G'!Q5*1000/'19G'!G17</f>
        <v>25.237578061363021</v>
      </c>
      <c r="H4" s="253">
        <f>'18G'!R5*1000/'19G'!H17</f>
        <v>30.032657979010114</v>
      </c>
      <c r="I4" s="253">
        <f>'18G'!S5*1000/'19G'!I17</f>
        <v>59.493828505611155</v>
      </c>
      <c r="J4" s="253">
        <f>'18G'!T5*1000/'19G'!J17</f>
        <v>64.067532651399858</v>
      </c>
      <c r="K4" s="253">
        <f>'18G'!U5*1000/'19G'!K17</f>
        <v>52.008668111351895</v>
      </c>
    </row>
    <row r="5" spans="1:11" s="332" customFormat="1">
      <c r="A5" s="333">
        <v>2001</v>
      </c>
      <c r="B5" s="253">
        <f>'18G'!L6*1000/'19G'!B18</f>
        <v>45.259677142022824</v>
      </c>
      <c r="C5" s="253">
        <f>'18G'!M6*1000/'19G'!C18</f>
        <v>42.019040849662034</v>
      </c>
      <c r="D5" s="253">
        <f>'18G'!N6*1000/'19G'!D18</f>
        <v>42.631785774434405</v>
      </c>
      <c r="E5" s="253">
        <f>'18G'!O6*1000/'19G'!E18</f>
        <v>25.757282492983645</v>
      </c>
      <c r="F5" s="253">
        <f>'18G'!P6*1000/'19G'!F18</f>
        <v>21.767343086361493</v>
      </c>
      <c r="G5" s="253">
        <f>'18G'!Q6*1000/'19G'!G18</f>
        <v>25.71281220069255</v>
      </c>
      <c r="H5" s="253">
        <f>'18G'!R6*1000/'19G'!H18</f>
        <v>31.074254122581259</v>
      </c>
      <c r="I5" s="253">
        <f>'18G'!S6*1000/'19G'!I18</f>
        <v>57.01440471536403</v>
      </c>
      <c r="J5" s="253">
        <f>'18G'!T6*1000/'19G'!J18</f>
        <v>57.527504342790969</v>
      </c>
      <c r="K5" s="253">
        <f>'18G'!U6*1000/'19G'!K18</f>
        <v>56.608530122961362</v>
      </c>
    </row>
    <row r="6" spans="1:11" s="332" customFormat="1">
      <c r="A6" s="333">
        <v>2002</v>
      </c>
      <c r="B6" s="253">
        <f>'18G'!L7*1000/'19G'!B19</f>
        <v>46.027946105198843</v>
      </c>
      <c r="C6" s="253">
        <f>'18G'!M7*1000/'19G'!C19</f>
        <v>43.932226889042937</v>
      </c>
      <c r="D6" s="253">
        <f>'18G'!N7*1000/'19G'!D19</f>
        <v>45.043115921060249</v>
      </c>
      <c r="E6" s="253">
        <f>'18G'!O7*1000/'19G'!E19</f>
        <v>28.043380607071811</v>
      </c>
      <c r="F6" s="253">
        <f>'18G'!P7*1000/'19G'!F19</f>
        <v>26.484400128658734</v>
      </c>
      <c r="G6" s="253">
        <f>'18G'!Q7*1000/'19G'!G19</f>
        <v>28.094330297253407</v>
      </c>
      <c r="H6" s="253">
        <f>'18G'!R7*1000/'19G'!H19</f>
        <v>31.297124992337398</v>
      </c>
      <c r="I6" s="253">
        <f>'18G'!S7*1000/'19G'!I19</f>
        <v>58.314451996978988</v>
      </c>
      <c r="J6" s="253">
        <f>'18G'!T7*1000/'19G'!J19</f>
        <v>61.095659811168851</v>
      </c>
      <c r="K6" s="253">
        <f>'18G'!U7*1000/'19G'!K19</f>
        <v>56.161385005721108</v>
      </c>
    </row>
    <row r="7" spans="1:11" s="332" customFormat="1">
      <c r="A7" s="333">
        <v>2003</v>
      </c>
      <c r="B7" s="253">
        <f>'18G'!L8*1000/'19G'!B20</f>
        <v>46.196285440698595</v>
      </c>
      <c r="C7" s="253">
        <f>'18G'!M8*1000/'19G'!C20</f>
        <v>45.9784819949246</v>
      </c>
      <c r="D7" s="253">
        <f>'18G'!N8*1000/'19G'!D20</f>
        <v>42.245896919090121</v>
      </c>
      <c r="E7" s="253">
        <f>'18G'!O8*1000/'19G'!E20</f>
        <v>29.734634081374441</v>
      </c>
      <c r="F7" s="253">
        <f>'18G'!P8*1000/'19G'!F20</f>
        <v>27.821809237496584</v>
      </c>
      <c r="G7" s="253">
        <f>'18G'!Q8*1000/'19G'!G20</f>
        <v>26.915468811815902</v>
      </c>
      <c r="H7" s="253">
        <f>'18G'!R8*1000/'19G'!H20</f>
        <v>35.261853626301004</v>
      </c>
      <c r="I7" s="253">
        <f>'18G'!S8*1000/'19G'!I20</f>
        <v>61.838134430727024</v>
      </c>
      <c r="J7" s="253">
        <f>'18G'!T8*1000/'19G'!J20</f>
        <v>65.646653582729201</v>
      </c>
      <c r="K7" s="253">
        <f>'18G'!U8*1000/'19G'!K20</f>
        <v>59.786433088108652</v>
      </c>
    </row>
    <row r="8" spans="1:11" s="332" customFormat="1">
      <c r="A8" s="333">
        <v>2004</v>
      </c>
      <c r="B8" s="253">
        <f>'18G'!L9*1000/'19G'!B21</f>
        <v>45.950215140897313</v>
      </c>
      <c r="C8" s="253">
        <f>'18G'!M9*1000/'19G'!C21</f>
        <v>45.511438411782827</v>
      </c>
      <c r="D8" s="253">
        <f>'18G'!N9*1000/'19G'!D21</f>
        <v>42.181662277209533</v>
      </c>
      <c r="E8" s="253">
        <f>'18G'!O9*1000/'19G'!E21</f>
        <v>29.492682765135822</v>
      </c>
      <c r="F8" s="253">
        <f>'18G'!P9*1000/'19G'!F21</f>
        <v>25.492453312867742</v>
      </c>
      <c r="G8" s="253">
        <f>'18G'!Q9*1000/'19G'!G21</f>
        <v>28.21061348423159</v>
      </c>
      <c r="H8" s="253">
        <f>'18G'!R9*1000/'19G'!H21</f>
        <v>35.458457464415758</v>
      </c>
      <c r="I8" s="253">
        <f>'18G'!S9*1000/'19G'!I21</f>
        <v>60.935517012147216</v>
      </c>
      <c r="J8" s="253">
        <f>'18G'!T9*1000/'19G'!J21</f>
        <v>68.471946036573485</v>
      </c>
      <c r="K8" s="253">
        <f>'18G'!U9*1000/'19G'!K21</f>
        <v>56.055747409965463</v>
      </c>
    </row>
    <row r="9" spans="1:11" s="332" customFormat="1">
      <c r="A9" s="333">
        <v>2005</v>
      </c>
      <c r="B9" s="253">
        <f>'18G'!L10*1000/'19G'!B22</f>
        <v>47.124835714103483</v>
      </c>
      <c r="C9" s="253">
        <f>'18G'!M10*1000/'19G'!C22</f>
        <v>47.342732785238645</v>
      </c>
      <c r="D9" s="253">
        <f>'18G'!N10*1000/'19G'!D22</f>
        <v>45.285624607658505</v>
      </c>
      <c r="E9" s="253">
        <f>'18G'!O10*1000/'19G'!E22</f>
        <v>31.870373300979409</v>
      </c>
      <c r="F9" s="253">
        <f>'18G'!P10*1000/'19G'!F22</f>
        <v>29.048911244953338</v>
      </c>
      <c r="G9" s="253">
        <f>'18G'!Q10*1000/'19G'!G22</f>
        <v>36.313193588162761</v>
      </c>
      <c r="H9" s="253">
        <f>'18G'!R10*1000/'19G'!H22</f>
        <v>31.551155115511552</v>
      </c>
      <c r="I9" s="253">
        <f>'18G'!S10*1000/'19G'!I22</f>
        <v>62.158301408999414</v>
      </c>
      <c r="J9" s="253">
        <f>'18G'!T10*1000/'19G'!J22</f>
        <v>75.80987273428461</v>
      </c>
      <c r="K9" s="253">
        <f>'18G'!U10*1000/'19G'!K22</f>
        <v>55.176211453744493</v>
      </c>
    </row>
    <row r="10" spans="1:11" s="332" customFormat="1">
      <c r="A10" s="333">
        <v>2006</v>
      </c>
      <c r="B10" s="253">
        <f>'18G'!L11*1000/'19G'!B23</f>
        <v>47.719771703176555</v>
      </c>
      <c r="C10" s="253">
        <f>'18G'!M11*1000/'19G'!C23</f>
        <v>44.421612100798797</v>
      </c>
      <c r="D10" s="253">
        <f>'18G'!N11*1000/'19G'!D23</f>
        <v>40.219808975533169</v>
      </c>
      <c r="E10" s="253">
        <f>'18G'!O11*1000/'19G'!E23</f>
        <v>32.883657601490562</v>
      </c>
      <c r="F10" s="253">
        <f>'18G'!P11*1000/'19G'!F23</f>
        <v>33.860313219030651</v>
      </c>
      <c r="G10" s="253">
        <f>'18G'!Q11*1000/'19G'!G23</f>
        <v>39.923051735428949</v>
      </c>
      <c r="H10" s="253">
        <f>'18G'!R11*1000/'19G'!H23</f>
        <v>29.443393408344122</v>
      </c>
      <c r="I10" s="253">
        <f>'18G'!S11*1000/'19G'!I23</f>
        <v>56.561310890953344</v>
      </c>
      <c r="J10" s="253">
        <f>'18G'!T11*1000/'19G'!J23</f>
        <v>66.075869001640129</v>
      </c>
      <c r="K10" s="253">
        <f>'18G'!U11*1000/'19G'!K23</f>
        <v>52.037220151618875</v>
      </c>
    </row>
    <row r="11" spans="1:11">
      <c r="A11" s="260">
        <v>2007</v>
      </c>
      <c r="B11" s="253">
        <f>'18G'!L12*1000/'19G'!B24</f>
        <v>47.779475228450437</v>
      </c>
      <c r="C11" s="253">
        <f>'18G'!M12*1000/'19G'!C24</f>
        <v>46.318846665266989</v>
      </c>
      <c r="D11" s="253">
        <f>'18G'!N12*1000/'19G'!D24</f>
        <v>41.5706560075241</v>
      </c>
      <c r="E11" s="253">
        <f>'18G'!O12*1000/'19G'!E24</f>
        <v>33.760674966560345</v>
      </c>
      <c r="F11" s="253">
        <f>'18G'!P12*1000/'19G'!F24</f>
        <v>34.5619609623241</v>
      </c>
      <c r="G11" s="253">
        <f>'18G'!Q12*1000/'19G'!G24</f>
        <v>45.844994617868679</v>
      </c>
      <c r="H11" s="253">
        <f>'18G'!R12*1000/'19G'!H24</f>
        <v>29.48142387500442</v>
      </c>
      <c r="I11" s="253">
        <f>'18G'!S12*1000/'19G'!I24</f>
        <v>58.986366554628198</v>
      </c>
      <c r="J11" s="253">
        <f>'18G'!T12*1000/'19G'!J24</f>
        <v>72.156885805009992</v>
      </c>
      <c r="K11" s="253">
        <f>'18G'!U12*1000/'19G'!K24</f>
        <v>52.756453048509123</v>
      </c>
    </row>
    <row r="12" spans="1:11">
      <c r="A12" s="260">
        <v>2008</v>
      </c>
      <c r="B12" s="253">
        <f>'18G'!L13*1000/'19G'!B25</f>
        <v>47.450447863513851</v>
      </c>
      <c r="C12" s="253">
        <f>'18G'!M13*1000/'19G'!C25</f>
        <v>46.526583342888813</v>
      </c>
      <c r="D12" s="253">
        <f>'18G'!N13*1000/'19G'!D25</f>
        <v>42.257106491302501</v>
      </c>
      <c r="E12" s="253">
        <f>'18G'!O13*1000/'19G'!E25</f>
        <v>33.526078408696655</v>
      </c>
      <c r="F12" s="253">
        <f>'18G'!P13*1000/'19G'!F25</f>
        <v>37.326429748176039</v>
      </c>
      <c r="G12" s="253">
        <f>'18G'!Q13*1000/'19G'!G25</f>
        <v>47.136618839675606</v>
      </c>
      <c r="H12" s="253">
        <f>'18G'!R13*1000/'19G'!H25</f>
        <v>28.182770750692313</v>
      </c>
      <c r="I12" s="253">
        <f>'18G'!S13*1000/'19G'!I25</f>
        <v>58.865248226950357</v>
      </c>
      <c r="J12" s="253">
        <f>'18G'!T13*1000/'19G'!J25</f>
        <v>78.814885366351447</v>
      </c>
      <c r="K12" s="253">
        <f>'18G'!U13*1000/'19G'!K25</f>
        <v>50.479489308104085</v>
      </c>
    </row>
    <row r="13" spans="1:11">
      <c r="A13" s="260">
        <v>2009</v>
      </c>
      <c r="B13" s="253">
        <f>'18G'!L14*1000/'19G'!B26</f>
        <v>47.929425000489537</v>
      </c>
      <c r="C13" s="253">
        <f>'18G'!M14*1000/'19G'!C26</f>
        <v>43.950453439504535</v>
      </c>
      <c r="D13" s="253">
        <f>'18G'!N14*1000/'19G'!D26</f>
        <v>44.387288523090994</v>
      </c>
      <c r="E13" s="253">
        <f>'18G'!O14*1000/'19G'!E26</f>
        <v>31.39489664662419</v>
      </c>
      <c r="F13" s="253">
        <f>'18G'!P14*1000/'19G'!F26</f>
        <v>36.559513466550825</v>
      </c>
      <c r="G13" s="253">
        <f>'18G'!Q14*1000/'19G'!G26</f>
        <v>45.30642750373692</v>
      </c>
      <c r="H13" s="253">
        <f>'18G'!R14*1000/'19G'!H26</f>
        <v>25.571864277544798</v>
      </c>
      <c r="I13" s="253">
        <f>'18G'!S14*1000/'19G'!I26</f>
        <v>53.462787612643524</v>
      </c>
      <c r="J13" s="253">
        <f>'18G'!T14*1000/'19G'!J26</f>
        <v>60.730409545307964</v>
      </c>
      <c r="K13" s="253">
        <f>'18G'!U14*1000/'19G'!K26</f>
        <v>50.83338655086532</v>
      </c>
    </row>
    <row r="14" spans="1:11">
      <c r="A14" s="260">
        <v>2010</v>
      </c>
      <c r="B14" s="253">
        <f>'18G'!L15*1000/'19G'!B27</f>
        <v>48.51152968618193</v>
      </c>
      <c r="C14" s="253">
        <f>'18G'!M15*1000/'19G'!C27</f>
        <v>47.156173847209409</v>
      </c>
      <c r="D14" s="253">
        <f>'18G'!N15*1000/'19G'!D27</f>
        <v>46.251588310038116</v>
      </c>
      <c r="E14" s="253">
        <f>'18G'!O15*1000/'19G'!E27</f>
        <v>31.104088372622709</v>
      </c>
      <c r="F14" s="253">
        <f>'18G'!P15*1000/'19G'!F27</f>
        <v>30.842105263157894</v>
      </c>
      <c r="G14" s="253">
        <f>'18G'!Q15*1000/'19G'!G27</f>
        <v>46.765734265734267</v>
      </c>
      <c r="H14" s="253">
        <f>'18G'!R15*1000/'19G'!H27</f>
        <v>26.159185562239703</v>
      </c>
      <c r="I14" s="253">
        <f>'18G'!S15*1000/'19G'!I27</f>
        <v>61.183225774789584</v>
      </c>
      <c r="J14" s="253">
        <f>'18G'!T15*1000/'19G'!J27</f>
        <v>73.610394080192734</v>
      </c>
      <c r="K14" s="253">
        <f>'18G'!U15*1000/'19G'!K27</f>
        <v>56.190999279118465</v>
      </c>
    </row>
    <row r="15" spans="1:11">
      <c r="A15" s="260">
        <v>2011</v>
      </c>
      <c r="B15" s="253">
        <f>'18G'!L16*1000/'19G'!B28</f>
        <v>48.83416699850067</v>
      </c>
      <c r="C15" s="253">
        <f>'18G'!M16*1000/'19G'!C28</f>
        <v>45.138091780083862</v>
      </c>
      <c r="D15" s="253">
        <f>'18G'!N16*1000/'19G'!D28</f>
        <v>39.402446360537397</v>
      </c>
      <c r="E15" s="253">
        <f>'18G'!O16*1000/'19G'!E28</f>
        <v>30.812708234174202</v>
      </c>
      <c r="F15" s="253">
        <f>'18G'!P16*1000/'19G'!F28</f>
        <v>27.867158671586715</v>
      </c>
      <c r="G15" s="253">
        <f>'18G'!Q16*1000/'19G'!G28</f>
        <v>50.235057085292141</v>
      </c>
      <c r="H15" s="253">
        <f>'18G'!R16*1000/'19G'!H28</f>
        <v>26.04740244194398</v>
      </c>
      <c r="I15" s="253">
        <f>'18G'!S16*1000/'19G'!I28</f>
        <v>58.031013688140135</v>
      </c>
      <c r="J15" s="253">
        <f>'18G'!T16*1000/'19G'!J28</f>
        <v>66.135030162796468</v>
      </c>
      <c r="K15" s="253">
        <f>'18G'!U16*1000/'19G'!K28</f>
        <v>54.899450938121063</v>
      </c>
    </row>
    <row r="16" spans="1:11">
      <c r="A16" s="260">
        <v>2012</v>
      </c>
      <c r="B16" s="253">
        <f>'18G'!L17*1000/'19G'!B29</f>
        <v>49.057451881939343</v>
      </c>
      <c r="C16" s="253">
        <f>'18G'!M17*1000/'19G'!C29</f>
        <v>49.066985025044772</v>
      </c>
      <c r="D16" s="253">
        <f>'18G'!N17*1000/'19G'!D29</f>
        <v>39.372822299651567</v>
      </c>
      <c r="E16" s="253">
        <f>'18G'!O17*1000/'19G'!E29</f>
        <v>36.398201415063149</v>
      </c>
      <c r="F16" s="253">
        <f>'18G'!P17*1000/'19G'!F29</f>
        <v>43.775291597238756</v>
      </c>
      <c r="G16" s="253">
        <f>'18G'!Q17*1000/'19G'!G29</f>
        <v>54.78927203065134</v>
      </c>
      <c r="H16" s="253">
        <f>'18G'!R17*1000/'19G'!H29</f>
        <v>29.178724678175829</v>
      </c>
      <c r="I16" s="253">
        <f>'18G'!S17*1000/'19G'!I29</f>
        <v>61.280950636025757</v>
      </c>
      <c r="J16" s="253">
        <f>'18G'!T17*1000/'19G'!J29</f>
        <v>59.474906233255936</v>
      </c>
      <c r="K16" s="253">
        <f>'18G'!U17*1000/'19G'!K29</f>
        <v>62.770290284360186</v>
      </c>
    </row>
    <row r="17" spans="1:11">
      <c r="A17" s="260">
        <v>2013</v>
      </c>
      <c r="B17" s="253">
        <f>'18G'!L18*1000/'19G'!B30</f>
        <v>49.173885691667337</v>
      </c>
      <c r="C17" s="253">
        <f>'18G'!M18*1000/'19G'!C30</f>
        <v>48.356988089285487</v>
      </c>
      <c r="D17" s="253">
        <f>'18G'!N18*1000/'19G'!D30</f>
        <v>43.188073394495412</v>
      </c>
      <c r="E17" s="253">
        <f>'18G'!O18*1000/'19G'!E30</f>
        <v>36.316287878787875</v>
      </c>
      <c r="F17" s="253">
        <f>'18G'!P18*1000/'19G'!F30</f>
        <v>47.93287937743191</v>
      </c>
      <c r="G17" s="253">
        <f>'18G'!Q18*1000/'19G'!G30</f>
        <v>55.039905409399942</v>
      </c>
      <c r="H17" s="253">
        <f>'18G'!R18*1000/'19G'!H30</f>
        <v>28.190952358059707</v>
      </c>
      <c r="I17" s="253">
        <f>'18G'!S18*1000/'19G'!I30</f>
        <v>59.7015719339309</v>
      </c>
      <c r="J17" s="253">
        <f>'18G'!T18*1000/'19G'!J30</f>
        <v>59.639126305792971</v>
      </c>
      <c r="K17" s="253">
        <f>'18G'!U18*1000/'19G'!K30</f>
        <v>60.198354732067351</v>
      </c>
    </row>
    <row r="18" spans="1:11">
      <c r="A18" s="211"/>
      <c r="B18" s="253"/>
      <c r="C18" s="253"/>
      <c r="D18" s="253"/>
      <c r="E18" s="253"/>
      <c r="F18" s="253"/>
      <c r="G18" s="253"/>
      <c r="H18" s="253"/>
      <c r="I18" s="253"/>
      <c r="J18" s="253"/>
      <c r="K18" s="253"/>
    </row>
    <row r="19" spans="1:11">
      <c r="A19" s="470" t="s">
        <v>397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0.77719913734470847</v>
      </c>
      <c r="C20" s="253">
        <f t="shared" ref="C20:K20" si="0">((C11/C4)^(1/7)-1)*100</f>
        <v>1.1622343264604984</v>
      </c>
      <c r="D20" s="253">
        <f t="shared" si="0"/>
        <v>0.55173189104709142</v>
      </c>
      <c r="E20" s="253">
        <f t="shared" si="0"/>
        <v>3.805545283781675</v>
      </c>
      <c r="F20" s="253" t="s">
        <v>9</v>
      </c>
      <c r="G20" s="253" t="s">
        <v>9</v>
      </c>
      <c r="H20" s="253" t="s">
        <v>9</v>
      </c>
      <c r="I20" s="253">
        <f t="shared" si="0"/>
        <v>-0.12230004844223652</v>
      </c>
      <c r="J20" s="253">
        <f t="shared" si="0"/>
        <v>1.7131517331859136</v>
      </c>
      <c r="K20" s="253">
        <f t="shared" si="0"/>
        <v>0.20414664479371236</v>
      </c>
    </row>
    <row r="21" spans="1:11">
      <c r="A21" s="320" t="s">
        <v>368</v>
      </c>
      <c r="B21" s="253">
        <f>((B14/B11)^(1/3)-1)*100</f>
        <v>0.50813117719137324</v>
      </c>
      <c r="C21" s="253">
        <f t="shared" ref="C21:K21" si="1">((C14/C11)^(1/3)-1)*100</f>
        <v>0.59898704216421184</v>
      </c>
      <c r="D21" s="253">
        <f t="shared" si="1"/>
        <v>3.6207165375312877</v>
      </c>
      <c r="E21" s="253">
        <f t="shared" si="1"/>
        <v>-2.6949338707318082</v>
      </c>
      <c r="F21" s="253">
        <f t="shared" si="1"/>
        <v>-3.7246262553028542</v>
      </c>
      <c r="G21" s="253">
        <f t="shared" si="1"/>
        <v>0.66502610479584057</v>
      </c>
      <c r="H21" s="253">
        <f t="shared" si="1"/>
        <v>-3.9069625980356348</v>
      </c>
      <c r="I21" s="253">
        <f t="shared" si="1"/>
        <v>1.2263494615059489</v>
      </c>
      <c r="J21" s="253">
        <f t="shared" si="1"/>
        <v>0.66699864925152674</v>
      </c>
      <c r="K21" s="253">
        <f t="shared" si="1"/>
        <v>2.1246047693240122</v>
      </c>
    </row>
    <row r="22" spans="1:11">
      <c r="A22" s="320" t="s">
        <v>392</v>
      </c>
      <c r="B22" s="253">
        <f>((B17/B14)^(1/3)-1)*100</f>
        <v>0.45306353608356442</v>
      </c>
      <c r="C22" s="253">
        <f t="shared" ref="C22:K22" si="2">((C17/C14)^(1/3)-1)*100</f>
        <v>0.8417160665838308</v>
      </c>
      <c r="D22" s="253">
        <f t="shared" si="2"/>
        <v>-2.2584864670167848</v>
      </c>
      <c r="E22" s="253">
        <f t="shared" si="2"/>
        <v>5.299907813459459</v>
      </c>
      <c r="F22" s="253">
        <f t="shared" si="2"/>
        <v>15.832341207680201</v>
      </c>
      <c r="G22" s="253">
        <f t="shared" si="2"/>
        <v>5.5804009893045015</v>
      </c>
      <c r="H22" s="253">
        <f t="shared" si="2"/>
        <v>2.5247005954905699</v>
      </c>
      <c r="I22" s="253">
        <f t="shared" si="2"/>
        <v>-0.81382743706834848</v>
      </c>
      <c r="J22" s="253">
        <f t="shared" si="2"/>
        <v>-6.77536107797917</v>
      </c>
      <c r="K22" s="253">
        <f t="shared" si="2"/>
        <v>2.3228485999422954</v>
      </c>
    </row>
    <row r="23" spans="1:11">
      <c r="A23" s="285" t="s">
        <v>69</v>
      </c>
      <c r="B23" s="253">
        <f>IFERROR(((B17/B11)^(1/6)-1)*100,"n.a.")</f>
        <v>0.48059358421119747</v>
      </c>
      <c r="C23" s="253">
        <f t="shared" ref="C23:K23" si="3">IFERROR(((C17/C11)^(1/6)-1)*100,"n.a.")</f>
        <v>0.72027843434443461</v>
      </c>
      <c r="D23" s="253">
        <f t="shared" si="3"/>
        <v>0.63819189428302447</v>
      </c>
      <c r="E23" s="253">
        <f t="shared" si="3"/>
        <v>1.2235866445885035</v>
      </c>
      <c r="F23" s="253">
        <f t="shared" si="3"/>
        <v>5.6020925052751691</v>
      </c>
      <c r="G23" s="253">
        <f t="shared" si="3"/>
        <v>3.0934227860494934</v>
      </c>
      <c r="H23" s="253">
        <f t="shared" si="3"/>
        <v>-0.7432123784591016</v>
      </c>
      <c r="I23" s="253">
        <f t="shared" si="3"/>
        <v>0.20106868494242924</v>
      </c>
      <c r="J23" s="253">
        <f t="shared" si="3"/>
        <v>-3.1256246449039904</v>
      </c>
      <c r="K23" s="253">
        <f t="shared" si="3"/>
        <v>2.2236786275102061</v>
      </c>
    </row>
    <row r="24" spans="1:11" s="352" customFormat="1">
      <c r="A24" s="355" t="s">
        <v>15</v>
      </c>
      <c r="B24" s="253">
        <f>((B17/B4)^(1/13)-1)*100</f>
        <v>0.64019562783679262</v>
      </c>
      <c r="C24" s="253">
        <f t="shared" ref="C24:K24" si="4">((C17/C4)^(1/13)-1)*100</f>
        <v>0.95801422184320639</v>
      </c>
      <c r="D24" s="253">
        <f t="shared" si="4"/>
        <v>0.59162727409065585</v>
      </c>
      <c r="E24" s="253">
        <f t="shared" si="4"/>
        <v>2.6057884986204316</v>
      </c>
      <c r="F24" s="253" t="s">
        <v>9</v>
      </c>
      <c r="G24" s="253" t="s">
        <v>9</v>
      </c>
      <c r="H24" s="253" t="s">
        <v>9</v>
      </c>
      <c r="I24" s="253">
        <f t="shared" si="4"/>
        <v>2.6817179980409556E-2</v>
      </c>
      <c r="J24" s="253">
        <f t="shared" si="4"/>
        <v>-0.54945329461562054</v>
      </c>
      <c r="K24" s="253">
        <f t="shared" si="4"/>
        <v>1.1312322978172196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253"/>
      <c r="K25" s="253"/>
    </row>
    <row r="26" spans="1:11">
      <c r="A26" s="191" t="s">
        <v>404</v>
      </c>
      <c r="B26" s="358"/>
      <c r="C26" s="358"/>
      <c r="D26" s="358"/>
      <c r="E26" s="358"/>
      <c r="F26" s="358"/>
      <c r="G26" s="358"/>
      <c r="H26" s="358"/>
      <c r="I26" s="358"/>
      <c r="J26" s="358"/>
      <c r="K26" s="358"/>
    </row>
    <row r="27" spans="1:11">
      <c r="B27" s="359"/>
      <c r="C27" s="359"/>
      <c r="D27" s="359"/>
      <c r="E27" s="359"/>
      <c r="F27" s="359"/>
      <c r="G27" s="359"/>
      <c r="H27" s="359"/>
      <c r="I27" s="359"/>
      <c r="J27" s="359"/>
      <c r="K27" s="359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2">
    <mergeCell ref="A1:K1"/>
    <mergeCell ref="A19:K19"/>
  </mergeCells>
  <printOptions gridLines="1"/>
  <pageMargins left="0.7" right="0.7" top="0.75" bottom="0.75" header="0.3" footer="0.3"/>
  <pageSetup scale="62" orientation="landscape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K30"/>
  <sheetViews>
    <sheetView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10" width="12.42578125" style="266" customWidth="1"/>
    <col min="11" max="11" width="17.140625" style="266" customWidth="1"/>
    <col min="12" max="16384" width="9.140625" style="266"/>
  </cols>
  <sheetData>
    <row r="1" spans="1:11" ht="15" customHeight="1">
      <c r="A1" s="471" t="s">
        <v>586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10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'18H'!L5*1000/'19H'!B17</f>
        <v>38.442697786569596</v>
      </c>
      <c r="C4" s="253">
        <f>'18H'!M5*1000/'19H'!C17</f>
        <v>30.380434782608695</v>
      </c>
      <c r="D4" s="253">
        <f>'18H'!N5*1000/'19H'!D17</f>
        <v>39.609483960948396</v>
      </c>
      <c r="E4" s="253">
        <f>'18H'!O5*1000/'19H'!E17</f>
        <v>22.390592799127166</v>
      </c>
      <c r="F4" s="253">
        <f>'18H'!P5*1000/'19H'!F17</f>
        <v>8.0426356589147279</v>
      </c>
      <c r="G4" s="253">
        <f>'18H'!Q5*1000/'19H'!G17</f>
        <v>32.852386237513876</v>
      </c>
      <c r="H4" s="253">
        <f>'18H'!R5*1000/'19H'!H17</f>
        <v>24.931569343065693</v>
      </c>
      <c r="I4" s="253">
        <f>'18H'!S5*1000/'19H'!I17</f>
        <v>40.837800277943224</v>
      </c>
      <c r="J4" s="253"/>
      <c r="K4" s="253"/>
    </row>
    <row r="5" spans="1:11" s="332" customFormat="1">
      <c r="A5" s="333">
        <v>2001</v>
      </c>
      <c r="B5" s="253">
        <f>'18H'!L6*1000/'19H'!B18</f>
        <v>38.973267398535086</v>
      </c>
      <c r="C5" s="253">
        <f>'18H'!M6*1000/'19H'!C18</f>
        <v>36.063732715659434</v>
      </c>
      <c r="D5" s="253">
        <f>'18H'!N6*1000/'19H'!D18</f>
        <v>43.154761904761905</v>
      </c>
      <c r="E5" s="253">
        <f>'18H'!O6*1000/'19H'!E18</f>
        <v>21.821924858466289</v>
      </c>
      <c r="F5" s="253">
        <f>'18H'!P6*1000/'19H'!F18</f>
        <v>5.7681641708264006</v>
      </c>
      <c r="G5" s="253">
        <f>'18H'!Q6*1000/'19H'!G18</f>
        <v>34.915014164305951</v>
      </c>
      <c r="H5" s="253">
        <f>'18H'!R6*1000/'19H'!H18</f>
        <v>26.327336551118911</v>
      </c>
      <c r="I5" s="253">
        <f>'18H'!S6*1000/'19H'!I18</f>
        <v>55.778600662638858</v>
      </c>
      <c r="J5" s="253"/>
      <c r="K5" s="253"/>
    </row>
    <row r="6" spans="1:11" s="332" customFormat="1">
      <c r="A6" s="333">
        <v>2002</v>
      </c>
      <c r="B6" s="253">
        <f>'18H'!L7*1000/'19H'!B19</f>
        <v>39.240147296377131</v>
      </c>
      <c r="C6" s="253">
        <f>'18H'!M7*1000/'19H'!C19</f>
        <v>35.555878717370753</v>
      </c>
      <c r="D6" s="253">
        <f>'18H'!N7*1000/'19H'!D19</f>
        <v>48.926380368098158</v>
      </c>
      <c r="E6" s="253">
        <f>'18H'!O7*1000/'19H'!E19</f>
        <v>21.390046580044128</v>
      </c>
      <c r="F6" s="253"/>
      <c r="G6" s="253">
        <f>'18H'!Q7*1000/'19H'!G19</f>
        <v>14.744801512287335</v>
      </c>
      <c r="H6" s="253"/>
      <c r="I6" s="253">
        <f>'18H'!S7*1000/'19H'!I19</f>
        <v>58.424609648100677</v>
      </c>
      <c r="J6" s="253"/>
      <c r="K6" s="253"/>
    </row>
    <row r="7" spans="1:11" s="332" customFormat="1">
      <c r="A7" s="333">
        <v>2003</v>
      </c>
      <c r="B7" s="253">
        <f>'18H'!L8*1000/'19H'!B20</f>
        <v>39.237473686634445</v>
      </c>
      <c r="C7" s="253">
        <f>'18H'!M8*1000/'19H'!C20</f>
        <v>39.322187760042361</v>
      </c>
      <c r="D7" s="253">
        <f>'18H'!N8*1000/'19H'!D20</f>
        <v>49.153908138597906</v>
      </c>
      <c r="E7" s="253">
        <f>'18H'!O8*1000/'19H'!E20</f>
        <v>27.34837977556424</v>
      </c>
      <c r="F7" s="253"/>
      <c r="G7" s="253"/>
      <c r="H7" s="253"/>
      <c r="I7" s="253">
        <f>'18H'!S8*1000/'19H'!I20</f>
        <v>59.772671114405732</v>
      </c>
      <c r="J7" s="253"/>
      <c r="K7" s="253"/>
    </row>
    <row r="8" spans="1:11" s="332" customFormat="1">
      <c r="A8" s="333">
        <v>2004</v>
      </c>
      <c r="B8" s="253">
        <f>'18H'!L9*1000/'19H'!B21</f>
        <v>39.532270032134051</v>
      </c>
      <c r="C8" s="253">
        <f>'18H'!M9*1000/'19H'!C21</f>
        <v>35.962280325760823</v>
      </c>
      <c r="D8" s="253">
        <f>'18H'!N9*1000/'19H'!D21</f>
        <v>48.726376335250613</v>
      </c>
      <c r="E8" s="253">
        <f>'18H'!O9*1000/'19H'!E21</f>
        <v>25.978898007033997</v>
      </c>
      <c r="F8" s="253"/>
      <c r="G8" s="253">
        <f>'18H'!Q9*1000/'19H'!G21</f>
        <v>36.694677871148457</v>
      </c>
      <c r="H8" s="253"/>
      <c r="I8" s="253">
        <f>'18H'!S9*1000/'19H'!I21</f>
        <v>52.340625735121151</v>
      </c>
      <c r="J8" s="253"/>
      <c r="K8" s="253"/>
    </row>
    <row r="9" spans="1:11" s="332" customFormat="1">
      <c r="A9" s="333">
        <v>2005</v>
      </c>
      <c r="B9" s="253">
        <f>'18H'!L10*1000/'19H'!B22</f>
        <v>40.750003083348119</v>
      </c>
      <c r="C9" s="253"/>
      <c r="D9" s="253">
        <f>'18H'!N10*1000/'19H'!D22</f>
        <v>44.344995931651752</v>
      </c>
      <c r="E9" s="253"/>
      <c r="F9" s="253"/>
      <c r="G9" s="253">
        <f>'18H'!Q10*1000/'19H'!G22</f>
        <v>37.845499645641389</v>
      </c>
      <c r="H9" s="253"/>
      <c r="I9" s="253">
        <f>'18H'!S10*1000/'19H'!I22</f>
        <v>59.894259818731115</v>
      </c>
      <c r="J9" s="253"/>
      <c r="K9" s="253"/>
    </row>
    <row r="10" spans="1:11" s="332" customFormat="1">
      <c r="A10" s="333">
        <v>2006</v>
      </c>
      <c r="B10" s="253">
        <f>'18H'!L11*1000/'19H'!B23</f>
        <v>41.650845540876546</v>
      </c>
      <c r="C10" s="253">
        <f>'18H'!M11*1000/'19H'!C23</f>
        <v>37.093690248565963</v>
      </c>
      <c r="D10" s="253">
        <f>'18H'!N11*1000/'19H'!D23</f>
        <v>37.129109863672817</v>
      </c>
      <c r="E10" s="253">
        <f>'18H'!O11*1000/'19H'!E23</f>
        <v>27.138531415594247</v>
      </c>
      <c r="F10" s="253"/>
      <c r="G10" s="253">
        <f>'18H'!Q11*1000/'19H'!G23</f>
        <v>36.075949367088604</v>
      </c>
      <c r="H10" s="253"/>
      <c r="I10" s="253">
        <f>'18H'!S11*1000/'19H'!I23</f>
        <v>64.705882352941174</v>
      </c>
      <c r="J10" s="253"/>
      <c r="K10" s="253"/>
    </row>
    <row r="11" spans="1:11">
      <c r="A11" s="260">
        <v>2007</v>
      </c>
      <c r="B11" s="253">
        <f>'18H'!L12*1000/'19H'!B24</f>
        <v>41.981647307208753</v>
      </c>
      <c r="C11" s="253">
        <f>'18H'!M12*1000/'19H'!C24</f>
        <v>35.367838541666664</v>
      </c>
      <c r="D11" s="253">
        <f>'18H'!N12*1000/'19H'!D24</f>
        <v>32.998324958123952</v>
      </c>
      <c r="E11" s="253">
        <f>'18H'!O12*1000/'19H'!E24</f>
        <v>27.897863734041209</v>
      </c>
      <c r="F11" s="253"/>
      <c r="G11" s="253"/>
      <c r="H11" s="253"/>
      <c r="I11" s="253">
        <f>'18H'!S12*1000/'19H'!I24</f>
        <v>54.822494502042098</v>
      </c>
      <c r="J11" s="253"/>
      <c r="K11" s="253"/>
    </row>
    <row r="12" spans="1:11">
      <c r="A12" s="260">
        <v>2008</v>
      </c>
      <c r="B12" s="253">
        <f>'18H'!L13*1000/'19H'!B25</f>
        <v>42.911395725122077</v>
      </c>
      <c r="C12" s="253">
        <f>'18H'!M13*1000/'19H'!C25</f>
        <v>36.260500562916782</v>
      </c>
      <c r="D12" s="253">
        <f>'18H'!N13*1000/'19H'!D25</f>
        <v>37.744034707158349</v>
      </c>
      <c r="E12" s="253">
        <f>'18H'!O13*1000/'19H'!E25</f>
        <v>28.953963857010947</v>
      </c>
      <c r="F12" s="253"/>
      <c r="G12" s="253"/>
      <c r="H12" s="253"/>
      <c r="I12" s="253">
        <f>'18H'!S13*1000/'19H'!I25</f>
        <v>54.007884362680684</v>
      </c>
      <c r="J12" s="253"/>
      <c r="K12" s="253"/>
    </row>
    <row r="13" spans="1:11">
      <c r="A13" s="260">
        <v>2009</v>
      </c>
      <c r="B13" s="253">
        <f>'18H'!L14*1000/'19H'!B26</f>
        <v>43.196627760664576</v>
      </c>
      <c r="C13" s="253"/>
      <c r="D13" s="253">
        <f>'18H'!N14*1000/'19H'!D26</f>
        <v>44.072524407252438</v>
      </c>
      <c r="E13" s="253">
        <f>'18H'!O14*1000/'19H'!E26</f>
        <v>25.886468436953411</v>
      </c>
      <c r="F13" s="253"/>
      <c r="G13" s="253"/>
      <c r="H13" s="253"/>
      <c r="I13" s="253"/>
      <c r="J13" s="253"/>
      <c r="K13" s="253">
        <f>'18H'!U14*1000/'19H'!K26</f>
        <v>10.795770728992766</v>
      </c>
    </row>
    <row r="14" spans="1:11">
      <c r="A14" s="260">
        <v>2010</v>
      </c>
      <c r="B14" s="253">
        <f>'18H'!L15*1000/'19H'!B27</f>
        <v>44.02456996214142</v>
      </c>
      <c r="C14" s="253"/>
      <c r="D14" s="253">
        <f>'18H'!N15*1000/'19H'!D27</f>
        <v>39.697802197802197</v>
      </c>
      <c r="E14" s="253">
        <f>'18H'!O15*1000/'19H'!E27</f>
        <v>24.835255354200989</v>
      </c>
      <c r="F14" s="253"/>
      <c r="G14" s="253"/>
      <c r="H14" s="253"/>
      <c r="I14" s="253"/>
      <c r="J14" s="253"/>
      <c r="K14" s="253"/>
    </row>
    <row r="15" spans="1:11">
      <c r="A15" s="260">
        <v>2011</v>
      </c>
      <c r="B15" s="253">
        <f>'18H'!L16*1000/'19H'!B28</f>
        <v>44.672040561326902</v>
      </c>
      <c r="C15" s="253">
        <f>'18H'!M16*1000/'19H'!C28</f>
        <v>36.292658355370861</v>
      </c>
      <c r="D15" s="253">
        <f>'18H'!N16*1000/'19H'!D28</f>
        <v>42.231638418079093</v>
      </c>
      <c r="E15" s="253">
        <f>'18H'!O16*1000/'19H'!E28</f>
        <v>26.212153292398899</v>
      </c>
      <c r="F15" s="253"/>
      <c r="G15" s="253"/>
      <c r="H15" s="253"/>
      <c r="I15" s="253">
        <f>'18H'!S16*1000/'19H'!I28</f>
        <v>53.585657370517929</v>
      </c>
      <c r="J15" s="253"/>
      <c r="K15" s="253"/>
    </row>
    <row r="16" spans="1:11">
      <c r="A16" s="260">
        <v>2012</v>
      </c>
      <c r="B16" s="253">
        <f>'18H'!L17*1000/'19H'!B29</f>
        <v>45.387799616512176</v>
      </c>
      <c r="C16" s="253"/>
      <c r="D16" s="253">
        <f>'18H'!N17*1000/'19H'!D29</f>
        <v>31.736526946107784</v>
      </c>
      <c r="E16" s="253">
        <f>'18H'!O17*1000/'19H'!E29</f>
        <v>29.558462796402289</v>
      </c>
      <c r="F16" s="253"/>
      <c r="G16" s="253"/>
      <c r="H16" s="253"/>
      <c r="I16" s="253"/>
      <c r="J16" s="253"/>
      <c r="K16" s="253"/>
    </row>
    <row r="17" spans="1:11">
      <c r="A17" s="260">
        <v>2013</v>
      </c>
      <c r="B17" s="253">
        <f>'18H'!L18*1000/'19H'!B30</f>
        <v>46.588156477536046</v>
      </c>
      <c r="C17" s="253"/>
      <c r="D17" s="253">
        <f>'18H'!N18*1000/'19H'!D30</f>
        <v>35.515151515151516</v>
      </c>
      <c r="E17" s="253">
        <f>'18H'!O18*1000/'19H'!E30</f>
        <v>34.20589529256489</v>
      </c>
      <c r="F17" s="253"/>
      <c r="G17" s="253"/>
      <c r="H17" s="253"/>
      <c r="I17" s="253"/>
      <c r="J17" s="253"/>
      <c r="K17" s="253"/>
    </row>
    <row r="18" spans="1:11" ht="14.25" customHeight="1">
      <c r="A18" s="265"/>
      <c r="B18" s="358"/>
      <c r="C18" s="253"/>
      <c r="D18" s="358"/>
      <c r="E18" s="358"/>
      <c r="F18" s="358"/>
      <c r="G18" s="358"/>
      <c r="H18" s="358"/>
      <c r="I18" s="358"/>
      <c r="J18" s="253"/>
      <c r="K18" s="253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1.2660009414744211</v>
      </c>
      <c r="C20" s="253">
        <f t="shared" ref="C20:D20" si="0">((C11/C4)^(1/7)-1)*100</f>
        <v>2.1952352610050685</v>
      </c>
      <c r="D20" s="253">
        <f t="shared" si="0"/>
        <v>-2.5750061081711073</v>
      </c>
      <c r="E20" s="253" t="s">
        <v>9</v>
      </c>
      <c r="F20" s="253" t="s">
        <v>9</v>
      </c>
      <c r="G20" s="253" t="s">
        <v>9</v>
      </c>
      <c r="H20" s="253" t="s">
        <v>9</v>
      </c>
      <c r="I20" s="253" t="s">
        <v>9</v>
      </c>
      <c r="J20" s="253" t="s">
        <v>9</v>
      </c>
      <c r="K20" s="253" t="s">
        <v>9</v>
      </c>
    </row>
    <row r="21" spans="1:11">
      <c r="A21" s="320" t="s">
        <v>368</v>
      </c>
      <c r="B21" s="253">
        <f>((B14/B11)^(1/3)-1)*100</f>
        <v>1.5964537111607502</v>
      </c>
      <c r="C21" s="253" t="str">
        <f>IFERROR(((C15/C2)^(1/6)-1)*100,"n.a.")</f>
        <v>n.a.</v>
      </c>
      <c r="D21" s="253">
        <f t="shared" ref="D21" si="1">((D14/D11)^(1/3)-1)*100</f>
        <v>6.3550679675242749</v>
      </c>
      <c r="E21" s="253" t="str">
        <f t="shared" ref="E21:K22" si="2">IFERROR(((E15/E2)^(1/6)-1)*100,"n.a.")</f>
        <v>n.a.</v>
      </c>
      <c r="F21" s="253" t="str">
        <f t="shared" si="2"/>
        <v>n.a.</v>
      </c>
      <c r="G21" s="253" t="str">
        <f t="shared" si="2"/>
        <v>n.a.</v>
      </c>
      <c r="H21" s="253" t="str">
        <f t="shared" si="2"/>
        <v>n.a.</v>
      </c>
      <c r="I21" s="253" t="str">
        <f t="shared" si="2"/>
        <v>n.a.</v>
      </c>
      <c r="J21" s="253" t="str">
        <f t="shared" si="2"/>
        <v>n.a.</v>
      </c>
      <c r="K21" s="253" t="str">
        <f t="shared" si="2"/>
        <v>n.a.</v>
      </c>
    </row>
    <row r="22" spans="1:11">
      <c r="A22" s="320" t="s">
        <v>392</v>
      </c>
      <c r="B22" s="253">
        <f>((B17/B14)^(1/3)-1)*100</f>
        <v>1.9045246971348018</v>
      </c>
      <c r="C22" s="253" t="str">
        <f>IFERROR(((C16/C3)^(1/6)-1)*100,"n.a.")</f>
        <v>n.a.</v>
      </c>
      <c r="D22" s="253">
        <f t="shared" ref="D22" si="3">((D17/D14)^(1/3)-1)*100</f>
        <v>-3.6431924345079136</v>
      </c>
      <c r="E22" s="253" t="str">
        <f t="shared" si="2"/>
        <v>n.a.</v>
      </c>
      <c r="F22" s="253" t="str">
        <f t="shared" si="2"/>
        <v>n.a.</v>
      </c>
      <c r="G22" s="253" t="str">
        <f t="shared" si="2"/>
        <v>n.a.</v>
      </c>
      <c r="H22" s="253" t="str">
        <f t="shared" si="2"/>
        <v>n.a.</v>
      </c>
      <c r="I22" s="253" t="str">
        <f t="shared" si="2"/>
        <v>n.a.</v>
      </c>
      <c r="J22" s="253" t="str">
        <f t="shared" si="2"/>
        <v>n.a.</v>
      </c>
      <c r="K22" s="253" t="str">
        <f t="shared" si="2"/>
        <v>n.a.</v>
      </c>
    </row>
    <row r="23" spans="1:11">
      <c r="A23" s="285" t="s">
        <v>69</v>
      </c>
      <c r="B23" s="253">
        <f>IFERROR(((B17/B11)^(1/6)-1)*100,"n.a.")</f>
        <v>1.7503726103756945</v>
      </c>
      <c r="C23" s="253"/>
      <c r="D23" s="253">
        <f t="shared" ref="D23:K23" si="4">IFERROR(((D17/D11)^(1/6)-1)*100,"n.a.")</f>
        <v>1.2325778480503091</v>
      </c>
      <c r="E23" s="253">
        <f t="shared" si="4"/>
        <v>3.4558378438120041</v>
      </c>
      <c r="F23" s="253" t="str">
        <f t="shared" si="4"/>
        <v>n.a.</v>
      </c>
      <c r="G23" s="253" t="str">
        <f t="shared" si="4"/>
        <v>n.a.</v>
      </c>
      <c r="H23" s="253" t="str">
        <f t="shared" si="4"/>
        <v>n.a.</v>
      </c>
      <c r="I23" s="253"/>
      <c r="J23" s="253" t="str">
        <f t="shared" si="4"/>
        <v>n.a.</v>
      </c>
      <c r="K23" s="253" t="str">
        <f t="shared" si="4"/>
        <v>n.a.</v>
      </c>
    </row>
    <row r="24" spans="1:11" s="352" customFormat="1">
      <c r="A24" s="355" t="s">
        <v>15</v>
      </c>
      <c r="B24" s="253">
        <f>((B17/B4)^(1/13)-1)*100</f>
        <v>1.4892699105030438</v>
      </c>
      <c r="C24" s="253" t="s">
        <v>9</v>
      </c>
      <c r="D24" s="253">
        <f t="shared" ref="D24" si="5">((D17/D4)^(1/13)-1)*100</f>
        <v>-0.83578904461503178</v>
      </c>
      <c r="E24" s="253" t="s">
        <v>9</v>
      </c>
      <c r="F24" s="253" t="s">
        <v>9</v>
      </c>
      <c r="G24" s="253" t="s">
        <v>9</v>
      </c>
      <c r="H24" s="253" t="s">
        <v>9</v>
      </c>
      <c r="I24" s="253" t="s">
        <v>9</v>
      </c>
      <c r="J24" s="253" t="s">
        <v>9</v>
      </c>
      <c r="K24" s="253" t="s">
        <v>9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253"/>
      <c r="K25" s="253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405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86" orientation="landscape" horizontalDpi="0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K30"/>
  <sheetViews>
    <sheetView tabSelected="1" view="pageBreakPreview" zoomScaleNormal="85" zoomScaleSheetLayoutView="100" workbookViewId="0">
      <selection sqref="A1:K1"/>
    </sheetView>
  </sheetViews>
  <sheetFormatPr defaultRowHeight="15"/>
  <cols>
    <col min="1" max="1" width="12" style="266" customWidth="1"/>
    <col min="2" max="2" width="13.7109375" style="266" bestFit="1" customWidth="1"/>
    <col min="3" max="3" width="13.7109375" style="266" customWidth="1"/>
    <col min="4" max="4" width="20.42578125" style="266" bestFit="1" customWidth="1"/>
    <col min="5" max="5" width="19.5703125" style="266" bestFit="1" customWidth="1"/>
    <col min="6" max="8" width="19.5703125" style="266" customWidth="1"/>
    <col min="9" max="9" width="17" style="266" customWidth="1"/>
    <col min="10" max="10" width="17.28515625" style="266" bestFit="1" customWidth="1"/>
    <col min="11" max="11" width="20.7109375" style="266" bestFit="1" customWidth="1"/>
    <col min="12" max="16384" width="9.140625" style="266"/>
  </cols>
  <sheetData>
    <row r="1" spans="1:11" ht="15" customHeight="1">
      <c r="A1" s="471" t="s">
        <v>587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1" ht="75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332" customFormat="1">
      <c r="A4" s="333">
        <v>2000</v>
      </c>
      <c r="B4" s="253">
        <f>'18I'!L5*1000/'19I'!B17</f>
        <v>49.153827540719647</v>
      </c>
      <c r="C4" s="253">
        <f>'18I'!M5*1000/'19I'!C17</f>
        <v>53.388642206122924</v>
      </c>
      <c r="D4" s="253">
        <f>'18I'!N5*1000/'19I'!D17</f>
        <v>106.65188470066519</v>
      </c>
      <c r="E4" s="253">
        <f>'18I'!O5*1000/'19I'!E17</f>
        <v>18.911729141475213</v>
      </c>
      <c r="F4" s="253">
        <f>'18I'!P5*1000/'19I'!F17</f>
        <v>30.611169652265541</v>
      </c>
      <c r="G4" s="253">
        <f>'18I'!Q5*1000/'19I'!G17</f>
        <v>11.538461538461538</v>
      </c>
      <c r="H4" s="253">
        <f>'18I'!R5*1000/'19I'!H17</f>
        <v>24.857954545454547</v>
      </c>
      <c r="I4" s="253">
        <f>'18I'!S5*1000/'19I'!I17</f>
        <v>63.745387453874535</v>
      </c>
      <c r="J4" s="253"/>
      <c r="K4" s="253"/>
    </row>
    <row r="5" spans="1:11" s="332" customFormat="1">
      <c r="A5" s="333">
        <v>2001</v>
      </c>
      <c r="B5" s="253">
        <f>'18I'!L6*1000/'19I'!B18</f>
        <v>50.014223407698147</v>
      </c>
      <c r="C5" s="253">
        <f>'18I'!M6*1000/'19I'!C18</f>
        <v>54.788418708240535</v>
      </c>
      <c r="D5" s="253">
        <f>'18I'!N6*1000/'19I'!D18</f>
        <v>113.24263038548753</v>
      </c>
      <c r="E5" s="253">
        <f>'18I'!O6*1000/'19I'!E18</f>
        <v>16.242713301536831</v>
      </c>
      <c r="F5" s="253">
        <f>'18I'!P6*1000/'19I'!F18</f>
        <v>26.141628060886831</v>
      </c>
      <c r="G5" s="253">
        <f>'18I'!Q6*1000/'19I'!G18</f>
        <v>11.66883963494133</v>
      </c>
      <c r="H5" s="253">
        <f>'18I'!R6*1000/'19I'!H18</f>
        <v>21.124828532235938</v>
      </c>
      <c r="I5" s="253">
        <f>'18I'!S6*1000/'19I'!I18</f>
        <v>62.672372800760819</v>
      </c>
      <c r="J5" s="253"/>
      <c r="K5" s="253"/>
    </row>
    <row r="6" spans="1:11" s="332" customFormat="1">
      <c r="A6" s="333">
        <v>2002</v>
      </c>
      <c r="B6" s="253">
        <f>'18I'!L7*1000/'19I'!B19</f>
        <v>49.5200070795077</v>
      </c>
      <c r="C6" s="253">
        <f>'18I'!M7*1000/'19I'!C19</f>
        <v>60.882856444118374</v>
      </c>
      <c r="D6" s="253">
        <f>'18I'!N7*1000/'19I'!D19</f>
        <v>144.07630522088354</v>
      </c>
      <c r="E6" s="253">
        <f>'18I'!O7*1000/'19I'!E19</f>
        <v>15.640790078089113</v>
      </c>
      <c r="F6" s="253">
        <f>'18I'!P7*1000/'19I'!F19</f>
        <v>19.951485748938751</v>
      </c>
      <c r="G6" s="253">
        <f>'18I'!Q7*1000/'19I'!G19</f>
        <v>13.278688524590164</v>
      </c>
      <c r="H6" s="253">
        <f>'18I'!R7*1000/'19I'!H19</f>
        <v>29.714285714285715</v>
      </c>
      <c r="I6" s="253">
        <f>'18I'!S7*1000/'19I'!I19</f>
        <v>77.947598253275103</v>
      </c>
      <c r="J6" s="253"/>
      <c r="K6" s="253"/>
    </row>
    <row r="7" spans="1:11" s="332" customFormat="1">
      <c r="A7" s="333">
        <v>2003</v>
      </c>
      <c r="B7" s="253">
        <f>'18I'!L8*1000/'19I'!B20</f>
        <v>51.20285745496254</v>
      </c>
      <c r="C7" s="253">
        <f>'18I'!M8*1000/'19I'!C20</f>
        <v>62.357048272541228</v>
      </c>
      <c r="D7" s="253">
        <f>'18I'!N8*1000/'19I'!D20</f>
        <v>123.35731414868106</v>
      </c>
      <c r="E7" s="253">
        <f>'18I'!O8*1000/'19I'!E20</f>
        <v>22.492767598842814</v>
      </c>
      <c r="F7" s="253"/>
      <c r="G7" s="253"/>
      <c r="H7" s="253"/>
      <c r="I7" s="253">
        <f>'18I'!S8*1000/'19I'!I20</f>
        <v>80.761812921890069</v>
      </c>
      <c r="J7" s="253"/>
      <c r="K7" s="253"/>
    </row>
    <row r="8" spans="1:11" s="332" customFormat="1">
      <c r="A8" s="333">
        <v>2004</v>
      </c>
      <c r="B8" s="253">
        <f>'18I'!L9*1000/'19I'!B21</f>
        <v>52.944704249268881</v>
      </c>
      <c r="C8" s="253">
        <f>'18I'!M9*1000/'19I'!C21</f>
        <v>58.240878417019339</v>
      </c>
      <c r="D8" s="253">
        <f>'18I'!N9*1000/'19I'!D21</f>
        <v>49.948927477017364</v>
      </c>
      <c r="E8" s="253">
        <f>'18I'!O9*1000/'19I'!E21</f>
        <v>35.939612438035148</v>
      </c>
      <c r="F8" s="253"/>
      <c r="G8" s="253">
        <f>'18I'!Q9*1000/'19I'!G21</f>
        <v>39.479905437352244</v>
      </c>
      <c r="H8" s="253"/>
      <c r="I8" s="253">
        <f>'18I'!S9*1000/'19I'!I21</f>
        <v>107.32850447379633</v>
      </c>
      <c r="J8" s="253"/>
      <c r="K8" s="253"/>
    </row>
    <row r="9" spans="1:11" s="332" customFormat="1">
      <c r="A9" s="333">
        <v>2005</v>
      </c>
      <c r="B9" s="253">
        <f>'18I'!L10*1000/'19I'!B22</f>
        <v>54.230461922037925</v>
      </c>
      <c r="C9" s="253">
        <f>'18I'!M10*1000/'19I'!C22</f>
        <v>66.751592356687894</v>
      </c>
      <c r="D9" s="253">
        <f>'18I'!N10*1000/'19I'!D22</f>
        <v>43.824145150034894</v>
      </c>
      <c r="E9" s="253">
        <f>'18I'!O10*1000/'19I'!E22</f>
        <v>47.014925373134325</v>
      </c>
      <c r="F9" s="253"/>
      <c r="G9" s="253">
        <f>'18I'!Q10*1000/'19I'!G22</f>
        <v>52.20125786163522</v>
      </c>
      <c r="H9" s="253"/>
      <c r="I9" s="253">
        <f>'18I'!S10*1000/'19I'!I22</f>
        <v>123.61702127659575</v>
      </c>
      <c r="J9" s="253"/>
      <c r="K9" s="253"/>
    </row>
    <row r="10" spans="1:11" s="332" customFormat="1">
      <c r="A10" s="333">
        <v>2006</v>
      </c>
      <c r="B10" s="253">
        <f>'18I'!L11*1000/'19I'!B23</f>
        <v>52.467304159652706</v>
      </c>
      <c r="C10" s="253">
        <f>'18I'!M11*1000/'19I'!C23</f>
        <v>48.043212392988181</v>
      </c>
      <c r="D10" s="253">
        <f>'18I'!N11*1000/'19I'!D23</f>
        <v>64.902280130293164</v>
      </c>
      <c r="E10" s="253">
        <f>'18I'!O11*1000/'19I'!E23</f>
        <v>43.021632937892534</v>
      </c>
      <c r="F10" s="253"/>
      <c r="G10" s="253">
        <f>'18I'!Q11*1000/'19I'!G23</f>
        <v>43.80222841225627</v>
      </c>
      <c r="H10" s="253"/>
      <c r="I10" s="253">
        <f>'18I'!S11*1000/'19I'!I23</f>
        <v>40.270935960591139</v>
      </c>
      <c r="J10" s="253"/>
      <c r="K10" s="253"/>
    </row>
    <row r="11" spans="1:11">
      <c r="A11" s="260">
        <v>2007</v>
      </c>
      <c r="B11" s="253">
        <f>'18I'!L12*1000/'19I'!B24</f>
        <v>53.026734321714549</v>
      </c>
      <c r="C11" s="253">
        <f>'18I'!M12*1000/'19I'!C24</f>
        <v>39.093110279550956</v>
      </c>
      <c r="D11" s="253">
        <f>'18I'!N12*1000/'19I'!D24</f>
        <v>43.856143856143859</v>
      </c>
      <c r="E11" s="253">
        <f>'18I'!O12*1000/'19I'!E24</f>
        <v>37.196110210696922</v>
      </c>
      <c r="F11" s="253"/>
      <c r="G11" s="253">
        <f>'18I'!Q12*1000/'19I'!G24</f>
        <v>51.85891325071497</v>
      </c>
      <c r="H11" s="253"/>
      <c r="I11" s="253">
        <f>'18I'!S12*1000/'19I'!I24</f>
        <v>39.013035381750463</v>
      </c>
      <c r="J11" s="253"/>
      <c r="K11" s="253"/>
    </row>
    <row r="12" spans="1:11">
      <c r="A12" s="260">
        <v>2008</v>
      </c>
      <c r="B12" s="253">
        <f>'18I'!L13*1000/'19I'!B25</f>
        <v>54.466251905290456</v>
      </c>
      <c r="C12" s="253">
        <f>'18I'!M13*1000/'19I'!C25</f>
        <v>39.786585365853668</v>
      </c>
      <c r="D12" s="253">
        <f>'18I'!N13*1000/'19I'!D25</f>
        <v>42.793296089385478</v>
      </c>
      <c r="E12" s="253">
        <f>'18I'!O13*1000/'19I'!E25</f>
        <v>35.120845921450154</v>
      </c>
      <c r="F12" s="253">
        <f>'18I'!P13*1000/'19I'!F25</f>
        <v>18.456375838926174</v>
      </c>
      <c r="G12" s="253">
        <f>'18I'!Q13*1000/'19I'!G25</f>
        <v>54.166666666666664</v>
      </c>
      <c r="H12" s="253">
        <f>'18I'!R13*1000/'19I'!H25</f>
        <v>32.029339853300733</v>
      </c>
      <c r="I12" s="253">
        <f>'18I'!S13*1000/'19I'!I25</f>
        <v>64.376590330788801</v>
      </c>
      <c r="J12" s="253"/>
      <c r="K12" s="253">
        <f>'18I'!U13*1000/'19I'!K25</f>
        <v>64.376590330788801</v>
      </c>
    </row>
    <row r="13" spans="1:11">
      <c r="A13" s="260">
        <v>2009</v>
      </c>
      <c r="B13" s="253">
        <f>'18I'!L14*1000/'19I'!B26</f>
        <v>52.718893226415716</v>
      </c>
      <c r="C13" s="253"/>
      <c r="D13" s="253">
        <f>'18I'!N14*1000/'19I'!D26</f>
        <v>54.109589041095887</v>
      </c>
      <c r="E13" s="253">
        <f>'18I'!O14*1000/'19I'!E26</f>
        <v>29.62515114873035</v>
      </c>
      <c r="F13" s="253"/>
      <c r="G13" s="253"/>
      <c r="H13" s="253">
        <f>'18I'!R14*1000/'19I'!H26</f>
        <v>24.528301886792452</v>
      </c>
      <c r="I13" s="253"/>
      <c r="J13" s="253"/>
      <c r="K13" s="253">
        <f>'18I'!U14*1000/'19I'!K26</f>
        <v>48.866498740554157</v>
      </c>
    </row>
    <row r="14" spans="1:11">
      <c r="A14" s="260">
        <v>2010</v>
      </c>
      <c r="B14" s="253">
        <f>'18I'!L15*1000/'19I'!B27</f>
        <v>54.283342249656343</v>
      </c>
      <c r="C14" s="253"/>
      <c r="D14" s="253">
        <f>'18I'!N15*1000/'19I'!D27</f>
        <v>62.05923836389281</v>
      </c>
      <c r="E14" s="253">
        <f>'18I'!O15*1000/'19I'!E27</f>
        <v>26.64532194948417</v>
      </c>
      <c r="F14" s="253"/>
      <c r="G14" s="253">
        <f>'18I'!Q15*1000/'19I'!G27</f>
        <v>27.658227848101266</v>
      </c>
      <c r="H14" s="253"/>
      <c r="I14" s="253"/>
      <c r="J14" s="253"/>
      <c r="K14" s="253"/>
    </row>
    <row r="15" spans="1:11">
      <c r="A15" s="260">
        <v>2011</v>
      </c>
      <c r="B15" s="253">
        <f>'18I'!L16*1000/'19I'!B28</f>
        <v>57.031668318061826</v>
      </c>
      <c r="C15" s="253"/>
      <c r="D15" s="253">
        <f>'18I'!N16*1000/'19I'!D28</f>
        <v>71.21710526315789</v>
      </c>
      <c r="E15" s="253">
        <f>'18I'!O16*1000/'19I'!E28</f>
        <v>32.035519125683059</v>
      </c>
      <c r="F15" s="253"/>
      <c r="G15" s="253">
        <f>'18I'!Q16*1000/'19I'!G28</f>
        <v>31.12543962485346</v>
      </c>
      <c r="H15" s="253"/>
      <c r="I15" s="253"/>
      <c r="J15" s="253"/>
      <c r="K15" s="253"/>
    </row>
    <row r="16" spans="1:11">
      <c r="A16" s="260">
        <v>2012</v>
      </c>
      <c r="B16" s="253">
        <f>'18I'!L17*1000/'19I'!B29</f>
        <v>56.859381940031078</v>
      </c>
      <c r="C16" s="253"/>
      <c r="D16" s="253">
        <f>'18I'!N17*1000/'19I'!D29</f>
        <v>65.829846582984658</v>
      </c>
      <c r="E16" s="253">
        <f>'18I'!O17*1000/'19I'!E29</f>
        <v>39.736922606301619</v>
      </c>
      <c r="F16" s="253"/>
      <c r="G16" s="253">
        <f>'18I'!Q17*1000/'19I'!G29</f>
        <v>44.173140954495004</v>
      </c>
      <c r="H16" s="253"/>
      <c r="I16" s="253"/>
      <c r="J16" s="253"/>
      <c r="K16" s="253"/>
    </row>
    <row r="17" spans="1:11">
      <c r="A17" s="260">
        <v>2013</v>
      </c>
      <c r="B17" s="253">
        <f>'18I'!L18*1000/'19I'!B30</f>
        <v>57.469708619069827</v>
      </c>
      <c r="C17" s="253"/>
      <c r="D17" s="253">
        <f>'18I'!N18*1000/'19I'!D30</f>
        <v>87.075928917609048</v>
      </c>
      <c r="E17" s="253">
        <f>'18I'!O18*1000/'19I'!E30</f>
        <v>53.09007232084155</v>
      </c>
      <c r="F17" s="253"/>
      <c r="G17" s="253">
        <f>'18I'!Q18*1000/'19I'!G30</f>
        <v>61.28625472887768</v>
      </c>
      <c r="H17" s="253"/>
      <c r="I17" s="253"/>
      <c r="J17" s="253"/>
      <c r="K17" s="253"/>
    </row>
    <row r="18" spans="1:11">
      <c r="A18" s="265"/>
      <c r="B18" s="358"/>
      <c r="C18" s="358"/>
      <c r="D18" s="358"/>
      <c r="E18" s="358"/>
      <c r="F18" s="358"/>
      <c r="G18" s="358"/>
      <c r="H18" s="358"/>
      <c r="I18" s="358"/>
      <c r="J18" s="253"/>
      <c r="K18" s="253"/>
    </row>
    <row r="19" spans="1:11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1" s="352" customFormat="1">
      <c r="A20" s="355" t="s">
        <v>68</v>
      </c>
      <c r="B20" s="253">
        <f>((B11/B4)^(1/7)-1)*100</f>
        <v>1.0893404194881162</v>
      </c>
      <c r="C20" s="253">
        <f t="shared" ref="C20:I20" si="0">((C11/C4)^(1/7)-1)*100</f>
        <v>-4.3545139733616622</v>
      </c>
      <c r="D20" s="253">
        <f t="shared" si="0"/>
        <v>-11.922295609536359</v>
      </c>
      <c r="E20" s="253">
        <f t="shared" si="0"/>
        <v>10.145462884116419</v>
      </c>
      <c r="F20" s="253" t="s">
        <v>9</v>
      </c>
      <c r="G20" s="253" t="s">
        <v>9</v>
      </c>
      <c r="H20" s="253" t="s">
        <v>9</v>
      </c>
      <c r="I20" s="253">
        <f t="shared" si="0"/>
        <v>-6.7739502466598438</v>
      </c>
      <c r="J20" s="253" t="s">
        <v>9</v>
      </c>
      <c r="K20" s="253" t="s">
        <v>9</v>
      </c>
    </row>
    <row r="21" spans="1:11">
      <c r="A21" s="320" t="s">
        <v>368</v>
      </c>
      <c r="B21" s="253">
        <f>((B14/B11)^(1/3)-1)*100</f>
        <v>0.78376211967035037</v>
      </c>
      <c r="C21" s="253" t="str">
        <f>IFERROR(((C15/C2)^(1/6)-1)*100,"n.a.")</f>
        <v>n.a.</v>
      </c>
      <c r="D21" s="253">
        <f t="shared" ref="D21:G21" si="1">((D14/D11)^(1/3)-1)*100</f>
        <v>12.268692854452734</v>
      </c>
      <c r="E21" s="253">
        <f t="shared" si="1"/>
        <v>-10.52374152457446</v>
      </c>
      <c r="F21" s="253" t="str">
        <f>IFERROR(((F15/F2)^(1/6)-1)*100,"n.a.")</f>
        <v>n.a.</v>
      </c>
      <c r="G21" s="253">
        <f t="shared" si="1"/>
        <v>-18.903835798304325</v>
      </c>
      <c r="H21" s="253" t="str">
        <f t="shared" ref="H21:K22" si="2">IFERROR(((H15/H2)^(1/6)-1)*100,"n.a.")</f>
        <v>n.a.</v>
      </c>
      <c r="I21" s="253" t="str">
        <f t="shared" si="2"/>
        <v>n.a.</v>
      </c>
      <c r="J21" s="253" t="str">
        <f t="shared" si="2"/>
        <v>n.a.</v>
      </c>
      <c r="K21" s="253" t="str">
        <f t="shared" si="2"/>
        <v>n.a.</v>
      </c>
    </row>
    <row r="22" spans="1:11">
      <c r="A22" s="320" t="s">
        <v>392</v>
      </c>
      <c r="B22" s="253">
        <f>((B17/B14)^(1/3)-1)*100</f>
        <v>1.9195439956658511</v>
      </c>
      <c r="C22" s="253" t="str">
        <f>IFERROR(((C16/C3)^(1/6)-1)*100,"n.a.")</f>
        <v>n.a.</v>
      </c>
      <c r="D22" s="253">
        <f t="shared" ref="D22:G22" si="3">((D17/D14)^(1/3)-1)*100</f>
        <v>11.95166533111205</v>
      </c>
      <c r="E22" s="253">
        <f t="shared" si="3"/>
        <v>25.83383952528413</v>
      </c>
      <c r="F22" s="253" t="str">
        <f>IFERROR(((F16/F3)^(1/6)-1)*100,"n.a.")</f>
        <v>n.a.</v>
      </c>
      <c r="G22" s="253">
        <f t="shared" si="3"/>
        <v>30.370573895708141</v>
      </c>
      <c r="H22" s="253" t="str">
        <f t="shared" si="2"/>
        <v>n.a.</v>
      </c>
      <c r="I22" s="253" t="str">
        <f t="shared" si="2"/>
        <v>n.a.</v>
      </c>
      <c r="J22" s="253" t="str">
        <f t="shared" si="2"/>
        <v>n.a.</v>
      </c>
      <c r="K22" s="253" t="str">
        <f t="shared" si="2"/>
        <v>n.a.</v>
      </c>
    </row>
    <row r="23" spans="1:11">
      <c r="A23" s="285" t="s">
        <v>69</v>
      </c>
      <c r="B23" s="253">
        <f>IFERROR(((B17/B11)^(1/6)-1)*100,"n.a.")</f>
        <v>1.3500620493370308</v>
      </c>
      <c r="C23" s="253"/>
      <c r="D23" s="253">
        <f t="shared" ref="D23:K23" si="4">IFERROR(((D17/D11)^(1/6)-1)*100,"n.a.")</f>
        <v>12.110067030588766</v>
      </c>
      <c r="E23" s="253">
        <f t="shared" si="4"/>
        <v>6.1091002238711889</v>
      </c>
      <c r="F23" s="253" t="str">
        <f t="shared" si="4"/>
        <v>n.a.</v>
      </c>
      <c r="G23" s="253">
        <f t="shared" si="4"/>
        <v>2.8229228709029108</v>
      </c>
      <c r="H23" s="253" t="str">
        <f t="shared" si="4"/>
        <v>n.a.</v>
      </c>
      <c r="I23" s="253"/>
      <c r="J23" s="253" t="str">
        <f t="shared" si="4"/>
        <v>n.a.</v>
      </c>
      <c r="K23" s="253" t="str">
        <f t="shared" si="4"/>
        <v>n.a.</v>
      </c>
    </row>
    <row r="24" spans="1:11" s="352" customFormat="1">
      <c r="A24" s="355" t="s">
        <v>15</v>
      </c>
      <c r="B24" s="253">
        <f>((B17/B4)^(1/13)-1)*100</f>
        <v>1.209590033038177</v>
      </c>
      <c r="C24" s="253" t="s">
        <v>9</v>
      </c>
      <c r="D24" s="253">
        <f t="shared" ref="D24:E24" si="5">((D17/D4)^(1/13)-1)*100</f>
        <v>-1.5478165110970776</v>
      </c>
      <c r="E24" s="253">
        <f t="shared" si="5"/>
        <v>8.2637925791209312</v>
      </c>
      <c r="F24" s="253" t="s">
        <v>9</v>
      </c>
      <c r="G24" s="253" t="s">
        <v>9</v>
      </c>
      <c r="H24" s="253" t="s">
        <v>9</v>
      </c>
      <c r="I24" s="253" t="s">
        <v>9</v>
      </c>
      <c r="J24" s="253" t="s">
        <v>9</v>
      </c>
      <c r="K24" s="253" t="s">
        <v>9</v>
      </c>
    </row>
    <row r="25" spans="1:11">
      <c r="A25" s="265"/>
      <c r="B25" s="358"/>
      <c r="C25" s="358"/>
      <c r="D25" s="358"/>
      <c r="E25" s="358"/>
      <c r="F25" s="358"/>
      <c r="G25" s="358"/>
      <c r="H25" s="358"/>
      <c r="I25" s="358"/>
      <c r="J25" s="253"/>
      <c r="K25" s="253"/>
    </row>
    <row r="26" spans="1:11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1">
      <c r="A27" s="472" t="s">
        <v>406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1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1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1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63" orientation="landscape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M30"/>
  <sheetViews>
    <sheetView view="pageBreakPreview" zoomScaleNormal="85" zoomScaleSheetLayoutView="100" workbookViewId="0">
      <selection activeCell="M6" sqref="M6"/>
    </sheetView>
  </sheetViews>
  <sheetFormatPr defaultRowHeight="15"/>
  <cols>
    <col min="1" max="1" width="10.42578125" style="266" customWidth="1"/>
    <col min="2" max="2" width="13.7109375" style="266" bestFit="1" customWidth="1"/>
    <col min="3" max="3" width="13.7109375" style="266" customWidth="1"/>
    <col min="4" max="4" width="12.85546875" style="266" bestFit="1" customWidth="1"/>
    <col min="5" max="5" width="14.5703125" style="266" bestFit="1" customWidth="1"/>
    <col min="6" max="8" width="14.5703125" style="266" customWidth="1"/>
    <col min="9" max="9" width="17" style="266" customWidth="1"/>
    <col min="10" max="10" width="17.28515625" style="266" bestFit="1" customWidth="1"/>
    <col min="11" max="11" width="16.28515625" style="266" bestFit="1" customWidth="1"/>
    <col min="12" max="16384" width="9.140625" style="266"/>
  </cols>
  <sheetData>
    <row r="1" spans="1:13" ht="15" customHeight="1">
      <c r="A1" s="471" t="s">
        <v>588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</row>
    <row r="2" spans="1:13" ht="90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</row>
    <row r="3" spans="1:13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3" s="332" customFormat="1">
      <c r="A4" s="333">
        <v>2000</v>
      </c>
      <c r="B4" s="253">
        <f>'18J'!L5*1000/'19J'!B17</f>
        <v>64.860528326256699</v>
      </c>
      <c r="C4" s="253">
        <f>'18J'!M5*1000/'19J'!C17</f>
        <v>47.683069401636736</v>
      </c>
      <c r="D4" s="253">
        <f>'18J'!N5*1000/'19J'!D17</f>
        <v>44.232462577047258</v>
      </c>
      <c r="E4" s="253">
        <f>'18J'!O5*1000/'19J'!E17</f>
        <v>42.067255405229041</v>
      </c>
      <c r="F4" s="253">
        <f>'18J'!P5*1000/'19J'!F17</f>
        <v>54.896433386444414</v>
      </c>
      <c r="G4" s="253">
        <f>'18J'!Q5*1000/'19J'!G17</f>
        <v>38.090885348655</v>
      </c>
      <c r="H4" s="253">
        <f>'18J'!R5*1000/'19J'!H17</f>
        <v>30.372333007948683</v>
      </c>
      <c r="I4" s="253">
        <f>'18J'!S5*1000/'19J'!I17</f>
        <v>67.160178685386086</v>
      </c>
      <c r="J4" s="253"/>
      <c r="K4" s="253"/>
    </row>
    <row r="5" spans="1:13" s="332" customFormat="1">
      <c r="A5" s="333">
        <v>2001</v>
      </c>
      <c r="B5" s="253">
        <f>'18J'!L6*1000/'19J'!B18</f>
        <v>63.909788916232522</v>
      </c>
      <c r="C5" s="253">
        <f>'18J'!M6*1000/'19J'!C18</f>
        <v>48.97008475051917</v>
      </c>
      <c r="D5" s="253">
        <f>'18J'!N6*1000/'19J'!D18</f>
        <v>44.72022323395506</v>
      </c>
      <c r="E5" s="253">
        <f>'18J'!O6*1000/'19J'!E18</f>
        <v>43.074331811533177</v>
      </c>
      <c r="F5" s="253">
        <f>'18J'!P6*1000/'19J'!F18</f>
        <v>56.209386281588451</v>
      </c>
      <c r="G5" s="253">
        <f>'18J'!Q6*1000/'19J'!G18</f>
        <v>34.011505542303915</v>
      </c>
      <c r="H5" s="253">
        <f>'18J'!R6*1000/'19J'!H18</f>
        <v>35.331274564851206</v>
      </c>
      <c r="I5" s="253">
        <f>'18J'!S6*1000/'19J'!I18</f>
        <v>74.824393358876122</v>
      </c>
      <c r="J5" s="253"/>
      <c r="K5" s="253"/>
    </row>
    <row r="6" spans="1:13" s="332" customFormat="1">
      <c r="A6" s="333">
        <v>2002</v>
      </c>
      <c r="B6" s="253">
        <f>'18J'!L7*1000/'19J'!B19</f>
        <v>64.388615221073294</v>
      </c>
      <c r="C6" s="253">
        <f>'18J'!M7*1000/'19J'!C19</f>
        <v>49.011102504518462</v>
      </c>
      <c r="D6" s="253">
        <f>'18J'!N7*1000/'19J'!D19</f>
        <v>52.119164619164621</v>
      </c>
      <c r="E6" s="253">
        <f>'18J'!O7*1000/'19J'!E19</f>
        <v>41.171914333294602</v>
      </c>
      <c r="F6" s="253">
        <f>'18J'!P7*1000/'19J'!F19</f>
        <v>58.308605341246292</v>
      </c>
      <c r="G6" s="253">
        <f>'18J'!Q7*1000/'19J'!G19</f>
        <v>37.334560939118425</v>
      </c>
      <c r="H6" s="253">
        <f>'18J'!R7*1000/'19J'!H19</f>
        <v>28.888888888888889</v>
      </c>
      <c r="I6" s="253">
        <f>'18J'!S7*1000/'19J'!I19</f>
        <v>77.489448178833825</v>
      </c>
      <c r="J6" s="253">
        <f>'18J'!T7*1000/'19J'!J19</f>
        <v>85.196445275958837</v>
      </c>
      <c r="K6" s="253">
        <f>'18J'!U7*1000/'19J'!K19</f>
        <v>65.801886792452834</v>
      </c>
    </row>
    <row r="7" spans="1:13" s="332" customFormat="1">
      <c r="A7" s="333">
        <v>2003</v>
      </c>
      <c r="B7" s="253">
        <f>'18J'!L8*1000/'19J'!B20</f>
        <v>64.202640817492423</v>
      </c>
      <c r="C7" s="253">
        <f>'18J'!M8*1000/'19J'!C20</f>
        <v>50.790576749615319</v>
      </c>
      <c r="D7" s="253">
        <f>'18J'!N8*1000/'19J'!D20</f>
        <v>47.053987393806523</v>
      </c>
      <c r="E7" s="253">
        <f>'18J'!O8*1000/'19J'!E20</f>
        <v>43.870914629126531</v>
      </c>
      <c r="F7" s="253">
        <f>'18J'!P8*1000/'19J'!F20</f>
        <v>55.242471882936265</v>
      </c>
      <c r="G7" s="253">
        <f>'18J'!Q8*1000/'19J'!G20</f>
        <v>42.304363951044628</v>
      </c>
      <c r="H7" s="253">
        <f>'18J'!R8*1000/'19J'!H20</f>
        <v>32.140607282348498</v>
      </c>
      <c r="I7" s="253">
        <f>'18J'!S8*1000/'19J'!I20</f>
        <v>82.808915109800068</v>
      </c>
      <c r="J7" s="253">
        <f>'18J'!T8*1000/'19J'!J20</f>
        <v>96.708027348695879</v>
      </c>
      <c r="K7" s="253">
        <f>'18J'!U8*1000/'19J'!K20</f>
        <v>59.126799814212724</v>
      </c>
    </row>
    <row r="8" spans="1:13" s="332" customFormat="1">
      <c r="A8" s="333">
        <v>2004</v>
      </c>
      <c r="B8" s="253">
        <f>'18J'!L9*1000/'19J'!B21</f>
        <v>65.352909617060064</v>
      </c>
      <c r="C8" s="253">
        <f>'18J'!M9*1000/'19J'!C21</f>
        <v>52.920140025688163</v>
      </c>
      <c r="D8" s="253">
        <f>'18J'!N9*1000/'19J'!D21</f>
        <v>51.734273956496182</v>
      </c>
      <c r="E8" s="253">
        <f>'18J'!O9*1000/'19J'!E21</f>
        <v>45.739927294759163</v>
      </c>
      <c r="F8" s="253">
        <f>'18J'!P9*1000/'19J'!F21</f>
        <v>61.312945504713724</v>
      </c>
      <c r="G8" s="253">
        <f>'18J'!Q9*1000/'19J'!G21</f>
        <v>38.792542813787122</v>
      </c>
      <c r="H8" s="253">
        <f>'18J'!R9*1000/'19J'!H21</f>
        <v>38.232174425456691</v>
      </c>
      <c r="I8" s="253">
        <f>'18J'!S9*1000/'19J'!I21</f>
        <v>83.356428021555047</v>
      </c>
      <c r="J8" s="253">
        <f>'18J'!T9*1000/'19J'!J21</f>
        <v>95.223948811700183</v>
      </c>
      <c r="K8" s="253">
        <f>'18J'!U9*1000/'19J'!K21</f>
        <v>59.603586597451631</v>
      </c>
    </row>
    <row r="9" spans="1:13" s="332" customFormat="1">
      <c r="A9" s="333">
        <v>2005</v>
      </c>
      <c r="B9" s="253">
        <f>'18J'!L10*1000/'19J'!B22</f>
        <v>66.4800531420955</v>
      </c>
      <c r="C9" s="253">
        <f>'18J'!M10*1000/'19J'!C22</f>
        <v>62.141112618724549</v>
      </c>
      <c r="D9" s="253">
        <f>'18J'!N10*1000/'19J'!D22</f>
        <v>60.152526215443281</v>
      </c>
      <c r="E9" s="253">
        <f>'18J'!O10*1000/'19J'!E22</f>
        <v>53.149834437086092</v>
      </c>
      <c r="F9" s="253">
        <f>'18J'!P10*1000/'19J'!F22</f>
        <v>63.766730401529635</v>
      </c>
      <c r="G9" s="253">
        <f>'18J'!Q10*1000/'19J'!G22</f>
        <v>54.276589836156624</v>
      </c>
      <c r="H9" s="253">
        <f>'18J'!R10*1000/'19J'!H22</f>
        <v>41.955762514551807</v>
      </c>
      <c r="I9" s="253">
        <f>'18J'!S10*1000/'19J'!I22</f>
        <v>98.061288305190743</v>
      </c>
      <c r="J9" s="253">
        <f>'18J'!T10*1000/'19J'!J22</f>
        <v>121.94711538461539</v>
      </c>
      <c r="K9" s="253">
        <f>'18J'!U10*1000/'19J'!K22</f>
        <v>52.481001341081807</v>
      </c>
    </row>
    <row r="10" spans="1:13" s="332" customFormat="1">
      <c r="A10" s="333">
        <v>2006</v>
      </c>
      <c r="B10" s="253">
        <f>'18J'!L11*1000/'19J'!B23</f>
        <v>67.280694023337105</v>
      </c>
      <c r="C10" s="253">
        <f>'18J'!M11*1000/'19J'!C23</f>
        <v>59.880254712433718</v>
      </c>
      <c r="D10" s="253">
        <f>'18J'!N11*1000/'19J'!D23</f>
        <v>53.640776699029125</v>
      </c>
      <c r="E10" s="253">
        <f>'18J'!O11*1000/'19J'!E23</f>
        <v>50.847457627118644</v>
      </c>
      <c r="F10" s="253">
        <f>'18J'!P11*1000/'19J'!F23</f>
        <v>65.988189471039078</v>
      </c>
      <c r="G10" s="253">
        <f>'18J'!Q11*1000/'19J'!G23</f>
        <v>49.980119284294233</v>
      </c>
      <c r="H10" s="253">
        <f>'18J'!R11*1000/'19J'!H23</f>
        <v>40.309704722516109</v>
      </c>
      <c r="I10" s="253">
        <f>'18J'!S11*1000/'19J'!I23</f>
        <v>105.81967213114754</v>
      </c>
      <c r="J10" s="253"/>
      <c r="K10" s="253"/>
    </row>
    <row r="11" spans="1:13">
      <c r="A11" s="260">
        <v>2007</v>
      </c>
      <c r="B11" s="253">
        <f>'18J'!L12*1000/'19J'!B24</f>
        <v>65.628367738771445</v>
      </c>
      <c r="C11" s="253">
        <f>'18J'!M12*1000/'19J'!C24</f>
        <v>60.222308245313279</v>
      </c>
      <c r="D11" s="253">
        <f>'18J'!N12*1000/'19J'!D24</f>
        <v>53.74058577405858</v>
      </c>
      <c r="E11" s="253">
        <f>'18J'!O12*1000/'19J'!E24</f>
        <v>52.009988537743574</v>
      </c>
      <c r="F11" s="253">
        <f>'18J'!P12*1000/'19J'!F24</f>
        <v>65.563773193200987</v>
      </c>
      <c r="G11" s="253">
        <f>'18J'!Q12*1000/'19J'!G24</f>
        <v>48.878564562640179</v>
      </c>
      <c r="H11" s="253">
        <f>'18J'!R12*1000/'19J'!H24</f>
        <v>43.90686134173108</v>
      </c>
      <c r="I11" s="253">
        <f>'18J'!S12*1000/'19J'!I24</f>
        <v>101.75255943085199</v>
      </c>
      <c r="J11" s="253">
        <f>'18J'!T12*1000/'19J'!J24</f>
        <v>130.23059617547807</v>
      </c>
      <c r="K11" s="253">
        <f>'18J'!U12*1000/'19J'!K24</f>
        <v>55.867693701857725</v>
      </c>
      <c r="L11" s="222"/>
      <c r="M11" s="222"/>
    </row>
    <row r="12" spans="1:13">
      <c r="A12" s="260">
        <v>2008</v>
      </c>
      <c r="B12" s="253">
        <f>'18J'!L13*1000/'19J'!B25</f>
        <v>65.336134075591758</v>
      </c>
      <c r="C12" s="253">
        <f>'18J'!M13*1000/'19J'!C25</f>
        <v>63.80121322217537</v>
      </c>
      <c r="D12" s="253">
        <f>'18J'!N13*1000/'19J'!D25</f>
        <v>52.835505459668894</v>
      </c>
      <c r="E12" s="253">
        <f>'18J'!O13*1000/'19J'!E25</f>
        <v>55.475367112714878</v>
      </c>
      <c r="F12" s="253">
        <f>'18J'!P13*1000/'19J'!F25</f>
        <v>78.272768739546891</v>
      </c>
      <c r="G12" s="253">
        <f>'18J'!Q13*1000/'19J'!G25</f>
        <v>54.769950610865607</v>
      </c>
      <c r="H12" s="253">
        <f>'18J'!R13*1000/'19J'!H25</f>
        <v>40.113350125944585</v>
      </c>
      <c r="I12" s="253">
        <f>'18J'!S13*1000/'19J'!I25</f>
        <v>107.75596612779061</v>
      </c>
      <c r="J12" s="253"/>
      <c r="K12" s="253"/>
      <c r="L12" s="222"/>
      <c r="M12" s="222"/>
    </row>
    <row r="13" spans="1:13">
      <c r="A13" s="260">
        <v>2009</v>
      </c>
      <c r="B13" s="253">
        <f>'18J'!L14*1000/'19J'!B26</f>
        <v>65.96122153151849</v>
      </c>
      <c r="C13" s="253">
        <f>'18J'!M14*1000/'19J'!C26</f>
        <v>59.462955840704865</v>
      </c>
      <c r="D13" s="253">
        <f>'18J'!N14*1000/'19J'!D26</f>
        <v>53.939045428407134</v>
      </c>
      <c r="E13" s="253">
        <f>'18J'!O14*1000/'19J'!E26</f>
        <v>52.344406475827682</v>
      </c>
      <c r="F13" s="253">
        <f>'18J'!P14*1000/'19J'!F26</f>
        <v>77.647511051316542</v>
      </c>
      <c r="G13" s="253">
        <f>'18J'!Q14*1000/'19J'!G26</f>
        <v>43.21904345927058</v>
      </c>
      <c r="H13" s="253">
        <f>'18J'!R14*1000/'19J'!H26</f>
        <v>40.976698066435297</v>
      </c>
      <c r="I13" s="253">
        <f>'18J'!S14*1000/'19J'!I26</f>
        <v>87.637809506596781</v>
      </c>
      <c r="J13" s="253">
        <f>'18J'!T14*1000/'19J'!J26</f>
        <v>111.59135559921414</v>
      </c>
      <c r="K13" s="253">
        <f>'18J'!U14*1000/'19J'!K26</f>
        <v>43.705583756345177</v>
      </c>
      <c r="L13" s="222"/>
      <c r="M13" s="222"/>
    </row>
    <row r="14" spans="1:13">
      <c r="A14" s="260">
        <v>2010</v>
      </c>
      <c r="B14" s="253">
        <f>'18J'!L15*1000/'19J'!B27</f>
        <v>68.372452779484547</v>
      </c>
      <c r="C14" s="253">
        <f>'18J'!M15*1000/'19J'!C27</f>
        <v>63.266207083913464</v>
      </c>
      <c r="D14" s="253">
        <f>'18J'!N15*1000/'19J'!D27</f>
        <v>63.789391270307298</v>
      </c>
      <c r="E14" s="253">
        <f>'18J'!O15*1000/'19J'!E27</f>
        <v>51.306554367778858</v>
      </c>
      <c r="F14" s="253"/>
      <c r="G14" s="253">
        <f>'18J'!Q15*1000/'19J'!G27</f>
        <v>55.576841209025126</v>
      </c>
      <c r="H14" s="253"/>
      <c r="I14" s="253">
        <f>'18J'!S15*1000/'19J'!I27</f>
        <v>100.89408528198074</v>
      </c>
      <c r="J14" s="253"/>
      <c r="K14" s="253"/>
      <c r="L14" s="222"/>
      <c r="M14" s="222"/>
    </row>
    <row r="15" spans="1:13">
      <c r="A15" s="260">
        <v>2011</v>
      </c>
      <c r="B15" s="253">
        <f>'18J'!L16*1000/'19J'!B28</f>
        <v>68.880021823130477</v>
      </c>
      <c r="C15" s="253"/>
      <c r="D15" s="253">
        <f>'18J'!N16*1000/'19J'!D28</f>
        <v>65.797744499907566</v>
      </c>
      <c r="E15" s="253">
        <f>'18J'!O16*1000/'19J'!E28</f>
        <v>52.559094551282051</v>
      </c>
      <c r="F15" s="253">
        <f>'18J'!P16*1000/'19J'!F28</f>
        <v>63.430140153157055</v>
      </c>
      <c r="G15" s="253">
        <f>'18J'!Q16*1000/'19J'!G28</f>
        <v>59.139264990328819</v>
      </c>
      <c r="H15" s="253">
        <f>'18J'!R16*1000/'19J'!H28</f>
        <v>40.848389630793399</v>
      </c>
      <c r="I15" s="253"/>
      <c r="J15" s="253">
        <f>'18J'!T16*1000/'19J'!J28</f>
        <v>107.3187414500684</v>
      </c>
      <c r="K15" s="253"/>
      <c r="L15" s="222"/>
      <c r="M15" s="222"/>
    </row>
    <row r="16" spans="1:13">
      <c r="A16" s="260">
        <v>2012</v>
      </c>
      <c r="B16" s="253">
        <f>'18J'!L17*1000/'19J'!B29</f>
        <v>69.456428573369919</v>
      </c>
      <c r="C16" s="253">
        <f>'18J'!M17*1000/'19J'!C29</f>
        <v>61.194407718923166</v>
      </c>
      <c r="D16" s="253">
        <f>'18J'!N17*1000/'19J'!D29</f>
        <v>66.01049868766404</v>
      </c>
      <c r="E16" s="253">
        <f>'18J'!O17*1000/'19J'!E29</f>
        <v>52.109803255003612</v>
      </c>
      <c r="F16" s="253">
        <f>'18J'!P17*1000/'19J'!F29</f>
        <v>71.405361494719742</v>
      </c>
      <c r="G16" s="253">
        <f>'18J'!Q17*1000/'19J'!G29</f>
        <v>71.414936769267484</v>
      </c>
      <c r="H16" s="253">
        <f>'18J'!R17*1000/'19J'!H29</f>
        <v>33.974573435931752</v>
      </c>
      <c r="I16" s="253">
        <f>'18J'!S17*1000/'19J'!I29</f>
        <v>92.347972972972968</v>
      </c>
      <c r="J16" s="253"/>
      <c r="K16" s="253"/>
      <c r="L16" s="222"/>
      <c r="M16" s="222"/>
    </row>
    <row r="17" spans="1:13">
      <c r="A17" s="260">
        <v>2013</v>
      </c>
      <c r="B17" s="253">
        <f>'18J'!L18*1000/'19J'!B30</f>
        <v>70.432162318500076</v>
      </c>
      <c r="C17" s="253">
        <f>'18J'!M18*1000/'19J'!C30</f>
        <v>69.904382943342455</v>
      </c>
      <c r="D17" s="253">
        <f>'18J'!N18*1000/'19J'!D30</f>
        <v>85.294713388697588</v>
      </c>
      <c r="E17" s="253">
        <f>'18J'!O18*1000/'19J'!E30</f>
        <v>59.393221973782282</v>
      </c>
      <c r="F17" s="253">
        <f>'18J'!P18*1000/'19J'!F30</f>
        <v>78.875</v>
      </c>
      <c r="G17" s="253">
        <f>'18J'!Q18*1000/'19J'!G30</f>
        <v>66.937553464499572</v>
      </c>
      <c r="H17" s="253">
        <f>'18J'!R18*1000/'19J'!H30</f>
        <v>43.208634409585656</v>
      </c>
      <c r="I17" s="253">
        <f>'18J'!S18*1000/'19J'!I30</f>
        <v>97.521079258010118</v>
      </c>
      <c r="J17" s="253"/>
      <c r="K17" s="253"/>
      <c r="L17" s="222"/>
      <c r="M17" s="222"/>
    </row>
    <row r="18" spans="1:13">
      <c r="A18" s="211"/>
      <c r="B18" s="358"/>
      <c r="C18" s="358"/>
      <c r="D18" s="358"/>
      <c r="E18" s="358"/>
      <c r="F18" s="358"/>
      <c r="G18" s="358"/>
      <c r="H18" s="358"/>
      <c r="I18" s="358"/>
      <c r="J18" s="253"/>
      <c r="K18" s="253"/>
      <c r="L18" s="222"/>
      <c r="M18" s="222"/>
    </row>
    <row r="19" spans="1:13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  <c r="L19" s="222"/>
      <c r="M19" s="222"/>
    </row>
    <row r="20" spans="1:13" s="352" customFormat="1">
      <c r="A20" s="355" t="s">
        <v>68</v>
      </c>
      <c r="B20" s="253">
        <f>((B11/B4)^(1/7)-1)*100</f>
        <v>0.16826699647998211</v>
      </c>
      <c r="C20" s="253">
        <f t="shared" ref="C20:I20" si="0">((C11/C4)^(1/7)-1)*100</f>
        <v>3.3914775945214748</v>
      </c>
      <c r="D20" s="253">
        <f t="shared" si="0"/>
        <v>2.8206115142121124</v>
      </c>
      <c r="E20" s="253">
        <f t="shared" si="0"/>
        <v>3.0773454608231887</v>
      </c>
      <c r="F20" s="253" t="s">
        <v>9</v>
      </c>
      <c r="G20" s="253" t="s">
        <v>9</v>
      </c>
      <c r="H20" s="253" t="s">
        <v>9</v>
      </c>
      <c r="I20" s="253">
        <f t="shared" si="0"/>
        <v>6.1148621328000585</v>
      </c>
      <c r="J20" s="253" t="s">
        <v>9</v>
      </c>
      <c r="K20" s="253" t="s">
        <v>9</v>
      </c>
      <c r="L20" s="354"/>
      <c r="M20" s="354"/>
    </row>
    <row r="21" spans="1:13">
      <c r="A21" s="320" t="s">
        <v>368</v>
      </c>
      <c r="B21" s="253">
        <f>((B14/B11)^(1/3)-1)*100</f>
        <v>1.3747631039470187</v>
      </c>
      <c r="C21" s="253">
        <f t="shared" ref="C21:I21" si="1">((C14/C11)^(1/3)-1)*100</f>
        <v>1.6571977008493333</v>
      </c>
      <c r="D21" s="253">
        <f t="shared" si="1"/>
        <v>5.8803465142030165</v>
      </c>
      <c r="E21" s="253">
        <f t="shared" si="1"/>
        <v>-0.45288065314569304</v>
      </c>
      <c r="F21" s="253" t="str">
        <f>IFERROR(((F15/F2)^(1/6)-1)*100,"n.a.")</f>
        <v>n.a.</v>
      </c>
      <c r="G21" s="253">
        <f t="shared" si="1"/>
        <v>4.373874497236141</v>
      </c>
      <c r="H21" s="253" t="str">
        <f>IFERROR(((H15/H2)^(1/6)-1)*100,"n.a.")</f>
        <v>n.a.</v>
      </c>
      <c r="I21" s="253">
        <f t="shared" si="1"/>
        <v>-0.28202396578906885</v>
      </c>
      <c r="J21" s="253" t="str">
        <f>IFERROR(((J15/J2)^(1/6)-1)*100,"n.a.")</f>
        <v>n.a.</v>
      </c>
      <c r="K21" s="253" t="str">
        <f>IFERROR(((K15/K2)^(1/6)-1)*100,"n.a.")</f>
        <v>n.a.</v>
      </c>
      <c r="L21" s="222"/>
      <c r="M21" s="222"/>
    </row>
    <row r="22" spans="1:13">
      <c r="A22" s="320" t="s">
        <v>392</v>
      </c>
      <c r="B22" s="253">
        <f>((B17/B14)^(1/3)-1)*100</f>
        <v>0.99424353535213505</v>
      </c>
      <c r="C22" s="253">
        <f t="shared" ref="C22:G22" si="2">((C17/C14)^(1/3)-1)*100</f>
        <v>3.3818269379128907</v>
      </c>
      <c r="D22" s="253">
        <f t="shared" si="2"/>
        <v>10.168613934413839</v>
      </c>
      <c r="E22" s="253">
        <f t="shared" si="2"/>
        <v>4.9996888397788153</v>
      </c>
      <c r="F22" s="253" t="str">
        <f>IFERROR(((F16/F3)^(1/6)-1)*100,"n.a.")</f>
        <v>n.a.</v>
      </c>
      <c r="G22" s="253">
        <f t="shared" si="2"/>
        <v>6.3960059857864016</v>
      </c>
      <c r="H22" s="253" t="str">
        <f>IFERROR(((H16/H3)^(1/6)-1)*100,"n.a.")</f>
        <v>n.a.</v>
      </c>
      <c r="I22" s="253" t="str">
        <f>IFERROR(((I16/I3)^(1/6)-1)*100,"n.a.")</f>
        <v>n.a.</v>
      </c>
      <c r="J22" s="253" t="str">
        <f>IFERROR(((J16/J3)^(1/6)-1)*100,"n.a.")</f>
        <v>n.a.</v>
      </c>
      <c r="K22" s="253" t="str">
        <f>IFERROR(((K16/K3)^(1/6)-1)*100,"n.a.")</f>
        <v>n.a.</v>
      </c>
      <c r="L22" s="222"/>
      <c r="M22" s="222"/>
    </row>
    <row r="23" spans="1:13">
      <c r="A23" s="285" t="s">
        <v>69</v>
      </c>
      <c r="B23" s="253">
        <f>IFERROR(((B17/B11)^(1/6)-1)*100,"n.a.")</f>
        <v>1.1843244443459078</v>
      </c>
      <c r="C23" s="253">
        <f t="shared" ref="C23:I23" si="3">IFERROR(((C17/C11)^(1/6)-1)*100,"n.a.")</f>
        <v>2.5158856943761743</v>
      </c>
      <c r="D23" s="253">
        <f t="shared" si="3"/>
        <v>8.0031991117170076</v>
      </c>
      <c r="E23" s="253">
        <f t="shared" si="3"/>
        <v>2.2370605813568423</v>
      </c>
      <c r="F23" s="253">
        <f t="shared" si="3"/>
        <v>3.1286277152863029</v>
      </c>
      <c r="G23" s="253">
        <f t="shared" si="3"/>
        <v>5.3800900349190828</v>
      </c>
      <c r="H23" s="253">
        <f t="shared" si="3"/>
        <v>-0.26681436268928271</v>
      </c>
      <c r="I23" s="253">
        <f t="shared" si="3"/>
        <v>-0.70542388831814629</v>
      </c>
      <c r="J23" s="253"/>
      <c r="K23" s="253"/>
      <c r="L23" s="222"/>
      <c r="M23" s="222"/>
    </row>
    <row r="24" spans="1:13" s="352" customFormat="1">
      <c r="A24" s="355" t="s">
        <v>15</v>
      </c>
      <c r="B24" s="253">
        <f>((B17/B4)^(1/13)-1)*100</f>
        <v>0.63594253196261885</v>
      </c>
      <c r="C24" s="253" t="s">
        <v>9</v>
      </c>
      <c r="D24" s="253">
        <f t="shared" ref="D24:E24" si="4">((D17/D4)^(1/13)-1)*100</f>
        <v>5.1809283445179766</v>
      </c>
      <c r="E24" s="253">
        <f t="shared" si="4"/>
        <v>2.6886669113536543</v>
      </c>
      <c r="F24" s="253" t="s">
        <v>9</v>
      </c>
      <c r="G24" s="253" t="s">
        <v>9</v>
      </c>
      <c r="H24" s="253" t="s">
        <v>9</v>
      </c>
      <c r="I24" s="253" t="s">
        <v>9</v>
      </c>
      <c r="J24" s="253" t="s">
        <v>9</v>
      </c>
      <c r="K24" s="253" t="s">
        <v>9</v>
      </c>
      <c r="L24" s="354"/>
      <c r="M24" s="354"/>
    </row>
    <row r="25" spans="1:13">
      <c r="A25" s="265"/>
      <c r="B25" s="358"/>
      <c r="C25" s="358"/>
      <c r="D25" s="358"/>
      <c r="E25" s="358"/>
      <c r="F25" s="358"/>
      <c r="G25" s="358"/>
      <c r="H25" s="358"/>
      <c r="I25" s="358"/>
      <c r="J25" s="253"/>
      <c r="K25" s="253"/>
      <c r="L25" s="222"/>
      <c r="M25" s="222"/>
    </row>
    <row r="26" spans="1:13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3">
      <c r="A27" s="472" t="s">
        <v>407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3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3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3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77" orientation="landscape" horizontalDpi="0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M33"/>
  <sheetViews>
    <sheetView view="pageBreakPreview" zoomScaleNormal="85" zoomScaleSheetLayoutView="100" workbookViewId="0">
      <selection sqref="A1:K1"/>
    </sheetView>
  </sheetViews>
  <sheetFormatPr defaultRowHeight="15"/>
  <cols>
    <col min="1" max="1" width="10.28515625" style="266" customWidth="1"/>
    <col min="2" max="2" width="13.7109375" style="266" bestFit="1" customWidth="1"/>
    <col min="3" max="3" width="13.7109375" style="266" customWidth="1"/>
    <col min="4" max="4" width="12.85546875" style="266" bestFit="1" customWidth="1"/>
    <col min="5" max="5" width="14.5703125" style="266" bestFit="1" customWidth="1"/>
    <col min="6" max="8" width="14.5703125" style="266" customWidth="1"/>
    <col min="9" max="9" width="17" style="266" customWidth="1"/>
    <col min="10" max="10" width="17.28515625" style="266" bestFit="1" customWidth="1"/>
    <col min="11" max="11" width="16.28515625" style="266" bestFit="1" customWidth="1"/>
    <col min="12" max="16384" width="9.140625" style="266"/>
  </cols>
  <sheetData>
    <row r="1" spans="1:13" ht="15" customHeight="1">
      <c r="A1" s="471" t="s">
        <v>589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M1" s="292"/>
    </row>
    <row r="2" spans="1:13" ht="90">
      <c r="A2" s="265"/>
      <c r="B2" s="264" t="s">
        <v>2</v>
      </c>
      <c r="C2" s="264" t="s">
        <v>8</v>
      </c>
      <c r="D2" s="264" t="s">
        <v>20</v>
      </c>
      <c r="E2" s="264" t="s">
        <v>4</v>
      </c>
      <c r="F2" s="281" t="s">
        <v>36</v>
      </c>
      <c r="G2" s="281" t="s">
        <v>37</v>
      </c>
      <c r="H2" s="281" t="s">
        <v>38</v>
      </c>
      <c r="I2" s="281" t="s">
        <v>88</v>
      </c>
      <c r="J2" s="281" t="s">
        <v>90</v>
      </c>
      <c r="K2" s="281" t="s">
        <v>91</v>
      </c>
      <c r="M2" s="292"/>
    </row>
    <row r="3" spans="1:13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M3" s="292"/>
    </row>
    <row r="4" spans="1:13" s="332" customFormat="1">
      <c r="A4" s="333">
        <v>2000</v>
      </c>
      <c r="B4" s="253">
        <f>'18K'!L5*1000/'19K'!B17</f>
        <v>43.585010935369432</v>
      </c>
      <c r="C4" s="253">
        <f>'18K'!M5*1000/'19K'!C17</f>
        <v>39.630012855485525</v>
      </c>
      <c r="D4" s="253">
        <f>'18K'!N5*1000/'19K'!D17</f>
        <v>39.652248577868413</v>
      </c>
      <c r="E4" s="253">
        <f>'18K'!O5*1000/'19K'!E17</f>
        <v>35.557578080091972</v>
      </c>
      <c r="F4" s="253">
        <f>'18K'!P5*1000/'19K'!F17</f>
        <v>35.361183177141243</v>
      </c>
      <c r="G4" s="253">
        <f>'18K'!Q5*1000/'19K'!G17</f>
        <v>33.841632912397742</v>
      </c>
      <c r="H4" s="253">
        <f>'18K'!R5*1000/'19K'!H17</f>
        <v>34.982109029677964</v>
      </c>
      <c r="I4" s="253">
        <f>'18K'!S5*1000/'19K'!I17</f>
        <v>51.171023965141615</v>
      </c>
      <c r="J4" s="253"/>
      <c r="K4" s="253"/>
      <c r="M4" s="292"/>
    </row>
    <row r="5" spans="1:13" s="332" customFormat="1">
      <c r="A5" s="333">
        <v>2001</v>
      </c>
      <c r="B5" s="253">
        <f>'18K'!L6*1000/'19K'!B18</f>
        <v>44.938242990495013</v>
      </c>
      <c r="C5" s="253">
        <f>'18K'!M6*1000/'19K'!C18</f>
        <v>37.754041217359394</v>
      </c>
      <c r="D5" s="253">
        <f>'18K'!N6*1000/'19K'!D18</f>
        <v>41.300519405247556</v>
      </c>
      <c r="E5" s="253">
        <f>'18K'!O6*1000/'19K'!E18</f>
        <v>32.606950798619472</v>
      </c>
      <c r="F5" s="253">
        <f>'18K'!P6*1000/'19K'!F18</f>
        <v>32.07516538820569</v>
      </c>
      <c r="G5" s="253">
        <f>'18K'!Q6*1000/'19K'!G18</f>
        <v>37.879044553616808</v>
      </c>
      <c r="H5" s="253">
        <f>'18K'!R6*1000/'19K'!H18</f>
        <v>29.634235552304315</v>
      </c>
      <c r="I5" s="253">
        <f>'18K'!S6*1000/'19K'!I18</f>
        <v>45.943101821612601</v>
      </c>
      <c r="J5" s="253"/>
      <c r="K5" s="253"/>
      <c r="M5" s="292"/>
    </row>
    <row r="6" spans="1:13" s="332" customFormat="1">
      <c r="A6" s="333">
        <v>2002</v>
      </c>
      <c r="B6" s="253">
        <f>'18K'!L7*1000/'19K'!B19</f>
        <v>45.814602279974295</v>
      </c>
      <c r="C6" s="253">
        <f>'18K'!M7*1000/'19K'!C19</f>
        <v>42.362455939925049</v>
      </c>
      <c r="D6" s="253">
        <f>'18K'!N7*1000/'19K'!D19</f>
        <v>38.863636363636367</v>
      </c>
      <c r="E6" s="253">
        <f>'18K'!O7*1000/'19K'!E19</f>
        <v>38.708705005412369</v>
      </c>
      <c r="F6" s="253">
        <f>'18K'!P7*1000/'19K'!F19</f>
        <v>39.753714944629372</v>
      </c>
      <c r="G6" s="253">
        <f>'18K'!Q7*1000/'19K'!G19</f>
        <v>43.015654567349046</v>
      </c>
      <c r="H6" s="253">
        <f>'18K'!R7*1000/'19K'!H19</f>
        <v>32.785394061464494</v>
      </c>
      <c r="I6" s="253">
        <f>'18K'!S7*1000/'19K'!I19</f>
        <v>62.49482354023835</v>
      </c>
      <c r="J6" s="253">
        <f>'18K'!T7*1000/'19K'!J19</f>
        <v>64.245090674965127</v>
      </c>
      <c r="K6" s="253">
        <f>'18K'!U7*1000/'19K'!K19</f>
        <v>54.621848739495796</v>
      </c>
      <c r="M6" s="292"/>
    </row>
    <row r="7" spans="1:13" s="332" customFormat="1">
      <c r="A7" s="333">
        <v>2003</v>
      </c>
      <c r="B7" s="253">
        <f>'18K'!L8*1000/'19K'!B20</f>
        <v>45.744951091257299</v>
      </c>
      <c r="C7" s="253">
        <f>'18K'!M8*1000/'19K'!C20</f>
        <v>43.734517146708633</v>
      </c>
      <c r="D7" s="253">
        <f>'18K'!N8*1000/'19K'!D20</f>
        <v>42.026115342763873</v>
      </c>
      <c r="E7" s="253">
        <f>'18K'!O8*1000/'19K'!E20</f>
        <v>41.523563589412525</v>
      </c>
      <c r="F7" s="253">
        <f>'18K'!P8*1000/'19K'!F20</f>
        <v>43.416063827312691</v>
      </c>
      <c r="G7" s="253">
        <f>'18K'!Q8*1000/'19K'!G20</f>
        <v>44.817217914226937</v>
      </c>
      <c r="H7" s="253">
        <f>'18K'!R8*1000/'19K'!H20</f>
        <v>31.56212261135185</v>
      </c>
      <c r="I7" s="253">
        <f>'18K'!S8*1000/'19K'!I20</f>
        <v>52.669585926096644</v>
      </c>
      <c r="J7" s="253">
        <f>'18K'!T8*1000/'19K'!J20</f>
        <v>53.85907523649545</v>
      </c>
      <c r="K7" s="253">
        <f>'18K'!U8*1000/'19K'!K20</f>
        <v>46.541617819460726</v>
      </c>
      <c r="M7" s="292"/>
    </row>
    <row r="8" spans="1:13" s="332" customFormat="1">
      <c r="A8" s="333">
        <v>2004</v>
      </c>
      <c r="B8" s="253">
        <f>'18K'!L9*1000/'19K'!B21</f>
        <v>45.662162412711467</v>
      </c>
      <c r="C8" s="253">
        <f>'18K'!M9*1000/'19K'!C21</f>
        <v>46.13555767779507</v>
      </c>
      <c r="D8" s="253">
        <f>'18K'!N9*1000/'19K'!D21</f>
        <v>44.988584709681398</v>
      </c>
      <c r="E8" s="253">
        <f>'18K'!O9*1000/'19K'!E21</f>
        <v>43.262241711514186</v>
      </c>
      <c r="F8" s="253">
        <f>'18K'!P9*1000/'19K'!F21</f>
        <v>44.268519097982768</v>
      </c>
      <c r="G8" s="253">
        <f>'18K'!Q9*1000/'19K'!G21</f>
        <v>50.852319291919358</v>
      </c>
      <c r="H8" s="253">
        <f>'18K'!R9*1000/'19K'!H21</f>
        <v>32.563678465100892</v>
      </c>
      <c r="I8" s="253">
        <f>'18K'!S9*1000/'19K'!I21</f>
        <v>56.652360515021456</v>
      </c>
      <c r="J8" s="253">
        <f>'18K'!T9*1000/'19K'!J21</f>
        <v>58.491414186820101</v>
      </c>
      <c r="K8" s="253">
        <f>'18K'!U9*1000/'19K'!K21</f>
        <v>47.151548672566371</v>
      </c>
      <c r="M8" s="292"/>
    </row>
    <row r="9" spans="1:13" s="332" customFormat="1">
      <c r="A9" s="333">
        <v>2005</v>
      </c>
      <c r="B9" s="253">
        <f>'18K'!L10*1000/'19K'!B22</f>
        <v>46.777355637089435</v>
      </c>
      <c r="C9" s="253">
        <f>'18K'!M10*1000/'19K'!C22</f>
        <v>48.996856818029826</v>
      </c>
      <c r="D9" s="253">
        <f>'18K'!N10*1000/'19K'!D22</f>
        <v>46.148769479690031</v>
      </c>
      <c r="E9" s="253">
        <f>'18K'!O10*1000/'19K'!E22</f>
        <v>45.763380640234203</v>
      </c>
      <c r="F9" s="253">
        <f>'18K'!P10*1000/'19K'!F22</f>
        <v>46.664373444487161</v>
      </c>
      <c r="G9" s="253">
        <f>'18K'!Q10*1000/'19K'!G22</f>
        <v>57.931377424167081</v>
      </c>
      <c r="H9" s="253">
        <f>'18K'!R10*1000/'19K'!H22</f>
        <v>33.899396849563743</v>
      </c>
      <c r="I9" s="253">
        <f>'18K'!S10*1000/'19K'!I22</f>
        <v>65.1606718626266</v>
      </c>
      <c r="J9" s="253">
        <f>'18K'!T10*1000/'19K'!J22</f>
        <v>68.419240605941368</v>
      </c>
      <c r="K9" s="253">
        <f>'18K'!U10*1000/'19K'!K22</f>
        <v>48.771163298743858</v>
      </c>
      <c r="M9" s="292"/>
    </row>
    <row r="10" spans="1:13" s="332" customFormat="1">
      <c r="A10" s="333">
        <v>2006</v>
      </c>
      <c r="B10" s="253">
        <f>'18K'!L11*1000/'19K'!B23</f>
        <v>47.39083169912081</v>
      </c>
      <c r="C10" s="253">
        <f>'18K'!M11*1000/'19K'!C23</f>
        <v>56.108460842604977</v>
      </c>
      <c r="D10" s="253">
        <f>'18K'!N11*1000/'19K'!D23</f>
        <v>54.123645307576027</v>
      </c>
      <c r="E10" s="253">
        <f>'18K'!O11*1000/'19K'!E23</f>
        <v>54.16972951889467</v>
      </c>
      <c r="F10" s="253">
        <f>'18K'!P11*1000/'19K'!F23</f>
        <v>57.57760040542253</v>
      </c>
      <c r="G10" s="253">
        <f>'18K'!Q11*1000/'19K'!G23</f>
        <v>70.557508789552983</v>
      </c>
      <c r="H10" s="253">
        <f>'18K'!R11*1000/'19K'!H23</f>
        <v>36.663185984452952</v>
      </c>
      <c r="I10" s="253">
        <f>'18K'!S11*1000/'19K'!I23</f>
        <v>64.849663805133844</v>
      </c>
      <c r="J10" s="253">
        <f>'18K'!T11*1000/'19K'!J23</f>
        <v>67.940552016985137</v>
      </c>
      <c r="K10" s="253">
        <f>'18K'!U11*1000/'19K'!K23</f>
        <v>47.230406599882144</v>
      </c>
      <c r="M10" s="292"/>
    </row>
    <row r="11" spans="1:13">
      <c r="A11" s="260">
        <v>2007</v>
      </c>
      <c r="B11" s="253">
        <f>'18K'!L12*1000/'19K'!B24</f>
        <v>47.048329229759865</v>
      </c>
      <c r="C11" s="253">
        <f>'18K'!M12*1000/'19K'!C24</f>
        <v>53.017725269773862</v>
      </c>
      <c r="D11" s="253">
        <f>'18K'!N12*1000/'19K'!D24</f>
        <v>50.588622496772068</v>
      </c>
      <c r="E11" s="253">
        <f>'18K'!O12*1000/'19K'!E24</f>
        <v>52.063398975245384</v>
      </c>
      <c r="F11" s="253">
        <f>'18K'!P12*1000/'19K'!F24</f>
        <v>56.313145408875243</v>
      </c>
      <c r="G11" s="253">
        <f>'18K'!Q12*1000/'19K'!G24</f>
        <v>64.657063817609469</v>
      </c>
      <c r="H11" s="253">
        <f>'18K'!R12*1000/'19K'!H24</f>
        <v>36.676946383162907</v>
      </c>
      <c r="I11" s="253">
        <f>'18K'!S12*1000/'19K'!I24</f>
        <v>58.938757129990996</v>
      </c>
      <c r="J11" s="253">
        <f>'18K'!T12*1000/'19K'!J24</f>
        <v>61.296024834008797</v>
      </c>
      <c r="K11" s="253">
        <f>'18K'!U12*1000/'19K'!K24</f>
        <v>43.125904486251812</v>
      </c>
      <c r="M11" s="292"/>
    </row>
    <row r="12" spans="1:13">
      <c r="A12" s="260">
        <v>2008</v>
      </c>
      <c r="B12" s="253">
        <f>'18K'!L13*1000/'19K'!B25</f>
        <v>46.982532508252476</v>
      </c>
      <c r="C12" s="253">
        <f>'18K'!M13*1000/'19K'!C25</f>
        <v>58.13201736768616</v>
      </c>
      <c r="D12" s="253">
        <f>'18K'!N13*1000/'19K'!D25</f>
        <v>57.255256029923899</v>
      </c>
      <c r="E12" s="253">
        <f>'18K'!O13*1000/'19K'!E25</f>
        <v>55.957855521275974</v>
      </c>
      <c r="F12" s="253">
        <f>'18K'!P13*1000/'19K'!F25</f>
        <v>64.739115985377197</v>
      </c>
      <c r="G12" s="253">
        <f>'18K'!Q13*1000/'19K'!G25</f>
        <v>61.990950226244344</v>
      </c>
      <c r="H12" s="253">
        <f>'18K'!R13*1000/'19K'!H25</f>
        <v>37.092373652072233</v>
      </c>
      <c r="I12" s="253">
        <f>'18K'!S13*1000/'19K'!I25</f>
        <v>64.457366101848905</v>
      </c>
      <c r="J12" s="253">
        <f>'18K'!T13*1000/'19K'!J25</f>
        <v>67.17854325532474</v>
      </c>
      <c r="K12" s="253">
        <f>'18K'!U13*1000/'19K'!K25</f>
        <v>47.149049683227744</v>
      </c>
      <c r="M12" s="292"/>
    </row>
    <row r="13" spans="1:13">
      <c r="A13" s="260">
        <v>2009</v>
      </c>
      <c r="B13" s="253">
        <f>'18K'!L14*1000/'19K'!B26</f>
        <v>47.872675177502657</v>
      </c>
      <c r="C13" s="253">
        <f>'18K'!M14*1000/'19K'!C26</f>
        <v>52.366160540067732</v>
      </c>
      <c r="D13" s="253">
        <f>'18K'!N14*1000/'19K'!D26</f>
        <v>52.380746629796057</v>
      </c>
      <c r="E13" s="253">
        <f>'18K'!O14*1000/'19K'!E26</f>
        <v>56.151606151606153</v>
      </c>
      <c r="F13" s="253">
        <f>'18K'!P14*1000/'19K'!F26</f>
        <v>62.026484751203853</v>
      </c>
      <c r="G13" s="253">
        <f>'18K'!Q14*1000/'19K'!G26</f>
        <v>73.041406017277325</v>
      </c>
      <c r="H13" s="253">
        <f>'18K'!R14*1000/'19K'!H26</f>
        <v>36.438889790618404</v>
      </c>
      <c r="I13" s="253">
        <f>'18K'!S14*1000/'19K'!I26</f>
        <v>44.812902056718308</v>
      </c>
      <c r="J13" s="253">
        <f>'18K'!T14*1000/'19K'!J26</f>
        <v>45.32683634855632</v>
      </c>
      <c r="K13" s="253">
        <f>'18K'!U14*1000/'19K'!K26</f>
        <v>41.732566498921642</v>
      </c>
      <c r="M13" s="292"/>
    </row>
    <row r="14" spans="1:13">
      <c r="A14" s="260">
        <v>2010</v>
      </c>
      <c r="B14" s="253">
        <f>'18K'!L15*1000/'19K'!B27</f>
        <v>48.464395471618815</v>
      </c>
      <c r="C14" s="253">
        <f>'18K'!M15*1000/'19K'!C27</f>
        <v>56.201013812413478</v>
      </c>
      <c r="D14" s="253">
        <f>'18K'!N15*1000/'19K'!D27</f>
        <v>51.761396768771654</v>
      </c>
      <c r="E14" s="253">
        <f>'18K'!O15*1000/'19K'!E27</f>
        <v>55.463061441544632</v>
      </c>
      <c r="F14" s="253">
        <f>'18K'!P15*1000/'19K'!F27</f>
        <v>64.827167980594297</v>
      </c>
      <c r="G14" s="253">
        <f>'18K'!Q15*1000/'19K'!G27</f>
        <v>61.053633012248781</v>
      </c>
      <c r="H14" s="253">
        <f>'18K'!R15*1000/'19K'!H27</f>
        <v>34.198056381013572</v>
      </c>
      <c r="I14" s="253">
        <f>'18K'!S15*1000/'19K'!I27</f>
        <v>65.381628577767913</v>
      </c>
      <c r="J14" s="253">
        <f>'18K'!T15*1000/'19K'!J27</f>
        <v>69.388806594963611</v>
      </c>
      <c r="K14" s="253">
        <f>'18K'!U15*1000/'19K'!K27</f>
        <v>38.928856914468426</v>
      </c>
      <c r="M14" s="292"/>
    </row>
    <row r="15" spans="1:13">
      <c r="A15" s="260">
        <v>2011</v>
      </c>
      <c r="B15" s="253">
        <f>'18K'!L16*1000/'19K'!B28</f>
        <v>49.781979625525359</v>
      </c>
      <c r="C15" s="253">
        <f>'18K'!M16*1000/'19K'!C28</f>
        <v>62.883342376559959</v>
      </c>
      <c r="D15" s="253">
        <f>'18K'!N16*1000/'19K'!D28</f>
        <v>61.642681899740012</v>
      </c>
      <c r="E15" s="253">
        <f>'18K'!O16*1000/'19K'!E28</f>
        <v>63.083907188911795</v>
      </c>
      <c r="F15" s="253">
        <f>'18K'!P16*1000/'19K'!F28</f>
        <v>76.332681017612529</v>
      </c>
      <c r="G15" s="253">
        <f>'18K'!Q16*1000/'19K'!G28</f>
        <v>62.299750800996797</v>
      </c>
      <c r="H15" s="253">
        <f>'18K'!R16*1000/'19K'!H28</f>
        <v>38.671370794251786</v>
      </c>
      <c r="I15" s="253">
        <f>'18K'!S16*1000/'19K'!I28</f>
        <v>64.168788650418335</v>
      </c>
      <c r="J15" s="253">
        <f>'18K'!T16*1000/'19K'!J28</f>
        <v>67.270896273917415</v>
      </c>
      <c r="K15" s="253">
        <f>'18K'!U16*1000/'19K'!K28</f>
        <v>40.050804403048261</v>
      </c>
      <c r="M15" s="292"/>
    </row>
    <row r="16" spans="1:13">
      <c r="A16" s="260">
        <v>2012</v>
      </c>
      <c r="B16" s="253">
        <f>'18K'!L17*1000/'19K'!B29</f>
        <v>49.636232909053369</v>
      </c>
      <c r="C16" s="253">
        <f>'18K'!M17*1000/'19K'!C29</f>
        <v>61.143539400371459</v>
      </c>
      <c r="D16" s="253">
        <f>'18K'!N17*1000/'19K'!D29</f>
        <v>61.601016518424395</v>
      </c>
      <c r="E16" s="253">
        <f>'18K'!O17*1000/'19K'!E29</f>
        <v>60.337212428467183</v>
      </c>
      <c r="F16" s="253">
        <f>'18K'!P17*1000/'19K'!F29</f>
        <v>65.009614475301845</v>
      </c>
      <c r="G16" s="253">
        <f>'18K'!Q17*1000/'19K'!G29</f>
        <v>67.86666666666666</v>
      </c>
      <c r="H16" s="253">
        <f>'18K'!R17*1000/'19K'!H29</f>
        <v>45.244194694653338</v>
      </c>
      <c r="I16" s="253">
        <f>'18K'!S17*1000/'19K'!I29</f>
        <v>62.74285714285714</v>
      </c>
      <c r="J16" s="253">
        <f>'18K'!T17*1000/'19K'!J29</f>
        <v>66.130147752279157</v>
      </c>
      <c r="K16" s="253">
        <f>'18K'!U17*1000/'19K'!K29</f>
        <v>39.546191247974065</v>
      </c>
      <c r="M16" s="292"/>
    </row>
    <row r="17" spans="1:13">
      <c r="A17" s="260">
        <v>2013</v>
      </c>
      <c r="B17" s="253">
        <f>'18K'!L18*1000/'19K'!B30</f>
        <v>50.67625781602424</v>
      </c>
      <c r="C17" s="253">
        <f>'18K'!M18*1000/'19K'!C30</f>
        <v>62.21408602043558</v>
      </c>
      <c r="D17" s="253">
        <f>'18K'!N18*1000/'19K'!D30</f>
        <v>59.309754330501221</v>
      </c>
      <c r="E17" s="253">
        <f>'18K'!O18*1000/'19K'!E30</f>
        <v>65.321578375019413</v>
      </c>
      <c r="F17" s="253">
        <f>'18K'!P18*1000/'19K'!F30</f>
        <v>67.932879067694074</v>
      </c>
      <c r="G17" s="253">
        <f>'18K'!Q18*1000/'19K'!G30</f>
        <v>80.528494885533362</v>
      </c>
      <c r="H17" s="253">
        <f>'18K'!R18*1000/'19K'!H30</f>
        <v>50.22312031657826</v>
      </c>
      <c r="I17" s="253">
        <f>'18K'!S18*1000/'19K'!I30</f>
        <v>58.362378679821973</v>
      </c>
      <c r="J17" s="253">
        <f>'18K'!T18*1000/'19K'!J30</f>
        <v>61.692554240631161</v>
      </c>
      <c r="K17" s="253">
        <f>'18K'!U18*1000/'19K'!K30</f>
        <v>34.432989690721648</v>
      </c>
      <c r="M17" s="292"/>
    </row>
    <row r="18" spans="1:13">
      <c r="A18" s="265"/>
      <c r="B18" s="358"/>
      <c r="C18" s="358"/>
      <c r="D18" s="358"/>
      <c r="E18" s="358"/>
      <c r="F18" s="358"/>
      <c r="G18" s="358"/>
      <c r="H18" s="358"/>
      <c r="I18" s="358"/>
      <c r="J18" s="253"/>
      <c r="K18" s="253"/>
    </row>
    <row r="19" spans="1:13">
      <c r="A19" s="470" t="s">
        <v>11</v>
      </c>
      <c r="B19" s="470"/>
      <c r="C19" s="470"/>
      <c r="D19" s="470"/>
      <c r="E19" s="470"/>
      <c r="F19" s="470"/>
      <c r="G19" s="470"/>
      <c r="H19" s="470"/>
      <c r="I19" s="470"/>
      <c r="J19" s="470"/>
      <c r="K19" s="470"/>
    </row>
    <row r="20" spans="1:13" s="352" customFormat="1">
      <c r="A20" s="355" t="s">
        <v>68</v>
      </c>
      <c r="B20" s="253">
        <f>((B11/B4)^(1/7)-1)*100</f>
        <v>1.0983025343554775</v>
      </c>
      <c r="C20" s="253">
        <f t="shared" ref="C20:I20" si="0">((C11/C4)^(1/7)-1)*100</f>
        <v>4.2453511831233026</v>
      </c>
      <c r="D20" s="253">
        <f t="shared" si="0"/>
        <v>3.5409505552629783</v>
      </c>
      <c r="E20" s="253">
        <f t="shared" si="0"/>
        <v>5.598364565532421</v>
      </c>
      <c r="F20" s="253" t="s">
        <v>9</v>
      </c>
      <c r="G20" s="253" t="s">
        <v>9</v>
      </c>
      <c r="H20" s="253" t="s">
        <v>9</v>
      </c>
      <c r="I20" s="253">
        <f t="shared" si="0"/>
        <v>2.0394534371714013</v>
      </c>
      <c r="J20" s="253" t="s">
        <v>9</v>
      </c>
      <c r="K20" s="253" t="s">
        <v>9</v>
      </c>
    </row>
    <row r="21" spans="1:13">
      <c r="A21" s="319" t="s">
        <v>368</v>
      </c>
      <c r="B21" s="253">
        <f>((B14/B11)^(1/3)-1)*100</f>
        <v>0.99337013751894521</v>
      </c>
      <c r="C21" s="253">
        <f t="shared" ref="C21:K21" si="1">((C14/C11)^(1/3)-1)*100</f>
        <v>1.9626278439158762</v>
      </c>
      <c r="D21" s="253">
        <f t="shared" si="1"/>
        <v>0.7668566039247926</v>
      </c>
      <c r="E21" s="253">
        <f t="shared" si="1"/>
        <v>2.1308877090388867</v>
      </c>
      <c r="F21" s="253">
        <f t="shared" si="1"/>
        <v>4.8051010983219733</v>
      </c>
      <c r="G21" s="253">
        <f t="shared" si="1"/>
        <v>-1.8933353784383988</v>
      </c>
      <c r="H21" s="253">
        <f t="shared" si="1"/>
        <v>-2.3056567127798466</v>
      </c>
      <c r="I21" s="253">
        <f t="shared" si="1"/>
        <v>3.5185675022642693</v>
      </c>
      <c r="J21" s="253">
        <f t="shared" si="1"/>
        <v>4.2203120581217224</v>
      </c>
      <c r="K21" s="253">
        <f t="shared" si="1"/>
        <v>-3.3553513340228935</v>
      </c>
    </row>
    <row r="22" spans="1:13">
      <c r="A22" s="319" t="s">
        <v>392</v>
      </c>
      <c r="B22" s="253">
        <f>((B17/B14)^(1/3)-1)*100</f>
        <v>1.4987231860750239</v>
      </c>
      <c r="C22" s="253">
        <f t="shared" ref="C22:K22" si="2">((C17/C14)^(1/3)-1)*100</f>
        <v>3.446275409910049</v>
      </c>
      <c r="D22" s="253">
        <f t="shared" si="2"/>
        <v>4.6421640905440098</v>
      </c>
      <c r="E22" s="253">
        <f t="shared" si="2"/>
        <v>5.604950507929729</v>
      </c>
      <c r="F22" s="253">
        <f t="shared" si="2"/>
        <v>1.5720747855474171</v>
      </c>
      <c r="G22" s="253">
        <f t="shared" si="2"/>
        <v>9.667856907762884</v>
      </c>
      <c r="H22" s="253">
        <f t="shared" si="2"/>
        <v>13.666919210593043</v>
      </c>
      <c r="I22" s="253">
        <f t="shared" si="2"/>
        <v>-3.714900543180133</v>
      </c>
      <c r="J22" s="253">
        <f t="shared" si="2"/>
        <v>-3.8429544330341292</v>
      </c>
      <c r="K22" s="253">
        <f t="shared" si="2"/>
        <v>-4.0081502964252618</v>
      </c>
    </row>
    <row r="23" spans="1:13">
      <c r="A23" s="285" t="s">
        <v>69</v>
      </c>
      <c r="B23" s="253">
        <f>IFERROR(((B17/B11)^(1/6)-1)*100,"n.a.")</f>
        <v>1.2457313629411937</v>
      </c>
      <c r="C23" s="253">
        <f t="shared" ref="C23:K23" si="3">IFERROR(((C17/C11)^(1/6)-1)*100,"n.a.")</f>
        <v>2.7017725331938358</v>
      </c>
      <c r="D23" s="253">
        <f t="shared" si="3"/>
        <v>2.6862305454641522</v>
      </c>
      <c r="E23" s="253">
        <f t="shared" si="3"/>
        <v>3.8533935018205456</v>
      </c>
      <c r="F23" s="253">
        <f t="shared" si="3"/>
        <v>3.1759253249788788</v>
      </c>
      <c r="G23" s="253">
        <f t="shared" si="3"/>
        <v>3.7263113072826037</v>
      </c>
      <c r="H23" s="253">
        <f t="shared" si="3"/>
        <v>5.3784371954737065</v>
      </c>
      <c r="I23" s="253">
        <f t="shared" si="3"/>
        <v>-0.16365607864521348</v>
      </c>
      <c r="J23" s="253">
        <f t="shared" si="3"/>
        <v>0.10752866581120735</v>
      </c>
      <c r="K23" s="253">
        <f t="shared" si="3"/>
        <v>-3.6823038616513593</v>
      </c>
      <c r="M23" s="292"/>
    </row>
    <row r="24" spans="1:13" s="352" customFormat="1">
      <c r="A24" s="355" t="s">
        <v>15</v>
      </c>
      <c r="B24" s="253">
        <f>((B17/B4)^(1/13)-1)*100</f>
        <v>1.1663199141469294</v>
      </c>
      <c r="C24" s="253">
        <f t="shared" ref="C24:I24" si="4">((C17/C4)^(1/13)-1)*100</f>
        <v>3.5300683982967263</v>
      </c>
      <c r="D24" s="253">
        <f t="shared" si="4"/>
        <v>3.1455839311938627</v>
      </c>
      <c r="E24" s="253">
        <f t="shared" si="4"/>
        <v>4.7893795782678161</v>
      </c>
      <c r="F24" s="253" t="s">
        <v>9</v>
      </c>
      <c r="G24" s="253" t="s">
        <v>9</v>
      </c>
      <c r="H24" s="253" t="s">
        <v>9</v>
      </c>
      <c r="I24" s="253">
        <f t="shared" si="4"/>
        <v>1.0166566369896213</v>
      </c>
      <c r="J24" s="253" t="s">
        <v>9</v>
      </c>
      <c r="K24" s="253" t="s">
        <v>9</v>
      </c>
      <c r="M24" s="292"/>
    </row>
    <row r="25" spans="1:13">
      <c r="A25" s="265"/>
      <c r="B25" s="358"/>
      <c r="C25" s="358"/>
      <c r="D25" s="358"/>
      <c r="E25" s="358"/>
      <c r="F25" s="358"/>
      <c r="G25" s="358"/>
      <c r="H25" s="358"/>
      <c r="I25" s="358"/>
      <c r="J25" s="358"/>
      <c r="K25" s="358"/>
    </row>
    <row r="26" spans="1:13">
      <c r="A26" s="472" t="s">
        <v>41</v>
      </c>
      <c r="B26" s="470"/>
      <c r="C26" s="470"/>
      <c r="D26" s="470"/>
      <c r="E26" s="470"/>
      <c r="F26" s="470"/>
      <c r="G26" s="470"/>
      <c r="H26" s="470"/>
      <c r="I26" s="470"/>
      <c r="J26" s="470"/>
      <c r="K26" s="470"/>
    </row>
    <row r="27" spans="1:13">
      <c r="A27" s="472" t="s">
        <v>408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</row>
    <row r="28" spans="1:13">
      <c r="B28" s="359"/>
      <c r="C28" s="359"/>
      <c r="D28" s="359"/>
      <c r="E28" s="359"/>
      <c r="F28" s="359"/>
      <c r="G28" s="359"/>
      <c r="H28" s="359"/>
      <c r="I28" s="359"/>
      <c r="J28" s="359"/>
      <c r="K28" s="359"/>
    </row>
    <row r="29" spans="1:13">
      <c r="B29" s="359"/>
      <c r="C29" s="359"/>
      <c r="D29" s="359"/>
      <c r="E29" s="359"/>
      <c r="F29" s="359"/>
      <c r="G29" s="359"/>
      <c r="H29" s="359"/>
      <c r="I29" s="359"/>
      <c r="J29" s="359"/>
      <c r="K29" s="359"/>
    </row>
    <row r="30" spans="1:13">
      <c r="B30" s="359"/>
      <c r="C30" s="359"/>
      <c r="D30" s="359"/>
      <c r="E30" s="359"/>
      <c r="F30" s="359"/>
      <c r="G30" s="359"/>
      <c r="H30" s="359"/>
      <c r="I30" s="359"/>
      <c r="J30" s="359"/>
      <c r="K30" s="359"/>
    </row>
    <row r="31" spans="1:13">
      <c r="M31" s="292"/>
    </row>
    <row r="32" spans="1:13">
      <c r="M32" s="292"/>
    </row>
    <row r="33" spans="13:13">
      <c r="M33" s="292"/>
    </row>
  </sheetData>
  <mergeCells count="4">
    <mergeCell ref="A1:K1"/>
    <mergeCell ref="A19:K19"/>
    <mergeCell ref="A26:K26"/>
    <mergeCell ref="A27:K27"/>
  </mergeCells>
  <printOptions gridLines="1"/>
  <pageMargins left="0.7" right="0.7" top="0.75" bottom="0.75" header="0.3" footer="0.3"/>
  <pageSetup scale="77" orientation="landscape" horizontalDpi="0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A31" sqref="A31:U31"/>
      <selection pane="topRight" activeCell="A31" sqref="A31:U31"/>
      <selection pane="bottomLeft" activeCell="A31" sqref="A31:U31"/>
      <selection pane="bottomRight" activeCell="B13" sqref="B13"/>
    </sheetView>
  </sheetViews>
  <sheetFormatPr defaultRowHeight="15" outlineLevelRow="1"/>
  <cols>
    <col min="1" max="1" width="11" style="266" customWidth="1"/>
    <col min="2" max="2" width="13.7109375" style="266" bestFit="1" customWidth="1"/>
    <col min="3" max="3" width="12.85546875" style="266" bestFit="1" customWidth="1"/>
    <col min="4" max="5" width="14.5703125" style="266" bestFit="1" customWidth="1"/>
    <col min="6" max="6" width="13.7109375" style="266" bestFit="1" customWidth="1"/>
    <col min="7" max="7" width="12.85546875" style="266" bestFit="1" customWidth="1"/>
    <col min="8" max="9" width="14.5703125" style="266" bestFit="1" customWidth="1"/>
    <col min="10" max="16384" width="9.140625" style="266"/>
  </cols>
  <sheetData>
    <row r="1" spans="1:9">
      <c r="A1" s="471" t="s">
        <v>590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ht="15" customHeight="1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ht="15" customHeight="1" outlineLevel="1">
      <c r="A5" s="326">
        <v>2000</v>
      </c>
      <c r="B5" s="129">
        <v>1407018.7</v>
      </c>
      <c r="C5" s="129">
        <v>3360</v>
      </c>
      <c r="D5" s="129">
        <v>9382.4</v>
      </c>
      <c r="E5" s="129">
        <v>21942.2</v>
      </c>
      <c r="F5" s="170">
        <f>'18A'!L5/'21A'!B5*1000</f>
        <v>879.03735749922873</v>
      </c>
      <c r="G5" s="170">
        <f>'18A'!M5/'21A'!C5*1000</f>
        <v>6909.8214285714294</v>
      </c>
      <c r="H5" s="170">
        <f>'18A'!N5/'21A'!D5*1000</f>
        <v>469.49607776261939</v>
      </c>
      <c r="I5" s="170">
        <f>'18A'!O5/'21A'!E5*1000</f>
        <v>395.90378357685194</v>
      </c>
    </row>
    <row r="6" spans="1:9" s="332" customFormat="1" ht="15" customHeight="1" outlineLevel="1">
      <c r="A6" s="326">
        <v>2001</v>
      </c>
      <c r="B6" s="129">
        <v>1434354.9</v>
      </c>
      <c r="C6" s="129">
        <v>3220.3</v>
      </c>
      <c r="D6" s="129">
        <v>8885.4</v>
      </c>
      <c r="E6" s="129">
        <v>20904</v>
      </c>
      <c r="F6" s="170">
        <f>'18A'!L6/'21A'!B6*1000</f>
        <v>874.42515098599381</v>
      </c>
      <c r="G6" s="170">
        <f>'18A'!M6/'21A'!C6*1000</f>
        <v>7000.9005372170286</v>
      </c>
      <c r="H6" s="170">
        <f>'18A'!N6/'21A'!D6*1000</f>
        <v>499.35849821054768</v>
      </c>
      <c r="I6" s="170">
        <f>'18A'!O6/'21A'!E6*1000</f>
        <v>397.53157290470728</v>
      </c>
    </row>
    <row r="7" spans="1:9" s="332" customFormat="1" ht="15" customHeight="1" outlineLevel="1">
      <c r="A7" s="326">
        <v>2002</v>
      </c>
      <c r="B7" s="129">
        <v>1450190.6</v>
      </c>
      <c r="C7" s="129">
        <v>3181.6</v>
      </c>
      <c r="D7" s="129">
        <v>8366.9</v>
      </c>
      <c r="E7" s="129">
        <v>19591.400000000001</v>
      </c>
      <c r="F7" s="170">
        <f>'18A'!L7/'21A'!B7*1000</f>
        <v>887.64056255777678</v>
      </c>
      <c r="G7" s="170">
        <f>'18A'!M7/'21A'!C7*1000</f>
        <v>7580.148353029922</v>
      </c>
      <c r="H7" s="170">
        <f>'18A'!N7/'21A'!D7*1000</f>
        <v>550.50257562538093</v>
      </c>
      <c r="I7" s="170">
        <f>'18A'!O7/'21A'!E7*1000</f>
        <v>472.75845524056473</v>
      </c>
    </row>
    <row r="8" spans="1:9" s="332" customFormat="1" ht="15" customHeight="1" outlineLevel="1">
      <c r="A8" s="326">
        <v>2003</v>
      </c>
      <c r="B8" s="129">
        <v>1474036</v>
      </c>
      <c r="C8" s="129">
        <v>3137</v>
      </c>
      <c r="D8" s="129">
        <v>8232.7999999999993</v>
      </c>
      <c r="E8" s="129">
        <v>19175.7</v>
      </c>
      <c r="F8" s="170">
        <f>'18A'!L8/'21A'!B8*1000</f>
        <v>891.77740570786602</v>
      </c>
      <c r="G8" s="170">
        <f>'18A'!M8/'21A'!C8*1000</f>
        <v>7700.6694293911378</v>
      </c>
      <c r="H8" s="170">
        <f>'18A'!N8/'21A'!D8*1000</f>
        <v>546.47264600136043</v>
      </c>
      <c r="I8" s="170">
        <f>'18A'!O8/'21A'!E8*1000</f>
        <v>489.26505942416702</v>
      </c>
    </row>
    <row r="9" spans="1:9" s="332" customFormat="1" ht="15" customHeight="1" outlineLevel="1">
      <c r="A9" s="326">
        <v>2004</v>
      </c>
      <c r="B9" s="129">
        <v>1509779</v>
      </c>
      <c r="C9" s="129">
        <v>3104.3</v>
      </c>
      <c r="D9" s="129">
        <v>8380.7000000000007</v>
      </c>
      <c r="E9" s="129">
        <v>18096</v>
      </c>
      <c r="F9" s="170">
        <f>'18A'!L9/'21A'!B9*1000</f>
        <v>897.62938814223799</v>
      </c>
      <c r="G9" s="170">
        <f>'18A'!M9/'21A'!C9*1000</f>
        <v>8047.869084817833</v>
      </c>
      <c r="H9" s="170">
        <f>'18A'!N9/'21A'!D9*1000</f>
        <v>572.74452014748169</v>
      </c>
      <c r="I9" s="170">
        <f>'18A'!O9/'21A'!E9*1000</f>
        <v>542.32979664014147</v>
      </c>
    </row>
    <row r="10" spans="1:9" s="332" customFormat="1" ht="15" customHeight="1" outlineLevel="1">
      <c r="A10" s="326">
        <v>2005</v>
      </c>
      <c r="B10" s="129">
        <v>1559782.6</v>
      </c>
      <c r="C10" s="129">
        <v>3066.7</v>
      </c>
      <c r="D10" s="129">
        <v>8821.5</v>
      </c>
      <c r="E10" s="129">
        <v>17164.7</v>
      </c>
      <c r="F10" s="170">
        <f>'18A'!L10/'21A'!B10*1000</f>
        <v>894.94523147007783</v>
      </c>
      <c r="G10" s="170">
        <f>'18A'!M10/'21A'!C10*1000</f>
        <v>8401.865197117424</v>
      </c>
      <c r="H10" s="170">
        <f>'18A'!N10/'21A'!D10*1000</f>
        <v>547.07249334013488</v>
      </c>
      <c r="I10" s="170">
        <f>'18A'!O10/'21A'!E10*1000</f>
        <v>616.38129416768129</v>
      </c>
    </row>
    <row r="11" spans="1:9" s="332" customFormat="1" ht="15" customHeight="1" outlineLevel="1">
      <c r="A11" s="326">
        <v>2006</v>
      </c>
      <c r="B11" s="129">
        <v>1616687.7</v>
      </c>
      <c r="C11" s="129">
        <v>2982.8</v>
      </c>
      <c r="D11" s="129">
        <v>8956.5</v>
      </c>
      <c r="E11" s="129">
        <v>16266.4</v>
      </c>
      <c r="F11" s="170">
        <f>'18A'!L11/'21A'!B11*1000</f>
        <v>887.57711214107712</v>
      </c>
      <c r="G11" s="170">
        <f>'18A'!M11/'21A'!C11*1000</f>
        <v>8207.7242859058588</v>
      </c>
      <c r="H11" s="170">
        <f>'18A'!N11/'21A'!D11*1000</f>
        <v>514.4866856472953</v>
      </c>
      <c r="I11" s="170">
        <f>'18A'!O11/'21A'!E11*1000</f>
        <v>645.44090886735853</v>
      </c>
    </row>
    <row r="12" spans="1:9">
      <c r="A12" s="260">
        <v>2007</v>
      </c>
      <c r="B12" s="81">
        <v>1668675.3</v>
      </c>
      <c r="C12" s="81">
        <v>2823.6</v>
      </c>
      <c r="D12" s="81">
        <v>8745.1</v>
      </c>
      <c r="E12" s="81">
        <v>15379.8</v>
      </c>
      <c r="F12" s="170">
        <f>'18A'!L12/'21A'!B12*1000</f>
        <v>878.95530065076161</v>
      </c>
      <c r="G12" s="170">
        <f>'18A'!M12/'21A'!C12*1000</f>
        <v>8183.5245785522038</v>
      </c>
      <c r="H12" s="170">
        <f>'18A'!N12/'21A'!D12*1000</f>
        <v>481.06939886336346</v>
      </c>
      <c r="I12" s="170">
        <f>'18A'!O12/'21A'!E12*1000</f>
        <v>626.01594299015596</v>
      </c>
    </row>
    <row r="13" spans="1:9">
      <c r="A13" s="260">
        <v>2008</v>
      </c>
      <c r="B13" s="81">
        <v>1721450.5</v>
      </c>
      <c r="C13" s="81">
        <v>2705.1</v>
      </c>
      <c r="D13" s="81">
        <v>8367.2000000000007</v>
      </c>
      <c r="E13" s="81">
        <v>14412.6</v>
      </c>
      <c r="F13" s="170">
        <f>'18A'!L13/'21A'!B13*1000</f>
        <v>860.94894973744533</v>
      </c>
      <c r="G13" s="170">
        <f>'18A'!M13/'21A'!C13*1000</f>
        <v>7848.8780451739312</v>
      </c>
      <c r="H13" s="170">
        <f>'18A'!N13/'21A'!D13*1000</f>
        <v>471.36437517927141</v>
      </c>
      <c r="I13" s="170">
        <f>'18A'!O13/'21A'!E13*1000</f>
        <v>600.16929631017297</v>
      </c>
    </row>
    <row r="14" spans="1:9">
      <c r="A14" s="260">
        <v>2009</v>
      </c>
      <c r="B14" s="81">
        <v>1733027.8</v>
      </c>
      <c r="C14" s="81">
        <v>2524.3000000000002</v>
      </c>
      <c r="D14" s="81">
        <v>7733.6</v>
      </c>
      <c r="E14" s="81">
        <v>13089.5</v>
      </c>
      <c r="F14" s="170">
        <f>'18A'!L14/'21A'!B14*1000</f>
        <v>829.93533052383805</v>
      </c>
      <c r="G14" s="170">
        <f>'18A'!M14/'21A'!C14*1000</f>
        <v>6874.3810165194309</v>
      </c>
      <c r="H14" s="170">
        <f>'18A'!N14/'21A'!D14*1000</f>
        <v>400.97755249818965</v>
      </c>
      <c r="I14" s="170">
        <f>'18A'!O14/'21A'!E14*1000</f>
        <v>549.06604530348761</v>
      </c>
    </row>
    <row r="15" spans="1:9">
      <c r="A15" s="260">
        <v>2010</v>
      </c>
      <c r="B15" s="81">
        <v>1773755.1</v>
      </c>
      <c r="C15" s="81">
        <v>2396.5</v>
      </c>
      <c r="D15" s="81">
        <v>7405.6</v>
      </c>
      <c r="E15" s="81">
        <v>12060.5</v>
      </c>
      <c r="F15" s="170">
        <f>'18A'!L15/'21A'!B15*1000</f>
        <v>839.58941118759856</v>
      </c>
      <c r="G15" s="170">
        <f>'18A'!M15/'21A'!C15*1000</f>
        <v>7861.4646359273938</v>
      </c>
      <c r="H15" s="170">
        <f>'18A'!N15/'21A'!D15*1000</f>
        <v>481.12239386410283</v>
      </c>
      <c r="I15" s="170">
        <f>'18A'!O15/'21A'!E15*1000</f>
        <v>627.75175158575519</v>
      </c>
    </row>
    <row r="16" spans="1:9">
      <c r="A16" s="267">
        <v>2011</v>
      </c>
      <c r="B16" s="129">
        <v>1821692.8</v>
      </c>
      <c r="C16" s="129">
        <v>2286.4</v>
      </c>
      <c r="D16" s="129">
        <v>6972.4</v>
      </c>
      <c r="E16" s="129">
        <v>11527.3</v>
      </c>
      <c r="F16" s="43">
        <f>'18A'!L16/'21A'!B16*1000</f>
        <v>842.31545516346114</v>
      </c>
      <c r="G16" s="43">
        <f>'18A'!M16/'21A'!C16*1000</f>
        <v>8360.7417774667611</v>
      </c>
      <c r="H16" s="43">
        <f>'18A'!N16/'21A'!D16*1000</f>
        <v>539.98623142676843</v>
      </c>
      <c r="I16" s="43">
        <f>'18A'!O16/'21A'!E16*1000</f>
        <v>678.99681625358937</v>
      </c>
    </row>
    <row r="17" spans="1:9">
      <c r="A17" s="267">
        <v>2012</v>
      </c>
      <c r="B17" s="129">
        <v>1872073.5</v>
      </c>
      <c r="C17" s="129">
        <v>2203.9</v>
      </c>
      <c r="D17" s="129">
        <v>6776.7</v>
      </c>
      <c r="E17" s="129">
        <v>11144</v>
      </c>
      <c r="F17" s="43">
        <f>'18A'!L17/'21A'!B17*1000</f>
        <v>836.28928030870588</v>
      </c>
      <c r="G17" s="43">
        <f>'18A'!M17/'21A'!C17*1000</f>
        <v>8721.8113344525609</v>
      </c>
      <c r="H17" s="43">
        <f>'18A'!N17/'21A'!D17*1000</f>
        <v>546.43115380642496</v>
      </c>
      <c r="I17" s="43">
        <f>'18A'!O17/'21A'!E17*1000</f>
        <v>755.92246949030869</v>
      </c>
    </row>
    <row r="18" spans="1:9">
      <c r="A18" s="267">
        <v>2013</v>
      </c>
      <c r="B18" s="129">
        <v>1916593.7</v>
      </c>
      <c r="C18" s="129">
        <v>2080.6</v>
      </c>
      <c r="D18" s="129">
        <v>6545.7</v>
      </c>
      <c r="E18" s="129">
        <v>11110.9</v>
      </c>
      <c r="F18" s="43">
        <f>'18A'!L18/'21A'!B18*1000</f>
        <v>834.1538428306427</v>
      </c>
      <c r="G18" s="43">
        <f>'18A'!M18/'21A'!C18*1000</f>
        <v>9563.1067961165063</v>
      </c>
      <c r="H18" s="43">
        <f>'18A'!N18/'21A'!D18*1000</f>
        <v>590.61674076111035</v>
      </c>
      <c r="I18" s="43">
        <f>'18A'!O18/'21A'!E18*1000</f>
        <v>813.43545527365029</v>
      </c>
    </row>
    <row r="20" spans="1:9">
      <c r="A20" s="215" t="s">
        <v>11</v>
      </c>
    </row>
    <row r="21" spans="1:9" s="352" customFormat="1">
      <c r="A21" s="353" t="s">
        <v>68</v>
      </c>
      <c r="B21" s="292">
        <f>((B12/B5)^(1/7)-1)*100</f>
        <v>2.4664546230706907</v>
      </c>
      <c r="C21" s="292">
        <f t="shared" ref="C21:I21" si="0">((C12/C5)^(1/7)-1)*100</f>
        <v>-2.4540757629317511</v>
      </c>
      <c r="D21" s="292">
        <f t="shared" si="0"/>
        <v>-0.99985431919523693</v>
      </c>
      <c r="E21" s="292">
        <f t="shared" si="0"/>
        <v>-4.94982271564065</v>
      </c>
      <c r="F21" s="292">
        <f>((F12/F5)^(1/7)-1)*100</f>
        <v>-1.333603836473074E-3</v>
      </c>
      <c r="G21" s="292">
        <f t="shared" si="0"/>
        <v>2.446287272369263</v>
      </c>
      <c r="H21" s="292">
        <f t="shared" si="0"/>
        <v>0.34848574081409733</v>
      </c>
      <c r="I21" s="292">
        <f t="shared" si="0"/>
        <v>6.764768587752501</v>
      </c>
    </row>
    <row r="22" spans="1:9">
      <c r="A22" s="267" t="s">
        <v>368</v>
      </c>
      <c r="B22" s="292">
        <f>((B15/B12)^(1/3)-1)*100</f>
        <v>2.0564850355265785</v>
      </c>
      <c r="C22" s="292">
        <f t="shared" ref="C22:I22" si="1">((C15/C12)^(1/3)-1)*100</f>
        <v>-5.3200354385503079</v>
      </c>
      <c r="D22" s="292">
        <f t="shared" si="1"/>
        <v>-5.3911369191697815</v>
      </c>
      <c r="E22" s="292">
        <f t="shared" si="1"/>
        <v>-7.7842983556000949</v>
      </c>
      <c r="F22" s="292">
        <f t="shared" si="1"/>
        <v>-1.515763805549597</v>
      </c>
      <c r="G22" s="292">
        <f t="shared" si="1"/>
        <v>-1.3294176643692479</v>
      </c>
      <c r="H22" s="292">
        <f t="shared" si="1"/>
        <v>3.6718925926715329E-3</v>
      </c>
      <c r="I22" s="292">
        <f t="shared" si="1"/>
        <v>9.2340924092892962E-2</v>
      </c>
    </row>
    <row r="23" spans="1:9">
      <c r="A23" s="267" t="s">
        <v>392</v>
      </c>
      <c r="B23" s="292">
        <f>((B18/B15)^(1/3)-1)*100</f>
        <v>2.6153032763468698</v>
      </c>
      <c r="C23" s="292">
        <f t="shared" ref="C23:I23" si="2">((C18/C15)^(1/3)-1)*100</f>
        <v>-4.6024868344773147</v>
      </c>
      <c r="D23" s="292">
        <f t="shared" si="2"/>
        <v>-4.0307835976290391</v>
      </c>
      <c r="E23" s="292">
        <f t="shared" si="2"/>
        <v>-2.6966090667150056</v>
      </c>
      <c r="F23" s="292">
        <f t="shared" si="2"/>
        <v>-0.21627003061059913</v>
      </c>
      <c r="G23" s="292">
        <f t="shared" si="2"/>
        <v>6.7493354850924003</v>
      </c>
      <c r="H23" s="292">
        <f t="shared" si="2"/>
        <v>7.0738438417541127</v>
      </c>
      <c r="I23" s="292">
        <f t="shared" si="2"/>
        <v>9.0213916950387496</v>
      </c>
    </row>
    <row r="24" spans="1:9">
      <c r="A24" s="267" t="s">
        <v>69</v>
      </c>
      <c r="B24" s="292">
        <f>IFERROR(((B18/B12)^(1/6)-1)*100,"n.a.")</f>
        <v>2.335512717914856</v>
      </c>
      <c r="C24" s="292">
        <f t="shared" ref="C24:I24" si="3">IFERROR(((C18/C12)^(1/6)-1)*100,"n.a.")</f>
        <v>-4.9619383312027088</v>
      </c>
      <c r="D24" s="292">
        <f t="shared" si="3"/>
        <v>-4.7133878522985784</v>
      </c>
      <c r="E24" s="292">
        <f t="shared" si="3"/>
        <v>-5.2746049504557853</v>
      </c>
      <c r="F24" s="292">
        <f t="shared" si="3"/>
        <v>-0.86814623609319241</v>
      </c>
      <c r="G24" s="292">
        <f t="shared" si="3"/>
        <v>2.6304978856464434</v>
      </c>
      <c r="H24" s="292">
        <f t="shared" si="3"/>
        <v>3.4783916952205285</v>
      </c>
      <c r="I24" s="292">
        <f t="shared" si="3"/>
        <v>4.4615063339548344</v>
      </c>
    </row>
    <row r="25" spans="1:9" s="352" customFormat="1">
      <c r="A25" s="353" t="s">
        <v>69</v>
      </c>
      <c r="B25" s="292">
        <f>((B18/B5)^(1/13)-1)*100</f>
        <v>2.405999091406108</v>
      </c>
      <c r="C25" s="292">
        <f t="shared" ref="C25:I25" si="4">((C18/C5)^(1/13)-1)*100</f>
        <v>-3.6196699960476142</v>
      </c>
      <c r="D25" s="292">
        <f t="shared" si="4"/>
        <v>-2.7314429517958261</v>
      </c>
      <c r="E25" s="292">
        <f t="shared" si="4"/>
        <v>-5.0998603507735556</v>
      </c>
      <c r="F25" s="292">
        <f t="shared" si="4"/>
        <v>-0.40233880609610306</v>
      </c>
      <c r="G25" s="292">
        <f t="shared" si="4"/>
        <v>2.5312664342499014</v>
      </c>
      <c r="H25" s="292">
        <f t="shared" si="4"/>
        <v>1.7811173349924214</v>
      </c>
      <c r="I25" s="292">
        <f t="shared" si="4"/>
        <v>5.6954808604867901</v>
      </c>
    </row>
    <row r="27" spans="1:9">
      <c r="A27" s="474" t="s">
        <v>41</v>
      </c>
      <c r="B27" s="474"/>
      <c r="C27" s="474"/>
      <c r="D27" s="474"/>
      <c r="E27" s="474"/>
      <c r="F27" s="474"/>
      <c r="G27" s="474"/>
      <c r="H27" s="474"/>
      <c r="I27" s="474"/>
    </row>
    <row r="28" spans="1:9">
      <c r="A28" s="474" t="s">
        <v>409</v>
      </c>
      <c r="B28" s="474"/>
      <c r="C28" s="474"/>
      <c r="D28" s="474"/>
      <c r="E28" s="474"/>
      <c r="F28" s="474"/>
      <c r="G28" s="474"/>
      <c r="H28" s="474"/>
      <c r="I28" s="474"/>
    </row>
    <row r="29" spans="1:9">
      <c r="A29" s="474" t="s">
        <v>410</v>
      </c>
      <c r="B29" s="474"/>
      <c r="C29" s="474"/>
      <c r="D29" s="474"/>
      <c r="E29" s="474"/>
      <c r="F29" s="474"/>
      <c r="G29" s="474"/>
      <c r="H29" s="474"/>
      <c r="I29" s="474"/>
    </row>
    <row r="30" spans="1:9">
      <c r="A30" s="474" t="s">
        <v>55</v>
      </c>
      <c r="B30" s="474"/>
      <c r="C30" s="474"/>
      <c r="D30" s="474"/>
      <c r="E30" s="474"/>
      <c r="F30" s="474"/>
      <c r="G30" s="474"/>
      <c r="H30" s="474"/>
      <c r="I30" s="474"/>
    </row>
    <row r="31" spans="1:9">
      <c r="A31" s="474" t="s">
        <v>411</v>
      </c>
      <c r="B31" s="474"/>
      <c r="C31" s="474"/>
      <c r="D31" s="474"/>
      <c r="E31" s="474"/>
      <c r="F31" s="474"/>
      <c r="G31" s="474"/>
      <c r="H31" s="474"/>
      <c r="I31" s="474"/>
    </row>
    <row r="32" spans="1:9">
      <c r="A32" s="474" t="s">
        <v>412</v>
      </c>
      <c r="B32" s="474"/>
      <c r="C32" s="474"/>
      <c r="D32" s="474"/>
      <c r="E32" s="474"/>
      <c r="F32" s="474"/>
      <c r="G32" s="474"/>
      <c r="H32" s="474"/>
      <c r="I32" s="474"/>
    </row>
    <row r="33" spans="1:9">
      <c r="A33" s="474" t="s">
        <v>413</v>
      </c>
      <c r="B33" s="474"/>
      <c r="C33" s="474"/>
      <c r="D33" s="474"/>
      <c r="E33" s="474"/>
      <c r="F33" s="474"/>
      <c r="G33" s="474"/>
      <c r="H33" s="474"/>
      <c r="I33" s="474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5"/>
  <sheetViews>
    <sheetView view="pageBreakPreview" topLeftCell="A13" zoomScaleNormal="100" zoomScaleSheetLayoutView="100" workbookViewId="0">
      <selection activeCell="J42" sqref="J42"/>
    </sheetView>
  </sheetViews>
  <sheetFormatPr defaultRowHeight="15"/>
  <cols>
    <col min="1" max="1" width="9.140625" style="91"/>
    <col min="2" max="2" width="13.85546875" style="91" bestFit="1" customWidth="1"/>
    <col min="3" max="3" width="11.140625" style="91" bestFit="1" customWidth="1"/>
    <col min="4" max="5" width="10.140625" style="91" bestFit="1" customWidth="1"/>
    <col min="6" max="8" width="10.140625" style="91" customWidth="1"/>
    <col min="9" max="11" width="10.140625" style="91" bestFit="1" customWidth="1"/>
    <col min="12" max="12" width="9.140625" style="91"/>
    <col min="13" max="33" width="0" style="91" hidden="1" customWidth="1"/>
    <col min="34" max="16384" width="9.140625" style="91"/>
  </cols>
  <sheetData>
    <row r="1" spans="1:29">
      <c r="A1" s="454" t="s">
        <v>169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6"/>
      <c r="B2" s="66" t="s">
        <v>16</v>
      </c>
      <c r="C2" s="66" t="s">
        <v>8</v>
      </c>
      <c r="D2" s="66" t="s">
        <v>3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17</v>
      </c>
      <c r="J2" s="66" t="s">
        <v>6</v>
      </c>
      <c r="K2" s="66" t="s">
        <v>7</v>
      </c>
    </row>
    <row r="3" spans="1:29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6">
        <v>1984</v>
      </c>
      <c r="B4" s="9" t="s">
        <v>10</v>
      </c>
      <c r="C4" s="9" t="s">
        <v>10</v>
      </c>
      <c r="D4" s="9" t="s">
        <v>10</v>
      </c>
      <c r="E4" s="9" t="s">
        <v>10</v>
      </c>
      <c r="F4" s="9" t="s">
        <v>10</v>
      </c>
      <c r="G4" s="9" t="s">
        <v>10</v>
      </c>
      <c r="H4" s="9" t="s">
        <v>10</v>
      </c>
      <c r="I4" s="9" t="s">
        <v>10</v>
      </c>
      <c r="J4" s="9" t="s">
        <v>10</v>
      </c>
      <c r="K4" s="9" t="s">
        <v>10</v>
      </c>
    </row>
    <row r="5" spans="1:29">
      <c r="A5" s="66">
        <v>1985</v>
      </c>
      <c r="B5" s="9" t="s">
        <v>10</v>
      </c>
      <c r="C5" s="9" t="s">
        <v>10</v>
      </c>
      <c r="D5" s="9" t="s">
        <v>10</v>
      </c>
      <c r="E5" s="9" t="s">
        <v>10</v>
      </c>
      <c r="F5" s="9" t="s">
        <v>10</v>
      </c>
      <c r="G5" s="9" t="s">
        <v>10</v>
      </c>
      <c r="H5" s="9" t="s">
        <v>10</v>
      </c>
      <c r="I5" s="9" t="s">
        <v>10</v>
      </c>
      <c r="J5" s="9" t="s">
        <v>10</v>
      </c>
      <c r="K5" s="9" t="s">
        <v>10</v>
      </c>
    </row>
    <row r="6" spans="1:29">
      <c r="A6" s="66">
        <v>1986</v>
      </c>
      <c r="B6" s="9" t="s">
        <v>10</v>
      </c>
      <c r="C6" s="9" t="s">
        <v>10</v>
      </c>
      <c r="D6" s="9" t="s">
        <v>10</v>
      </c>
      <c r="E6" s="9" t="s">
        <v>10</v>
      </c>
      <c r="F6" s="9" t="s">
        <v>10</v>
      </c>
      <c r="G6" s="9" t="s">
        <v>10</v>
      </c>
      <c r="H6" s="9" t="s">
        <v>10</v>
      </c>
      <c r="I6" s="9" t="s">
        <v>10</v>
      </c>
      <c r="J6" s="9" t="s">
        <v>10</v>
      </c>
      <c r="K6" s="9" t="s">
        <v>10</v>
      </c>
    </row>
    <row r="7" spans="1:29">
      <c r="A7" s="66">
        <v>1987</v>
      </c>
      <c r="B7" s="9" t="s">
        <v>10</v>
      </c>
      <c r="C7" s="9" t="s">
        <v>10</v>
      </c>
      <c r="D7" s="9" t="s">
        <v>10</v>
      </c>
      <c r="E7" s="9" t="s">
        <v>10</v>
      </c>
      <c r="F7" s="9" t="s">
        <v>10</v>
      </c>
      <c r="G7" s="9" t="s">
        <v>10</v>
      </c>
      <c r="H7" s="9" t="s">
        <v>10</v>
      </c>
      <c r="I7" s="9" t="s">
        <v>10</v>
      </c>
      <c r="J7" s="9" t="s">
        <v>10</v>
      </c>
      <c r="K7" s="9" t="s">
        <v>10</v>
      </c>
    </row>
    <row r="8" spans="1:29">
      <c r="A8" s="66">
        <v>1988</v>
      </c>
      <c r="B8" s="9" t="s">
        <v>10</v>
      </c>
      <c r="C8" s="9" t="s">
        <v>10</v>
      </c>
      <c r="D8" s="9" t="s">
        <v>10</v>
      </c>
      <c r="E8" s="9" t="s">
        <v>10</v>
      </c>
      <c r="F8" s="9" t="s">
        <v>10</v>
      </c>
      <c r="G8" s="9" t="s">
        <v>10</v>
      </c>
      <c r="H8" s="9" t="s">
        <v>10</v>
      </c>
      <c r="I8" s="9" t="s">
        <v>10</v>
      </c>
      <c r="J8" s="9" t="s">
        <v>10</v>
      </c>
      <c r="K8" s="9" t="s">
        <v>10</v>
      </c>
    </row>
    <row r="9" spans="1:29">
      <c r="A9" s="66">
        <v>1989</v>
      </c>
      <c r="B9" s="9" t="s">
        <v>10</v>
      </c>
      <c r="C9" s="9" t="s">
        <v>10</v>
      </c>
      <c r="D9" s="9" t="s">
        <v>10</v>
      </c>
      <c r="E9" s="9" t="s">
        <v>10</v>
      </c>
      <c r="F9" s="9" t="s">
        <v>10</v>
      </c>
      <c r="G9" s="9" t="s">
        <v>10</v>
      </c>
      <c r="H9" s="9" t="s">
        <v>10</v>
      </c>
      <c r="I9" s="9" t="s">
        <v>10</v>
      </c>
      <c r="J9" s="9" t="s">
        <v>10</v>
      </c>
      <c r="K9" s="9" t="s">
        <v>10</v>
      </c>
    </row>
    <row r="10" spans="1:29">
      <c r="A10" s="66">
        <v>1990</v>
      </c>
      <c r="B10" s="9" t="s">
        <v>10</v>
      </c>
      <c r="C10" s="9" t="s">
        <v>10</v>
      </c>
      <c r="D10" s="9" t="s">
        <v>10</v>
      </c>
      <c r="E10" s="9" t="s">
        <v>10</v>
      </c>
      <c r="F10" s="9" t="s">
        <v>10</v>
      </c>
      <c r="G10" s="9" t="s">
        <v>10</v>
      </c>
      <c r="H10" s="9" t="s">
        <v>10</v>
      </c>
      <c r="I10" s="9" t="s">
        <v>10</v>
      </c>
      <c r="J10" s="9" t="s">
        <v>10</v>
      </c>
      <c r="K10" s="9" t="s">
        <v>10</v>
      </c>
    </row>
    <row r="11" spans="1:29">
      <c r="A11" s="66">
        <v>1991</v>
      </c>
      <c r="B11" s="9" t="s">
        <v>10</v>
      </c>
      <c r="C11" s="9" t="s">
        <v>10</v>
      </c>
      <c r="D11" s="9" t="s">
        <v>10</v>
      </c>
      <c r="E11" s="9" t="s">
        <v>10</v>
      </c>
      <c r="F11" s="9" t="s">
        <v>10</v>
      </c>
      <c r="G11" s="9" t="s">
        <v>10</v>
      </c>
      <c r="H11" s="9" t="s">
        <v>10</v>
      </c>
      <c r="I11" s="9" t="s">
        <v>10</v>
      </c>
      <c r="J11" s="9" t="s">
        <v>10</v>
      </c>
      <c r="K11" s="9" t="s">
        <v>10</v>
      </c>
    </row>
    <row r="12" spans="1:29">
      <c r="A12" s="66">
        <v>1992</v>
      </c>
      <c r="B12" s="9" t="s">
        <v>10</v>
      </c>
      <c r="C12" s="9" t="s">
        <v>10</v>
      </c>
      <c r="D12" s="9" t="s">
        <v>10</v>
      </c>
      <c r="E12" s="9" t="s">
        <v>10</v>
      </c>
      <c r="F12" s="9" t="s">
        <v>10</v>
      </c>
      <c r="G12" s="9" t="s">
        <v>10</v>
      </c>
      <c r="H12" s="9" t="s">
        <v>10</v>
      </c>
      <c r="I12" s="9" t="s">
        <v>10</v>
      </c>
      <c r="J12" s="9" t="s">
        <v>10</v>
      </c>
      <c r="K12" s="9" t="s">
        <v>10</v>
      </c>
    </row>
    <row r="13" spans="1:29">
      <c r="A13" s="66">
        <v>1993</v>
      </c>
      <c r="B13" s="9" t="s">
        <v>10</v>
      </c>
      <c r="C13" s="9" t="s">
        <v>10</v>
      </c>
      <c r="D13" s="9" t="s">
        <v>10</v>
      </c>
      <c r="E13" s="9" t="s">
        <v>10</v>
      </c>
      <c r="F13" s="9" t="s">
        <v>10</v>
      </c>
      <c r="G13" s="9" t="s">
        <v>10</v>
      </c>
      <c r="H13" s="9" t="s">
        <v>10</v>
      </c>
      <c r="I13" s="9" t="s">
        <v>10</v>
      </c>
      <c r="J13" s="9" t="s">
        <v>10</v>
      </c>
      <c r="K13" s="9" t="s">
        <v>10</v>
      </c>
    </row>
    <row r="14" spans="1:29">
      <c r="A14" s="66">
        <v>1994</v>
      </c>
      <c r="B14" s="9" t="s">
        <v>10</v>
      </c>
      <c r="C14" s="9" t="s">
        <v>10</v>
      </c>
      <c r="D14" s="9" t="s">
        <v>10</v>
      </c>
      <c r="E14" s="9" t="s">
        <v>10</v>
      </c>
      <c r="F14" s="9" t="s">
        <v>10</v>
      </c>
      <c r="G14" s="9" t="s">
        <v>10</v>
      </c>
      <c r="H14" s="9" t="s">
        <v>10</v>
      </c>
      <c r="I14" s="9" t="s">
        <v>10</v>
      </c>
      <c r="J14" s="9" t="s">
        <v>10</v>
      </c>
      <c r="K14" s="9" t="s">
        <v>10</v>
      </c>
      <c r="W14" s="91" t="s">
        <v>32</v>
      </c>
    </row>
    <row r="15" spans="1:29">
      <c r="A15" s="66">
        <v>1995</v>
      </c>
      <c r="B15" s="9" t="s">
        <v>10</v>
      </c>
      <c r="C15" s="9" t="s">
        <v>10</v>
      </c>
      <c r="D15" s="9" t="s">
        <v>10</v>
      </c>
      <c r="E15" s="9" t="s">
        <v>10</v>
      </c>
      <c r="F15" s="9" t="s">
        <v>10</v>
      </c>
      <c r="G15" s="9" t="s">
        <v>10</v>
      </c>
      <c r="H15" s="9" t="s">
        <v>10</v>
      </c>
      <c r="I15" s="9" t="s">
        <v>10</v>
      </c>
      <c r="J15" s="9" t="s">
        <v>10</v>
      </c>
      <c r="K15" s="9" t="s">
        <v>10</v>
      </c>
      <c r="N15" s="91" t="s">
        <v>24</v>
      </c>
      <c r="W15" s="91" t="s">
        <v>16</v>
      </c>
      <c r="X15" s="91" t="s">
        <v>8</v>
      </c>
      <c r="Y15" s="91" t="s">
        <v>3</v>
      </c>
      <c r="Z15" s="91" t="s">
        <v>4</v>
      </c>
      <c r="AA15" s="91" t="s">
        <v>17</v>
      </c>
      <c r="AB15" s="91" t="s">
        <v>6</v>
      </c>
      <c r="AC15" s="91" t="s">
        <v>7</v>
      </c>
    </row>
    <row r="16" spans="1:29">
      <c r="A16" s="66">
        <v>1996</v>
      </c>
      <c r="B16" s="9" t="s">
        <v>10</v>
      </c>
      <c r="C16" s="9" t="s">
        <v>10</v>
      </c>
      <c r="D16" s="9" t="s">
        <v>10</v>
      </c>
      <c r="E16" s="9" t="s">
        <v>10</v>
      </c>
      <c r="F16" s="9" t="s">
        <v>10</v>
      </c>
      <c r="G16" s="9" t="s">
        <v>10</v>
      </c>
      <c r="H16" s="9" t="s">
        <v>10</v>
      </c>
      <c r="I16" s="9" t="s">
        <v>10</v>
      </c>
      <c r="J16" s="9" t="s">
        <v>10</v>
      </c>
      <c r="K16" s="9" t="s">
        <v>10</v>
      </c>
      <c r="N16" s="91" t="s">
        <v>16</v>
      </c>
      <c r="O16" s="91" t="s">
        <v>8</v>
      </c>
      <c r="P16" s="91" t="s">
        <v>3</v>
      </c>
      <c r="Q16" s="91" t="s">
        <v>4</v>
      </c>
      <c r="R16" s="91" t="s">
        <v>17</v>
      </c>
      <c r="S16" s="91" t="s">
        <v>6</v>
      </c>
      <c r="T16" s="91" t="s">
        <v>7</v>
      </c>
      <c r="V16" s="91" t="s">
        <v>19</v>
      </c>
      <c r="W16" s="91">
        <f>((B20/B17)^(1/3)-1)*100</f>
        <v>3.1842054575017764</v>
      </c>
      <c r="X16" s="91">
        <f>((C20/C17)^(1/3)-1)*100</f>
        <v>0.38913137707370371</v>
      </c>
      <c r="Y16" s="91">
        <f>((D20/D17)^(1/3)-1)*100</f>
        <v>0.32144593358289786</v>
      </c>
      <c r="Z16" s="91">
        <f>((E20/E17)^(1/3)-1)*100</f>
        <v>1.3305838562247096</v>
      </c>
      <c r="AA16" s="91">
        <f t="shared" ref="AA16:AC16" si="0">((I20/I17)^(1/3)-1)*100</f>
        <v>-0.45346501042654586</v>
      </c>
      <c r="AB16" s="91">
        <f t="shared" si="0"/>
        <v>-4.4793543105754559</v>
      </c>
      <c r="AC16" s="91">
        <f t="shared" si="0"/>
        <v>3.2383381332756089</v>
      </c>
    </row>
    <row r="17" spans="1:29">
      <c r="A17" s="66">
        <v>1997</v>
      </c>
      <c r="B17" s="62">
        <f>'2B'!B17/'2B'!B$27*100</f>
        <v>83.043711351205147</v>
      </c>
      <c r="C17" s="62">
        <f>'2B'!C17/'2B'!C$27*100</f>
        <v>126.15036041710405</v>
      </c>
      <c r="D17" s="62">
        <f>'2B'!D17/'2B'!D$27*100</f>
        <v>159.59714711184262</v>
      </c>
      <c r="E17" s="62">
        <f>'2B'!E17/'2B'!E$27*100</f>
        <v>120.821072126762</v>
      </c>
      <c r="F17" s="62">
        <f>'2B'!F17/'2B'!F$27*100</f>
        <v>157.19473445301861</v>
      </c>
      <c r="G17" s="62">
        <f>'2B'!G17/'2B'!G$27*100</f>
        <v>141.28094725511303</v>
      </c>
      <c r="H17" s="62">
        <f>'2B'!H17/'2B'!H$27*100</f>
        <v>99.946975856339918</v>
      </c>
      <c r="I17" s="62">
        <f>'2B'!I17/'2B'!I$27*100</f>
        <v>122.98236338230295</v>
      </c>
      <c r="J17" s="62">
        <f>'2B'!J17/'2B'!J$27*100</f>
        <v>190.620957309185</v>
      </c>
      <c r="K17" s="62">
        <f>'2B'!K17/'2B'!K$27*100</f>
        <v>90.987983978638184</v>
      </c>
      <c r="M17" s="91">
        <v>1998</v>
      </c>
      <c r="N17" s="91">
        <f>((B18/B17)-1)*100</f>
        <v>3.3239624900507136</v>
      </c>
      <c r="O17" s="91">
        <f>((C18/C17)-1)*100</f>
        <v>-2.3182275233174843</v>
      </c>
      <c r="P17" s="91">
        <f>((D18/D17)-1)*100</f>
        <v>-11.496341403525999</v>
      </c>
      <c r="Q17" s="91">
        <f>((E18/E17)-1)*100</f>
        <v>4.3567864016487157</v>
      </c>
      <c r="R17" s="91">
        <f t="shared" ref="R17:T32" si="1">((I18/I17)-1)*100</f>
        <v>-5.4660750203442294</v>
      </c>
      <c r="S17" s="91">
        <f t="shared" si="1"/>
        <v>-12.366967948915697</v>
      </c>
      <c r="T17" s="91">
        <f t="shared" si="1"/>
        <v>1.3725849841036863</v>
      </c>
      <c r="V17" s="91" t="s">
        <v>21</v>
      </c>
      <c r="W17" s="91">
        <f>((B28/B20)^(1/8)-1)*100</f>
        <v>1.2208992095735116</v>
      </c>
      <c r="X17" s="91">
        <f>((C28/C20)^(1/8)-1)*100</f>
        <v>-4.0680239127184548</v>
      </c>
      <c r="Y17" s="91">
        <f>((D28/D20)^(1/8)-1)*100</f>
        <v>-6.7200489383083877</v>
      </c>
      <c r="Z17" s="91">
        <f>((E28/E20)^(1/8)-1)*100</f>
        <v>-4.2287965884520107</v>
      </c>
      <c r="AA17" s="91">
        <f t="shared" ref="AA17:AC17" si="2">((I28/I20)^(1/8)-1)*100</f>
        <v>-3.1747525922727671</v>
      </c>
      <c r="AB17" s="91">
        <f t="shared" si="2"/>
        <v>-7.8430904192802853</v>
      </c>
      <c r="AC17" s="91">
        <f t="shared" si="2"/>
        <v>-0.37330543518094839</v>
      </c>
    </row>
    <row r="18" spans="1:29">
      <c r="A18" s="66">
        <v>1998</v>
      </c>
      <c r="B18" s="62">
        <f>'2B'!B18/'2B'!B$27*100</f>
        <v>85.804053166865188</v>
      </c>
      <c r="C18" s="62">
        <f>'2B'!C18/'2B'!C$27*100</f>
        <v>123.22590804115055</v>
      </c>
      <c r="D18" s="62">
        <f>'2B'!D18/'2B'!D$27*100</f>
        <v>141.24931420957756</v>
      </c>
      <c r="E18" s="62">
        <f>'2B'!E18/'2B'!E$27*100</f>
        <v>126.08498816750695</v>
      </c>
      <c r="F18" s="62">
        <f>'2B'!F18/'2B'!F$27*100</f>
        <v>161.4707217430776</v>
      </c>
      <c r="G18" s="62">
        <f>'2B'!G18/'2B'!G$27*100</f>
        <v>140.52744886975242</v>
      </c>
      <c r="H18" s="62">
        <f>'2B'!H18/'2B'!H$27*100</f>
        <v>107.57184771465941</v>
      </c>
      <c r="I18" s="62">
        <f>'2B'!I18/'2B'!I$27*100</f>
        <v>116.26005513803392</v>
      </c>
      <c r="J18" s="62">
        <f>'2B'!J18/'2B'!J$27*100</f>
        <v>167.04692461484183</v>
      </c>
      <c r="K18" s="62">
        <f>'2B'!K18/'2B'!K$27*100</f>
        <v>92.236871384067641</v>
      </c>
      <c r="M18" s="91">
        <v>1999</v>
      </c>
      <c r="N18" s="91">
        <f t="shared" ref="N18:Q32" si="3">((B19/B18)-1)*100</f>
        <v>3.340701184620154</v>
      </c>
      <c r="O18" s="91">
        <f t="shared" si="3"/>
        <v>4.8224503414689313</v>
      </c>
      <c r="P18" s="91">
        <f t="shared" si="3"/>
        <v>2.8187770502718701</v>
      </c>
      <c r="Q18" s="91">
        <f t="shared" si="3"/>
        <v>3.5269540239264874</v>
      </c>
      <c r="R18" s="91">
        <f t="shared" si="1"/>
        <v>6.6981760301450199</v>
      </c>
      <c r="S18" s="91">
        <f t="shared" si="1"/>
        <v>10.007744297381006</v>
      </c>
      <c r="T18" s="91">
        <f t="shared" si="1"/>
        <v>3.8629715629806105</v>
      </c>
      <c r="V18" s="91" t="s">
        <v>22</v>
      </c>
      <c r="W18" s="91">
        <f>((B33/B28)^(1/5)-1)*100</f>
        <v>0.36008000987277633</v>
      </c>
      <c r="X18" s="91">
        <f>((C33/C28)^(1/5)-1)*100</f>
        <v>-5.7099050135046348</v>
      </c>
      <c r="Y18" s="91">
        <f>((D33/D28)^(1/5)-1)*100</f>
        <v>-5.8463025447200723</v>
      </c>
      <c r="Z18" s="91">
        <f>((E33/E28)^(1/5)-1)*100</f>
        <v>-6.0298452782785228</v>
      </c>
      <c r="AA18" s="91">
        <f t="shared" ref="AA18:AC18" si="4">((I33/I28)^(1/5)-1)*100</f>
        <v>-5.402799690301352</v>
      </c>
      <c r="AB18" s="91">
        <f t="shared" si="4"/>
        <v>-4.6530833517727128</v>
      </c>
      <c r="AC18" s="91">
        <f t="shared" si="4"/>
        <v>-5.7254972489457545</v>
      </c>
    </row>
    <row r="19" spans="1:29">
      <c r="A19" s="66">
        <v>1999</v>
      </c>
      <c r="B19" s="62">
        <f>'2B'!B19/'2B'!B$27*100</f>
        <v>88.670510187462753</v>
      </c>
      <c r="C19" s="62">
        <f>'2B'!C19/'2B'!C$27*100</f>
        <v>129.16841626425921</v>
      </c>
      <c r="D19" s="62">
        <f>'2B'!D19/'2B'!D$27*100</f>
        <v>145.23081746218355</v>
      </c>
      <c r="E19" s="62">
        <f>'2B'!E19/'2B'!E$27*100</f>
        <v>130.53194773124807</v>
      </c>
      <c r="F19" s="62">
        <f>'2B'!F19/'2B'!F$27*100</f>
        <v>144.1307308216069</v>
      </c>
      <c r="G19" s="62">
        <f>'2B'!G19/'2B'!G$27*100</f>
        <v>169.28955866523143</v>
      </c>
      <c r="H19" s="62">
        <f>'2B'!H19/'2B'!H$27*100</f>
        <v>112.51723284668952</v>
      </c>
      <c r="I19" s="62">
        <f>'2B'!I19/'2B'!I$27*100</f>
        <v>124.0473582839231</v>
      </c>
      <c r="J19" s="62">
        <f>'2B'!J19/'2B'!J$27*100</f>
        <v>183.76455368693402</v>
      </c>
      <c r="K19" s="62">
        <f>'2B'!K19/'2B'!K$27*100</f>
        <v>95.79995549621718</v>
      </c>
      <c r="M19" s="91">
        <v>2000</v>
      </c>
      <c r="N19" s="91">
        <f t="shared" si="3"/>
        <v>2.8885900836777223</v>
      </c>
      <c r="O19" s="91">
        <f t="shared" si="3"/>
        <v>-1.1919677626900493</v>
      </c>
      <c r="P19" s="91">
        <f t="shared" si="3"/>
        <v>10.955207771181886</v>
      </c>
      <c r="Q19" s="91">
        <f t="shared" si="3"/>
        <v>-3.6952957497792926</v>
      </c>
      <c r="R19" s="91">
        <f t="shared" si="1"/>
        <v>-2.2011477630797693</v>
      </c>
      <c r="S19" s="91">
        <f t="shared" si="1"/>
        <v>-9.5932930146235265</v>
      </c>
      <c r="T19" s="91">
        <f t="shared" si="1"/>
        <v>4.5061262412171121</v>
      </c>
      <c r="V19" s="91" t="s">
        <v>18</v>
      </c>
      <c r="W19" s="91">
        <f>((B33/B17)^(1/16)-1)*100</f>
        <v>1.3153822404936788</v>
      </c>
      <c r="X19" s="91">
        <f>((C33/C17)^(1/16)-1)*100</f>
        <v>-3.7682023345497195</v>
      </c>
      <c r="Y19" s="91">
        <f>((D33/D17)^(1/16)-1)*100</f>
        <v>-5.162593210191579</v>
      </c>
      <c r="Z19" s="91">
        <f>((E33/E17)^(1/16)-1)*100</f>
        <v>-3.7826965576393756</v>
      </c>
      <c r="AA19" s="91">
        <f t="shared" ref="AA19:AC19" si="5">((I33/I17)^(1/16)-1)*100</f>
        <v>-3.3757415533632873</v>
      </c>
      <c r="AB19" s="91">
        <f t="shared" si="5"/>
        <v>-6.2296548185081901</v>
      </c>
      <c r="AC19" s="91">
        <f t="shared" si="5"/>
        <v>-1.4217163432445501</v>
      </c>
    </row>
    <row r="20" spans="1:29">
      <c r="A20" s="66">
        <v>2000</v>
      </c>
      <c r="B20" s="62">
        <f>'2B'!B20/'2B'!B$27*100</f>
        <v>91.231837751884242</v>
      </c>
      <c r="C20" s="62">
        <f>'2B'!C20/'2B'!C$27*100</f>
        <v>127.62877038281195</v>
      </c>
      <c r="D20" s="62">
        <f>'2B'!D20/'2B'!D$27*100</f>
        <v>161.14115526295166</v>
      </c>
      <c r="E20" s="62">
        <f>'2B'!E20/'2B'!E$27*100</f>
        <v>125.70840621463113</v>
      </c>
      <c r="F20" s="62">
        <f>'2B'!F20/'2B'!F$27*100</f>
        <v>134.52564684521107</v>
      </c>
      <c r="G20" s="62">
        <f>'2B'!G20/'2B'!G$27*100</f>
        <v>158.57911733046285</v>
      </c>
      <c r="H20" s="62">
        <f>'2B'!H20/'2B'!H$27*100</f>
        <v>111.48856445968399</v>
      </c>
      <c r="I20" s="62">
        <f>'2B'!I20/'2B'!I$27*100</f>
        <v>121.31689263189698</v>
      </c>
      <c r="J20" s="62">
        <f>'2B'!J20/'2B'!J$27*100</f>
        <v>166.13548159473129</v>
      </c>
      <c r="K20" s="62">
        <f>'2B'!K20/'2B'!K$27*100</f>
        <v>100.11682242990653</v>
      </c>
      <c r="M20" s="91">
        <v>2001</v>
      </c>
      <c r="N20" s="91">
        <f t="shared" si="3"/>
        <v>1.4711207523799619</v>
      </c>
      <c r="O20" s="91">
        <f t="shared" si="3"/>
        <v>0.28924911751604387</v>
      </c>
      <c r="P20" s="91">
        <f t="shared" si="3"/>
        <v>-13.36089494163426</v>
      </c>
      <c r="Q20" s="91">
        <f t="shared" si="3"/>
        <v>1.4896542692509174</v>
      </c>
      <c r="R20" s="91">
        <f t="shared" si="1"/>
        <v>3.5161174840848686</v>
      </c>
      <c r="S20" s="91">
        <f t="shared" si="1"/>
        <v>-2.1979966729196998</v>
      </c>
      <c r="T20" s="91">
        <f t="shared" si="1"/>
        <v>8.0013335555926055</v>
      </c>
    </row>
    <row r="21" spans="1:29">
      <c r="A21" s="66">
        <v>2001</v>
      </c>
      <c r="B21" s="62">
        <f>'2B'!B21/'2B'!B$27*100</f>
        <v>92.573968249829818</v>
      </c>
      <c r="C21" s="62">
        <f>'2B'!C21/'2B'!C$27*100</f>
        <v>127.9979354748408</v>
      </c>
      <c r="D21" s="62">
        <f>'2B'!D21/'2B'!D$27*100</f>
        <v>139.61125480053295</v>
      </c>
      <c r="E21" s="62">
        <f>'2B'!E21/'2B'!E$27*100</f>
        <v>127.58102685461468</v>
      </c>
      <c r="F21" s="62">
        <f>'2B'!F21/'2B'!F$27*100</f>
        <v>153.89922832501134</v>
      </c>
      <c r="G21" s="62">
        <f>'2B'!G21/'2B'!G$27*100</f>
        <v>146.10333692142089</v>
      </c>
      <c r="H21" s="62">
        <f>'2B'!H21/'2B'!H$27*100</f>
        <v>111.25525822757962</v>
      </c>
      <c r="I21" s="62">
        <f>'2B'!I21/'2B'!I$27*100</f>
        <v>125.58253710487557</v>
      </c>
      <c r="J21" s="62">
        <f>'2B'!J21/'2B'!J$27*100</f>
        <v>162.48382923673998</v>
      </c>
      <c r="K21" s="62">
        <f>'2B'!K21/'2B'!K$27*100</f>
        <v>108.12750333778371</v>
      </c>
      <c r="M21" s="91">
        <v>2002</v>
      </c>
      <c r="N21" s="91">
        <f t="shared" si="3"/>
        <v>0.92658060480470539</v>
      </c>
      <c r="O21" s="91">
        <f t="shared" si="3"/>
        <v>0.56111046563283029</v>
      </c>
      <c r="P21" s="91">
        <f t="shared" si="3"/>
        <v>-2.9978105877729755</v>
      </c>
      <c r="Q21" s="91">
        <f t="shared" si="3"/>
        <v>0.53872705571147428</v>
      </c>
      <c r="R21" s="91">
        <f t="shared" si="1"/>
        <v>1.5351998315941362</v>
      </c>
      <c r="S21" s="91">
        <f t="shared" si="1"/>
        <v>-1.1074116965836711</v>
      </c>
      <c r="T21" s="91">
        <f t="shared" si="1"/>
        <v>3.4161650460462045</v>
      </c>
    </row>
    <row r="22" spans="1:29">
      <c r="A22" s="66">
        <v>2002</v>
      </c>
      <c r="B22" s="62">
        <f>'2B'!B22/'2B'!B$27*100</f>
        <v>93.431740684730812</v>
      </c>
      <c r="C22" s="62">
        <f>'2B'!C22/'2B'!C$27*100</f>
        <v>128.71614528658409</v>
      </c>
      <c r="D22" s="62">
        <f>'2B'!D22/'2B'!D$27*100</f>
        <v>135.42597382239987</v>
      </c>
      <c r="E22" s="62">
        <f>'2B'!E22/'2B'!E$27*100</f>
        <v>128.268340364235</v>
      </c>
      <c r="F22" s="62">
        <f>'2B'!F22/'2B'!F$27*100</f>
        <v>141.12573763050386</v>
      </c>
      <c r="G22" s="62">
        <f>'2B'!G22/'2B'!G$27*100</f>
        <v>152.45425188374597</v>
      </c>
      <c r="H22" s="62">
        <f>'2B'!H22/'2B'!H$27*100</f>
        <v>115.33104740358444</v>
      </c>
      <c r="I22" s="62">
        <f>'2B'!I22/'2B'!I$27*100</f>
        <v>127.51048000302126</v>
      </c>
      <c r="J22" s="62">
        <f>'2B'!J22/'2B'!J$27*100</f>
        <v>160.68446430671528</v>
      </c>
      <c r="K22" s="62">
        <f>'2B'!K22/'2B'!K$27*100</f>
        <v>111.82131731197151</v>
      </c>
      <c r="M22" s="91">
        <v>2003</v>
      </c>
      <c r="N22" s="91">
        <f t="shared" si="3"/>
        <v>1.3160778960230823</v>
      </c>
      <c r="O22" s="91">
        <f t="shared" si="3"/>
        <v>-2.7831015781103474</v>
      </c>
      <c r="P22" s="91">
        <f t="shared" si="3"/>
        <v>0.49771398807803013</v>
      </c>
      <c r="Q22" s="91">
        <f t="shared" si="3"/>
        <v>-3.6321632548289906</v>
      </c>
      <c r="R22" s="91">
        <f t="shared" si="1"/>
        <v>-2.8388644542183261</v>
      </c>
      <c r="S22" s="91">
        <f t="shared" si="1"/>
        <v>-8.6328039230037401</v>
      </c>
      <c r="T22" s="91">
        <f t="shared" si="1"/>
        <v>1.0969603502313463</v>
      </c>
    </row>
    <row r="23" spans="1:29">
      <c r="A23" s="66">
        <v>2003</v>
      </c>
      <c r="B23" s="62">
        <f>'2B'!B23/'2B'!B$27*100</f>
        <v>94.661375171752169</v>
      </c>
      <c r="C23" s="62">
        <f>'2B'!C23/'2B'!C$27*100</f>
        <v>125.13384421583036</v>
      </c>
      <c r="D23" s="62">
        <f>'2B'!D23/'2B'!D$27*100</f>
        <v>136.10000783760484</v>
      </c>
      <c r="E23" s="62">
        <f>'2B'!E23/'2B'!E$27*100</f>
        <v>123.60942483794628</v>
      </c>
      <c r="F23" s="62">
        <f>'2B'!F23/'2B'!F$27*100</f>
        <v>132.87335451656833</v>
      </c>
      <c r="G23" s="62">
        <f>'2B'!G23/'2B'!G$27*100</f>
        <v>163.25080731969862</v>
      </c>
      <c r="H23" s="62">
        <f>'2B'!H23/'2B'!H$27*100</f>
        <v>106.98504719148785</v>
      </c>
      <c r="I23" s="62">
        <f>'2B'!I23/'2B'!I$27*100</f>
        <v>123.89063031081233</v>
      </c>
      <c r="J23" s="62">
        <f>'2B'!J23/'2B'!J$27*100</f>
        <v>146.81288956838762</v>
      </c>
      <c r="K23" s="62">
        <f>'2B'!K23/'2B'!K$27*100</f>
        <v>113.04795282599021</v>
      </c>
      <c r="M23" s="91">
        <v>2004</v>
      </c>
      <c r="N23" s="91">
        <f t="shared" si="3"/>
        <v>3.1956821330797469</v>
      </c>
      <c r="O23" s="91">
        <f t="shared" si="3"/>
        <v>-0.13352628230671737</v>
      </c>
      <c r="P23" s="91">
        <f t="shared" si="3"/>
        <v>-5.9775410308091086</v>
      </c>
      <c r="Q23" s="91">
        <f t="shared" si="3"/>
        <v>0.44782579742959072</v>
      </c>
      <c r="R23" s="91">
        <f t="shared" si="1"/>
        <v>0.88096326779454337</v>
      </c>
      <c r="S23" s="91">
        <f t="shared" si="1"/>
        <v>2.7235951455921947</v>
      </c>
      <c r="T23" s="91">
        <f t="shared" si="1"/>
        <v>-0.25342617424894964</v>
      </c>
    </row>
    <row r="24" spans="1:29">
      <c r="A24" s="66">
        <v>2004</v>
      </c>
      <c r="B24" s="62">
        <f>'2B'!B24/'2B'!B$27*100</f>
        <v>97.686451825043434</v>
      </c>
      <c r="C24" s="62">
        <f>'2B'!C24/'2B'!C$27*100</f>
        <v>124.96675764574148</v>
      </c>
      <c r="D24" s="62">
        <f>'2B'!D24/'2B'!D$27*100</f>
        <v>127.9645740261776</v>
      </c>
      <c r="E24" s="62">
        <f>'2B'!E24/'2B'!E$27*100</f>
        <v>124.16297973042494</v>
      </c>
      <c r="F24" s="62">
        <f>'2B'!F24/'2B'!F$27*100</f>
        <v>141.95188379482525</v>
      </c>
      <c r="G24" s="62">
        <f>'2B'!G24/'2B'!G$27*100</f>
        <v>155.98493003229279</v>
      </c>
      <c r="H24" s="62">
        <f>'2B'!H24/'2B'!H$27*100</f>
        <v>106.79062533140089</v>
      </c>
      <c r="I24" s="62">
        <f>'2B'!I24/'2B'!I$27*100</f>
        <v>124.98206125608972</v>
      </c>
      <c r="J24" s="62">
        <f>'2B'!J24/'2B'!J$27*100</f>
        <v>150.81147830177585</v>
      </c>
      <c r="K24" s="62">
        <f>'2B'!K24/'2B'!K$27*100</f>
        <v>112.76145972407654</v>
      </c>
      <c r="M24" s="91">
        <v>2005</v>
      </c>
      <c r="N24" s="91">
        <f t="shared" si="3"/>
        <v>0.14023446450943666</v>
      </c>
      <c r="O24" s="91">
        <f t="shared" si="3"/>
        <v>-5.9131128720633974</v>
      </c>
      <c r="P24" s="91">
        <f t="shared" si="3"/>
        <v>-2.4315550927910823</v>
      </c>
      <c r="Q24" s="91">
        <f t="shared" si="3"/>
        <v>-5.7444022738949556</v>
      </c>
      <c r="R24" s="91">
        <f t="shared" si="1"/>
        <v>-6.9257267178340349</v>
      </c>
      <c r="S24" s="91">
        <f t="shared" si="1"/>
        <v>-19.117245681756145</v>
      </c>
      <c r="T24" s="91">
        <f t="shared" si="1"/>
        <v>0.78934385791811223</v>
      </c>
    </row>
    <row r="25" spans="1:29">
      <c r="A25" s="66">
        <v>2005</v>
      </c>
      <c r="B25" s="62">
        <f>'2B'!B25/'2B'!B$27*100</f>
        <v>97.823441897658554</v>
      </c>
      <c r="C25" s="62">
        <f>'2B'!C25/'2B'!C$27*100</f>
        <v>117.57733221359088</v>
      </c>
      <c r="D25" s="62">
        <f>'2B'!D25/'2B'!D$27*100</f>
        <v>124.85304490947567</v>
      </c>
      <c r="E25" s="62">
        <f>'2B'!E25/'2B'!E$27*100</f>
        <v>117.03055869945467</v>
      </c>
      <c r="F25" s="62">
        <f>'2B'!F25/'2B'!F$27*100</f>
        <v>137.16749886518386</v>
      </c>
      <c r="G25" s="62">
        <f>'2B'!G25/'2B'!G$27*100</f>
        <v>139.67707212055973</v>
      </c>
      <c r="H25" s="62">
        <f>'2B'!H25/'2B'!H$27*100</f>
        <v>101.75333168369332</v>
      </c>
      <c r="I25" s="62">
        <f>'2B'!I25/'2B'!I$27*100</f>
        <v>116.32614524717701</v>
      </c>
      <c r="J25" s="62">
        <f>'2B'!J25/'2B'!J$27*100</f>
        <v>121.980477478537</v>
      </c>
      <c r="K25" s="62">
        <f>'2B'!K25/'2B'!K$27*100</f>
        <v>113.65153538050734</v>
      </c>
      <c r="M25" s="91">
        <v>2006</v>
      </c>
      <c r="N25" s="91">
        <f t="shared" si="3"/>
        <v>0.79280684870655094</v>
      </c>
      <c r="O25" s="91">
        <f t="shared" si="3"/>
        <v>-3.6895948811428214</v>
      </c>
      <c r="P25" s="91">
        <f t="shared" si="3"/>
        <v>-4.0426867545511724</v>
      </c>
      <c r="Q25" s="91">
        <f t="shared" si="3"/>
        <v>-1.851558790947927</v>
      </c>
      <c r="R25" s="91">
        <f t="shared" si="1"/>
        <v>-5.2951107070969616</v>
      </c>
      <c r="S25" s="91">
        <f t="shared" si="1"/>
        <v>-8.8844967219437017</v>
      </c>
      <c r="T25" s="91">
        <f t="shared" si="1"/>
        <v>-3.4728340675477254</v>
      </c>
    </row>
    <row r="26" spans="1:29">
      <c r="A26" s="66">
        <v>2006</v>
      </c>
      <c r="B26" s="92">
        <f>'2B'!B26/'2B'!B$27*100</f>
        <v>98.598992844663655</v>
      </c>
      <c r="C26" s="92">
        <f>'2B'!C26/'2B'!C$27*100</f>
        <v>113.23920498285393</v>
      </c>
      <c r="D26" s="92">
        <f>'2B'!D26/'2B'!D$27*100</f>
        <v>119.80562740026647</v>
      </c>
      <c r="E26" s="92">
        <f>'2B'!E26/'2B'!E$27*100</f>
        <v>114.86366910175944</v>
      </c>
      <c r="F26" s="92">
        <f>'2B'!F26/'2B'!F$27*100</f>
        <v>122.31502496595552</v>
      </c>
      <c r="G26" s="92">
        <f>'2B'!G26/'2B'!G$27*100</f>
        <v>131.49623250807321</v>
      </c>
      <c r="H26" s="92">
        <f>'2B'!H26/'2B'!H$27*100</f>
        <v>106.50429495563647</v>
      </c>
      <c r="I26" s="92">
        <f>'2B'!I26/'2B'!I$27*100</f>
        <v>110.16654707504058</v>
      </c>
      <c r="J26" s="92">
        <f>'2B'!J26/'2B'!J$27*100</f>
        <v>111.1431259555451</v>
      </c>
      <c r="K26" s="92">
        <f>'2B'!K26/'2B'!K$27*100</f>
        <v>109.70460614152202</v>
      </c>
      <c r="M26" s="91">
        <v>2007</v>
      </c>
      <c r="N26" s="91">
        <f t="shared" si="3"/>
        <v>1.4209142658724083</v>
      </c>
      <c r="O26" s="91">
        <f t="shared" si="3"/>
        <v>-11.691361648872878</v>
      </c>
      <c r="P26" s="91">
        <f t="shared" si="3"/>
        <v>-16.531466701556973</v>
      </c>
      <c r="Q26" s="91">
        <f t="shared" si="3"/>
        <v>-12.940270163746458</v>
      </c>
      <c r="R26" s="91">
        <f t="shared" si="1"/>
        <v>-9.2283432175790931</v>
      </c>
      <c r="S26" s="91">
        <f t="shared" si="1"/>
        <v>-10.025924554256394</v>
      </c>
      <c r="T26" s="91">
        <f t="shared" si="1"/>
        <v>-8.846124591161475</v>
      </c>
    </row>
    <row r="27" spans="1:29">
      <c r="A27" s="66">
        <v>2007</v>
      </c>
      <c r="B27" s="62">
        <f>'2B'!B27/'2B'!B$27*100</f>
        <v>100</v>
      </c>
      <c r="C27" s="62">
        <f>'2B'!C27/'2B'!C$27*100</f>
        <v>100</v>
      </c>
      <c r="D27" s="62">
        <f>'2B'!D27/'2B'!D$27*100</f>
        <v>100</v>
      </c>
      <c r="E27" s="62">
        <f>'2B'!E27/'2B'!E$27*100</f>
        <v>100</v>
      </c>
      <c r="F27" s="62">
        <f>'2B'!F27/'2B'!F$27*100</f>
        <v>100</v>
      </c>
      <c r="G27" s="62">
        <f>'2B'!G27/'2B'!G$27*100</f>
        <v>100</v>
      </c>
      <c r="H27" s="62">
        <f>'2B'!H27/'2B'!H$27*100</f>
        <v>100</v>
      </c>
      <c r="I27" s="62">
        <f>'2B'!I27/'2B'!I$27*100</f>
        <v>100</v>
      </c>
      <c r="J27" s="62">
        <f>'2B'!J27/'2B'!J$27*100</f>
        <v>100</v>
      </c>
      <c r="K27" s="62">
        <f>'2B'!K27/'2B'!K$27*100</f>
        <v>100</v>
      </c>
      <c r="M27" s="91">
        <v>2008</v>
      </c>
      <c r="N27" s="91">
        <f t="shared" si="3"/>
        <v>0.53284018165056235</v>
      </c>
      <c r="O27" s="91">
        <f t="shared" si="3"/>
        <v>-8.4505563720344448</v>
      </c>
      <c r="P27" s="91">
        <f t="shared" si="3"/>
        <v>-7.633827102437496</v>
      </c>
      <c r="Q27" s="91">
        <f t="shared" si="3"/>
        <v>-11.029941351990946</v>
      </c>
      <c r="R27" s="91">
        <f t="shared" si="1"/>
        <v>-6.2804486574266516</v>
      </c>
      <c r="S27" s="91">
        <f t="shared" si="1"/>
        <v>-13.565800305774435</v>
      </c>
      <c r="T27" s="91">
        <f t="shared" si="1"/>
        <v>-2.834334668446814</v>
      </c>
    </row>
    <row r="28" spans="1:29">
      <c r="A28" s="66">
        <v>2008</v>
      </c>
      <c r="B28" s="62">
        <f>'2B'!B28/'2B'!B$27*100</f>
        <v>100.53284018165056</v>
      </c>
      <c r="C28" s="62">
        <f>'2B'!C28/'2B'!C$27*100</f>
        <v>91.549443627965559</v>
      </c>
      <c r="D28" s="62">
        <f>'2B'!D28/'2B'!D$27*100</f>
        <v>92.366172897562507</v>
      </c>
      <c r="E28" s="62">
        <f>'2B'!E28/'2B'!E$27*100</f>
        <v>88.970058648009058</v>
      </c>
      <c r="F28" s="62">
        <f>'2B'!F28/'2B'!F$27*100</f>
        <v>77.149341806627319</v>
      </c>
      <c r="G28" s="62">
        <f>'2B'!G28/'2B'!G$27*100</f>
        <v>86.275565123789022</v>
      </c>
      <c r="H28" s="62">
        <f>'2B'!H28/'2B'!H$27*100</f>
        <v>94.46074445897699</v>
      </c>
      <c r="I28" s="62">
        <f>'2B'!I28/'2B'!I$27*100</f>
        <v>93.719551342573354</v>
      </c>
      <c r="J28" s="62">
        <f>'2B'!J28/'2B'!J$27*100</f>
        <v>86.434199694225569</v>
      </c>
      <c r="K28" s="62">
        <f>'2B'!K28/'2B'!K$27*100</f>
        <v>97.165665331553186</v>
      </c>
      <c r="M28" s="91">
        <v>2009</v>
      </c>
      <c r="N28" s="91">
        <f t="shared" si="3"/>
        <v>-4.1541880984103603</v>
      </c>
      <c r="O28" s="91">
        <f t="shared" si="3"/>
        <v>-17.919389978213506</v>
      </c>
      <c r="P28" s="91">
        <f t="shared" si="3"/>
        <v>-25.770046669495127</v>
      </c>
      <c r="Q28" s="91">
        <f t="shared" si="3"/>
        <v>-22.680698508153128</v>
      </c>
      <c r="R28" s="91">
        <f t="shared" si="1"/>
        <v>-11.907640232108307</v>
      </c>
      <c r="S28" s="91">
        <f t="shared" si="1"/>
        <v>-15.613307027688972</v>
      </c>
      <c r="T28" s="91">
        <f t="shared" si="1"/>
        <v>-10.34838118684338</v>
      </c>
    </row>
    <row r="29" spans="1:29">
      <c r="A29" s="66">
        <v>2009</v>
      </c>
      <c r="B29" s="62">
        <f>'2B'!B29/'2B'!B$27*100</f>
        <v>96.356516899830524</v>
      </c>
      <c r="C29" s="62">
        <f>'2B'!C29/'2B'!C$27*100</f>
        <v>75.144341801385679</v>
      </c>
      <c r="D29" s="62">
        <f>'2B'!D29/'2B'!D$27*100</f>
        <v>68.563367035034091</v>
      </c>
      <c r="E29" s="62">
        <f>'2B'!E29/'2B'!E$27*100</f>
        <v>68.791027883527107</v>
      </c>
      <c r="F29" s="62">
        <f>'2B'!F29/'2B'!F$27*100</f>
        <v>52.246935996368592</v>
      </c>
      <c r="G29" s="62">
        <f>'2B'!G29/'2B'!G$27*100</f>
        <v>72.012917115177615</v>
      </c>
      <c r="H29" s="62">
        <f>'2B'!H29/'2B'!H$27*100</f>
        <v>74.177242037541092</v>
      </c>
      <c r="I29" s="62">
        <f>'2B'!I29/'2B'!I$27*100</f>
        <v>82.559764341553688</v>
      </c>
      <c r="J29" s="62">
        <f>'2B'!J29/'2B'!J$27*100</f>
        <v>72.938962719040333</v>
      </c>
      <c r="K29" s="62">
        <f>'2B'!K29/'2B'!K$27*100</f>
        <v>87.110591900311533</v>
      </c>
      <c r="M29" s="91">
        <v>2010</v>
      </c>
      <c r="N29" s="91">
        <f t="shared" si="3"/>
        <v>2.1884462498909629</v>
      </c>
      <c r="O29" s="91">
        <f t="shared" si="3"/>
        <v>-1.5890755422065528</v>
      </c>
      <c r="P29" s="91">
        <f t="shared" si="3"/>
        <v>-1.0402377686328235</v>
      </c>
      <c r="Q29" s="91">
        <f t="shared" si="3"/>
        <v>5.070447814771617</v>
      </c>
      <c r="R29" s="91">
        <f t="shared" si="1"/>
        <v>-6.7906317185856153</v>
      </c>
      <c r="S29" s="91">
        <f t="shared" si="1"/>
        <v>-6.3044179297000902</v>
      </c>
      <c r="T29" s="91">
        <f t="shared" si="1"/>
        <v>-6.9832045469059301</v>
      </c>
    </row>
    <row r="30" spans="1:29">
      <c r="A30" s="66">
        <v>2010</v>
      </c>
      <c r="B30" s="62">
        <f>'2B'!B30/'2B'!B$27*100</f>
        <v>98.465227480450423</v>
      </c>
      <c r="C30" s="62">
        <f>'2B'!C30/'2B'!C$27*100</f>
        <v>73.950241444467764</v>
      </c>
      <c r="D30" s="62">
        <f>'2B'!D30/'2B'!D$27*100</f>
        <v>67.85014499568932</v>
      </c>
      <c r="E30" s="62">
        <f>'2B'!E30/'2B'!E$27*100</f>
        <v>72.279041053606335</v>
      </c>
      <c r="F30" s="62">
        <f>'2B'!F30/'2B'!F$27*100</f>
        <v>60.372219700408536</v>
      </c>
      <c r="G30" s="62">
        <f>'2B'!G30/'2B'!G$27*100</f>
        <v>73.8858988159311</v>
      </c>
      <c r="H30" s="62">
        <f>'2B'!H30/'2B'!H$27*100</f>
        <v>76.390116299621752</v>
      </c>
      <c r="I30" s="62">
        <f>'2B'!I30/'2B'!I$27*100</f>
        <v>76.953434797386606</v>
      </c>
      <c r="J30" s="62">
        <f>'2B'!J30/'2B'!J$27*100</f>
        <v>68.340585675643894</v>
      </c>
      <c r="K30" s="62">
        <f>'2B'!K30/'2B'!K$27*100</f>
        <v>81.027481085892305</v>
      </c>
      <c r="M30" s="91">
        <v>2011</v>
      </c>
      <c r="N30" s="91">
        <f t="shared" si="3"/>
        <v>1.7553587378816182</v>
      </c>
      <c r="O30" s="91">
        <f t="shared" si="3"/>
        <v>0.99841483899969496</v>
      </c>
      <c r="P30" s="91">
        <f t="shared" si="3"/>
        <v>15.213122328751293</v>
      </c>
      <c r="Q30" s="91">
        <f t="shared" si="3"/>
        <v>-4.2933606650722993</v>
      </c>
      <c r="R30" s="91">
        <f t="shared" si="1"/>
        <v>2.5396903295463069</v>
      </c>
      <c r="S30" s="91">
        <f t="shared" si="1"/>
        <v>4.1214937188091438</v>
      </c>
      <c r="T30" s="91">
        <f t="shared" si="1"/>
        <v>1.9086196834986691</v>
      </c>
    </row>
    <row r="31" spans="1:29">
      <c r="A31" s="66">
        <v>2011</v>
      </c>
      <c r="B31" s="62">
        <f>'2B'!B31/'2B'!B$27*100</f>
        <v>100.19364545480352</v>
      </c>
      <c r="C31" s="62">
        <f>'2B'!C31/'2B'!C$27*100</f>
        <v>74.688571628525438</v>
      </c>
      <c r="D31" s="62">
        <f>'2B'!D31/'2B'!D$27*100</f>
        <v>78.172270554118654</v>
      </c>
      <c r="E31" s="62">
        <f>'2B'!E31/'2B'!E$27*100</f>
        <v>69.175841135919342</v>
      </c>
      <c r="F31" s="62">
        <f>'2B'!F31/'2B'!F$27*100</f>
        <v>61.507035860190648</v>
      </c>
      <c r="G31" s="62">
        <f>'2B'!G31/'2B'!G$27*100</f>
        <v>64.111948331539296</v>
      </c>
      <c r="H31" s="62">
        <f>'2B'!H31/'2B'!H$27*100</f>
        <v>73.82728268938456</v>
      </c>
      <c r="I31" s="62">
        <f>'2B'!I31/'2B'!I$27*100</f>
        <v>78.90781373918955</v>
      </c>
      <c r="J31" s="62">
        <f>'2B'!J31/'2B'!J$27*100</f>
        <v>71.157238621662941</v>
      </c>
      <c r="K31" s="62">
        <f>'2B'!K31/'2B'!K$27*100</f>
        <v>82.573987538940813</v>
      </c>
      <c r="M31" s="91">
        <v>2012</v>
      </c>
      <c r="N31" s="91">
        <f t="shared" si="3"/>
        <v>1.1373375054825496</v>
      </c>
      <c r="O31" s="91">
        <f t="shared" si="3"/>
        <v>-9.7402141066785237</v>
      </c>
      <c r="P31" s="91">
        <f t="shared" si="3"/>
        <v>-13.675556446761561</v>
      </c>
      <c r="Q31" s="91">
        <f t="shared" si="3"/>
        <v>-10.024988100904341</v>
      </c>
      <c r="R31" s="91">
        <f t="shared" si="1"/>
        <v>-8.5718388053986914</v>
      </c>
      <c r="S31" s="91">
        <f t="shared" si="1"/>
        <v>-7.4621932071729624</v>
      </c>
      <c r="T31" s="91">
        <f t="shared" si="1"/>
        <v>-9.0241519857176549</v>
      </c>
    </row>
    <row r="32" spans="1:29">
      <c r="A32" s="66">
        <v>2012</v>
      </c>
      <c r="B32" s="62">
        <f>'2B'!B32/'2B'!B$27*100</f>
        <v>101.3331853626712</v>
      </c>
      <c r="C32" s="62">
        <f>'2B'!C32/'2B'!C$27*100</f>
        <v>67.413744838687109</v>
      </c>
      <c r="D32" s="62">
        <f>'2B'!D32/'2B'!D$27*100</f>
        <v>67.481777568774987</v>
      </c>
      <c r="E32" s="62">
        <f>'2B'!E32/'2B'!E$27*100</f>
        <v>62.240971293342938</v>
      </c>
      <c r="F32" s="62">
        <f>'2B'!F32/'2B'!F$27*100</f>
        <v>38.138901497957328</v>
      </c>
      <c r="G32" s="62">
        <f>'2B'!G32/'2B'!G$27*100</f>
        <v>64.617868675995695</v>
      </c>
      <c r="H32" s="62">
        <f>'2B'!H32/'2B'!H$27*100</f>
        <v>70.84732581568808</v>
      </c>
      <c r="I32" s="62">
        <f>'2B'!I32/'2B'!I$27*100</f>
        <v>72.143963140601983</v>
      </c>
      <c r="J32" s="62">
        <f>'2B'!J32/'2B'!J$27*100</f>
        <v>65.847347994825355</v>
      </c>
      <c r="K32" s="62">
        <f>'2B'!K32/'2B'!K$27*100</f>
        <v>75.122385402759235</v>
      </c>
      <c r="M32" s="91">
        <v>2013</v>
      </c>
      <c r="N32" s="91">
        <f t="shared" si="3"/>
        <v>1.0092744920238816</v>
      </c>
      <c r="O32" s="91">
        <f t="shared" si="3"/>
        <v>1.2133087643715346</v>
      </c>
      <c r="P32" s="91">
        <f t="shared" si="3"/>
        <v>1.2775842044134622</v>
      </c>
      <c r="Q32" s="91">
        <f t="shared" si="3"/>
        <v>4.7411227930966193</v>
      </c>
      <c r="R32" s="91">
        <f t="shared" si="1"/>
        <v>-1.5939904727006238</v>
      </c>
      <c r="S32" s="91">
        <f t="shared" si="1"/>
        <v>3.4381139489194412</v>
      </c>
      <c r="T32" s="91">
        <f t="shared" si="1"/>
        <v>-3.6803909952606628</v>
      </c>
    </row>
    <row r="33" spans="1:20">
      <c r="A33" s="66">
        <v>2013</v>
      </c>
      <c r="B33" s="62">
        <f>'2B'!B33/'2B'!B$27*100</f>
        <v>102.35591535449193</v>
      </c>
      <c r="C33" s="62">
        <f>'2B'!C33/'2B'!C$27*100</f>
        <v>68.231681713205958</v>
      </c>
      <c r="D33" s="62">
        <f>'2B'!D33/'2B'!D$27*100</f>
        <v>68.343914099851091</v>
      </c>
      <c r="E33" s="62">
        <f>'2B'!E33/'2B'!E$27*100</f>
        <v>65.191892169976342</v>
      </c>
      <c r="F33" s="62">
        <f>'2B'!F33/'2B'!F$27*100</f>
        <v>37.330912392192467</v>
      </c>
      <c r="G33" s="62">
        <f>'2B'!G33/'2B'!G$27*100</f>
        <v>72.831001076426261</v>
      </c>
      <c r="H33" s="62">
        <f>'2B'!H33/'2B'!H$27*100</f>
        <v>73.530347484888111</v>
      </c>
      <c r="I33" s="62">
        <f>'2B'!I33/'2B'!I$27*100</f>
        <v>70.993995241512138</v>
      </c>
      <c r="J33" s="62">
        <f>'2B'!J33/'2B'!J$27*100</f>
        <v>68.111254851228978</v>
      </c>
      <c r="K33" s="62">
        <f>'2B'!K33/'2B'!K$27*100</f>
        <v>72.357587894971076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91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91" t="s">
        <v>16</v>
      </c>
      <c r="O35" s="91" t="s">
        <v>8</v>
      </c>
      <c r="P35" s="91" t="s">
        <v>3</v>
      </c>
      <c r="Q35" s="91" t="s">
        <v>4</v>
      </c>
      <c r="R35" s="91" t="s">
        <v>17</v>
      </c>
      <c r="S35" s="91" t="s">
        <v>6</v>
      </c>
      <c r="T35" s="91" t="s">
        <v>7</v>
      </c>
    </row>
    <row r="36" spans="1:20" ht="30">
      <c r="A36" s="66" t="s">
        <v>19</v>
      </c>
      <c r="B36" s="11">
        <f>((B20/B17)^(1/3)-1)*100</f>
        <v>3.1842054575017764</v>
      </c>
      <c r="C36" s="11">
        <f t="shared" ref="C36:K36" si="6">((C20/C17)^(1/3)-1)*100</f>
        <v>0.38913137707370371</v>
      </c>
      <c r="D36" s="11">
        <f t="shared" si="6"/>
        <v>0.32144593358289786</v>
      </c>
      <c r="E36" s="11">
        <f t="shared" si="6"/>
        <v>1.3305838562247096</v>
      </c>
      <c r="F36" s="11">
        <f t="shared" ref="F36:H36" si="7">((F20/F17)^(1/3)-1)*100</f>
        <v>-5.0585854234998839</v>
      </c>
      <c r="G36" s="11">
        <f t="shared" si="7"/>
        <v>3.9251833464931885</v>
      </c>
      <c r="H36" s="11">
        <f t="shared" si="7"/>
        <v>3.7099015092977528</v>
      </c>
      <c r="I36" s="11">
        <f t="shared" si="6"/>
        <v>-0.45346501042654586</v>
      </c>
      <c r="J36" s="11">
        <f t="shared" si="6"/>
        <v>-4.4793543105754559</v>
      </c>
      <c r="K36" s="11">
        <f t="shared" si="6"/>
        <v>3.2383381332756089</v>
      </c>
      <c r="M36" s="91">
        <v>1999</v>
      </c>
      <c r="N36" s="91">
        <f>B19/$B$20</f>
        <v>0.97192506884068997</v>
      </c>
      <c r="O36" s="91">
        <f t="shared" ref="O36:O38" si="8">C19/$C$20</f>
        <v>1.0120634703039857</v>
      </c>
      <c r="P36" s="91">
        <f t="shared" ref="P36:P38" si="9">D19/$D$20</f>
        <v>0.90126459143968862</v>
      </c>
      <c r="Q36" s="91">
        <f t="shared" ref="Q36:Q38" si="10">E19/$E$20</f>
        <v>1.038370874803562</v>
      </c>
      <c r="R36" s="91">
        <f t="shared" ref="R36:R38" si="11">I19/$I$20</f>
        <v>1.0225068874811274</v>
      </c>
      <c r="S36" s="91">
        <f t="shared" ref="S36:S38" si="12">J19/$J$20</f>
        <v>1.1061126252079423</v>
      </c>
      <c r="T36" s="91">
        <f t="shared" ref="T36:T38" si="13">K19/$K$20</f>
        <v>0.95688170250597326</v>
      </c>
    </row>
    <row r="37" spans="1:20" ht="30">
      <c r="A37" s="325" t="s">
        <v>68</v>
      </c>
      <c r="B37" s="11">
        <f>((B27/B20)^(1/7)-1)*100</f>
        <v>1.3195770282988128</v>
      </c>
      <c r="C37" s="11">
        <f t="shared" ref="C37:K37" si="14">((C27/C20)^(1/7)-1)*100</f>
        <v>-3.4250509181431799</v>
      </c>
      <c r="D37" s="11">
        <f t="shared" si="14"/>
        <v>-6.5887733174673446</v>
      </c>
      <c r="E37" s="11">
        <f t="shared" si="14"/>
        <v>-3.2156590462793733</v>
      </c>
      <c r="F37" s="11">
        <f t="shared" ref="F37:H37" si="15">((F27/F20)^(1/7)-1)*100</f>
        <v>-4.1484206838617315</v>
      </c>
      <c r="G37" s="11">
        <f t="shared" si="15"/>
        <v>-6.3746554152566919</v>
      </c>
      <c r="H37" s="11">
        <f t="shared" si="15"/>
        <v>-1.5415916232260796</v>
      </c>
      <c r="I37" s="11">
        <f t="shared" si="14"/>
        <v>-2.7227586705017459</v>
      </c>
      <c r="J37" s="11">
        <f t="shared" si="14"/>
        <v>-6.9951980712968602</v>
      </c>
      <c r="K37" s="11">
        <f t="shared" si="14"/>
        <v>-1.6677787045837889E-2</v>
      </c>
      <c r="M37" s="91">
        <v>2000</v>
      </c>
      <c r="N37" s="91">
        <f>B20/$B$20</f>
        <v>1</v>
      </c>
      <c r="O37" s="91">
        <f t="shared" si="8"/>
        <v>1</v>
      </c>
      <c r="P37" s="91">
        <f t="shared" si="9"/>
        <v>1</v>
      </c>
      <c r="Q37" s="91">
        <f t="shared" si="10"/>
        <v>1</v>
      </c>
      <c r="R37" s="91">
        <f t="shared" si="11"/>
        <v>1</v>
      </c>
      <c r="S37" s="91">
        <f t="shared" si="12"/>
        <v>1</v>
      </c>
      <c r="T37" s="91">
        <f t="shared" si="13"/>
        <v>1</v>
      </c>
    </row>
    <row r="38" spans="1:20" ht="30">
      <c r="A38" s="66" t="s">
        <v>69</v>
      </c>
      <c r="B38" s="11">
        <f>((B33/B27)^(1/6)-1)*100</f>
        <v>0.38885274145630255</v>
      </c>
      <c r="C38" s="11">
        <f t="shared" ref="C38:K38" si="16">((C33/C27)^(1/6)-1)*100</f>
        <v>-6.1723125313041578</v>
      </c>
      <c r="D38" s="11">
        <f t="shared" si="16"/>
        <v>-6.1466077192637076</v>
      </c>
      <c r="E38" s="11">
        <f t="shared" si="16"/>
        <v>-6.8822948517230476</v>
      </c>
      <c r="F38" s="11">
        <f t="shared" ref="F38:H38" si="17">((F33/F27)^(1/6)-1)*100</f>
        <v>-15.144870468068561</v>
      </c>
      <c r="G38" s="11">
        <f t="shared" si="17"/>
        <v>-5.1466413783096909</v>
      </c>
      <c r="H38" s="11">
        <f t="shared" si="17"/>
        <v>-4.9954431794442815</v>
      </c>
      <c r="I38" s="11">
        <f t="shared" si="16"/>
        <v>-5.5496432041109545</v>
      </c>
      <c r="J38" s="11">
        <f t="shared" si="16"/>
        <v>-6.1999333575451061</v>
      </c>
      <c r="K38" s="11">
        <f t="shared" si="16"/>
        <v>-5.2496811443645814</v>
      </c>
      <c r="M38" s="91">
        <v>2001</v>
      </c>
      <c r="N38" s="91">
        <f>B21/$B$20</f>
        <v>1.0147112075237996</v>
      </c>
      <c r="O38" s="91">
        <f t="shared" si="8"/>
        <v>1.0028924911751604</v>
      </c>
      <c r="P38" s="91">
        <f t="shared" si="9"/>
        <v>0.8663910505836574</v>
      </c>
      <c r="Q38" s="91">
        <f t="shared" si="10"/>
        <v>1.0148965426925092</v>
      </c>
      <c r="R38" s="91">
        <f t="shared" si="11"/>
        <v>1.0351611748408487</v>
      </c>
      <c r="S38" s="91">
        <f t="shared" si="12"/>
        <v>0.978020033270803</v>
      </c>
      <c r="T38" s="91">
        <f t="shared" si="13"/>
        <v>1.080013335555926</v>
      </c>
    </row>
    <row r="39" spans="1:20" s="259" customFormat="1" ht="30">
      <c r="A39" s="325" t="s">
        <v>15</v>
      </c>
      <c r="B39" s="11">
        <f>((B33/B20)^(1/13)-1)*100</f>
        <v>0.88894455531263183</v>
      </c>
      <c r="C39" s="11">
        <f t="shared" ref="C39:K39" si="18">((C33/C20)^(1/13)-1)*100</f>
        <v>-4.702873187315304</v>
      </c>
      <c r="D39" s="11">
        <f t="shared" si="18"/>
        <v>-6.3849563359691501</v>
      </c>
      <c r="E39" s="11">
        <f t="shared" si="18"/>
        <v>-4.925557008698922</v>
      </c>
      <c r="F39" s="11">
        <f t="shared" ref="F39:H39" si="19">((F33/F20)^(1/13)-1)*100</f>
        <v>-9.3904201578608131</v>
      </c>
      <c r="G39" s="11">
        <f t="shared" si="19"/>
        <v>-5.8098678095353513</v>
      </c>
      <c r="H39" s="11">
        <f t="shared" si="19"/>
        <v>-3.1510091943228291</v>
      </c>
      <c r="I39" s="11">
        <f t="shared" si="18"/>
        <v>-4.0378375235581743</v>
      </c>
      <c r="J39" s="11">
        <f t="shared" si="18"/>
        <v>-6.6289941216900017</v>
      </c>
      <c r="K39" s="11">
        <f t="shared" si="18"/>
        <v>-2.4668886248600974</v>
      </c>
    </row>
    <row r="40" spans="1:20">
      <c r="M40" s="91">
        <v>2003</v>
      </c>
      <c r="N40" s="91">
        <f>B23/$B$20</f>
        <v>1.0375914538649869</v>
      </c>
      <c r="O40" s="91">
        <f>C23/$C$20</f>
        <v>0.98045169471195048</v>
      </c>
      <c r="P40" s="91">
        <f>D23/$D$20</f>
        <v>0.84460116731517509</v>
      </c>
      <c r="Q40" s="91">
        <f>E23/$E$20</f>
        <v>0.98330277632268204</v>
      </c>
      <c r="R40" s="91">
        <f>I23/$I$20</f>
        <v>1.0212149983656824</v>
      </c>
      <c r="S40" s="91">
        <f>J23/$J$20</f>
        <v>0.88369376703358915</v>
      </c>
      <c r="T40" s="91">
        <f>K23/$K$20</f>
        <v>1.1291604156248265</v>
      </c>
    </row>
    <row r="41" spans="1:20">
      <c r="A41" s="237" t="s">
        <v>305</v>
      </c>
      <c r="M41" s="91">
        <v>2007</v>
      </c>
      <c r="N41" s="91">
        <f>B27/$B$20</f>
        <v>1.0961085785859297</v>
      </c>
      <c r="O41" s="91">
        <f>C27/$C$20</f>
        <v>0.78352239624387399</v>
      </c>
      <c r="P41" s="91">
        <f>D27/$D$20</f>
        <v>0.6205739299610894</v>
      </c>
      <c r="Q41" s="91">
        <f>E27/$E$20</f>
        <v>0.79549174960712421</v>
      </c>
      <c r="R41" s="91">
        <f>I27/$I$20</f>
        <v>0.82428751537036749</v>
      </c>
      <c r="S41" s="91">
        <f>J27/$J$20</f>
        <v>0.60191838034898948</v>
      </c>
      <c r="T41" s="91">
        <f>K27/$K$20</f>
        <v>0.99883313885647618</v>
      </c>
    </row>
    <row r="42" spans="1:20">
      <c r="A42" s="231" t="s">
        <v>144</v>
      </c>
      <c r="M42" s="91">
        <v>2010</v>
      </c>
      <c r="N42" s="91">
        <f>B30/$B$20</f>
        <v>1.0792858053373675</v>
      </c>
      <c r="O42" s="91">
        <f>C30/$C$20</f>
        <v>0.57941670379382426</v>
      </c>
      <c r="P42" s="91">
        <f>D30/$D$20</f>
        <v>0.4210603112840467</v>
      </c>
      <c r="Q42" s="91">
        <f>E30/$E$20</f>
        <v>0.57497380827658462</v>
      </c>
      <c r="R42" s="91">
        <f>I30/$I$20</f>
        <v>0.63431755568353387</v>
      </c>
      <c r="S42" s="91">
        <f>J30/$J$20</f>
        <v>0.4113545464198492</v>
      </c>
      <c r="T42" s="91">
        <f>K30/$K$20</f>
        <v>0.8093293326665556</v>
      </c>
    </row>
    <row r="43" spans="1:20">
      <c r="M43" s="91">
        <v>2011</v>
      </c>
      <c r="N43" s="91">
        <f>B31/$B$20</f>
        <v>1.0982311430280729</v>
      </c>
      <c r="O43" s="91">
        <f>C31/$C$20</f>
        <v>0.58520168614414481</v>
      </c>
      <c r="P43" s="91">
        <f>D31/$D$20</f>
        <v>0.48511673151750961</v>
      </c>
      <c r="Q43" s="91">
        <f>E31/$E$20</f>
        <v>0.55028810895756952</v>
      </c>
      <c r="R43" s="91">
        <f>I31/$I$20</f>
        <v>0.65042725730384299</v>
      </c>
      <c r="S43" s="91">
        <f>J31/$J$20</f>
        <v>0.42830849821257916</v>
      </c>
      <c r="T43" s="91">
        <f>K31/$K$20</f>
        <v>0.82477635161415797</v>
      </c>
    </row>
    <row r="44" spans="1:20">
      <c r="M44" s="91">
        <v>2012</v>
      </c>
      <c r="N44" s="91">
        <f>B32/$B$20</f>
        <v>1.1107217377146208</v>
      </c>
      <c r="O44" s="91">
        <f>C32/$C$20</f>
        <v>0.52820178895781222</v>
      </c>
      <c r="P44" s="91">
        <f>D32/$D$20</f>
        <v>0.41877431906614787</v>
      </c>
      <c r="Q44" s="91">
        <f>E32/$E$20</f>
        <v>0.49512179151388164</v>
      </c>
      <c r="R44" s="91">
        <f>I32/$I$20</f>
        <v>0.59467368126138187</v>
      </c>
      <c r="S44" s="91">
        <f>J32/$J$20</f>
        <v>0.39634729055321555</v>
      </c>
      <c r="T44" s="91">
        <f>K32/$K$20</f>
        <v>0.75034728010223928</v>
      </c>
    </row>
    <row r="45" spans="1:20">
      <c r="M45" s="91">
        <v>2013</v>
      </c>
      <c r="N45" s="91">
        <f>B33/$B$20</f>
        <v>1.1219319688907388</v>
      </c>
      <c r="O45" s="91">
        <f>C33/$C$20</f>
        <v>0.5346105075568045</v>
      </c>
      <c r="P45" s="91">
        <f>D33/$D$20</f>
        <v>0.42412451361867703</v>
      </c>
      <c r="Q45" s="91">
        <f>E33/$E$20</f>
        <v>0.51859612362493457</v>
      </c>
      <c r="R45" s="91">
        <f>I33/$I$20</f>
        <v>0.58519463943841732</v>
      </c>
      <c r="S45" s="91">
        <f>J33/$J$20</f>
        <v>0.40997416203588993</v>
      </c>
      <c r="T45" s="91">
        <f>K33/$K$20</f>
        <v>0.72273156637217317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8" orientation="portrait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1" style="266" customWidth="1"/>
    <col min="2" max="2" width="13.7109375" style="266" bestFit="1" customWidth="1"/>
    <col min="3" max="3" width="12.85546875" style="266" bestFit="1" customWidth="1"/>
    <col min="4" max="5" width="14.5703125" style="266" bestFit="1" customWidth="1"/>
    <col min="6" max="6" width="13.7109375" style="266" bestFit="1" customWidth="1"/>
    <col min="7" max="7" width="12.85546875" style="266" bestFit="1" customWidth="1"/>
    <col min="8" max="9" width="14.5703125" style="266" bestFit="1" customWidth="1"/>
    <col min="10" max="16384" width="9.140625" style="266"/>
  </cols>
  <sheetData>
    <row r="1" spans="1:9">
      <c r="A1" s="471" t="s">
        <v>591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ht="15" customHeight="1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ht="15" customHeight="1" outlineLevel="1">
      <c r="A5" s="333">
        <v>2000</v>
      </c>
      <c r="B5" s="129">
        <v>26815.599999999999</v>
      </c>
      <c r="C5" s="129" t="s">
        <v>9</v>
      </c>
      <c r="D5" s="129" t="s">
        <v>9</v>
      </c>
      <c r="E5" s="129" t="s">
        <v>9</v>
      </c>
      <c r="F5" s="170">
        <f>'18B'!L5/'21B'!B5*1000</f>
        <v>739.47627500410215</v>
      </c>
      <c r="G5" s="169" t="s">
        <v>10</v>
      </c>
      <c r="H5" s="169" t="s">
        <v>10</v>
      </c>
      <c r="I5" s="169" t="s">
        <v>10</v>
      </c>
    </row>
    <row r="6" spans="1:9" s="332" customFormat="1" ht="15" customHeight="1" outlineLevel="1">
      <c r="A6" s="333">
        <v>2001</v>
      </c>
      <c r="B6" s="129">
        <v>26928.400000000001</v>
      </c>
      <c r="C6" s="129" t="s">
        <v>9</v>
      </c>
      <c r="D6" s="129" t="s">
        <v>9</v>
      </c>
      <c r="E6" s="129" t="s">
        <v>9</v>
      </c>
      <c r="F6" s="170">
        <f>'18B'!L6/'21B'!B6*1000</f>
        <v>740.08481751607962</v>
      </c>
      <c r="G6" s="169" t="s">
        <v>10</v>
      </c>
      <c r="H6" s="169" t="s">
        <v>10</v>
      </c>
      <c r="I6" s="169" t="s">
        <v>10</v>
      </c>
    </row>
    <row r="7" spans="1:9" s="332" customFormat="1" ht="15" customHeight="1" outlineLevel="1">
      <c r="A7" s="333">
        <v>2002</v>
      </c>
      <c r="B7" s="129">
        <v>26900.799999999999</v>
      </c>
      <c r="C7" s="129" t="s">
        <v>9</v>
      </c>
      <c r="D7" s="129" t="s">
        <v>9</v>
      </c>
      <c r="E7" s="129" t="s">
        <v>9</v>
      </c>
      <c r="F7" s="170">
        <f>'18B'!L7/'21B'!B7*1000</f>
        <v>854.85190031523223</v>
      </c>
      <c r="G7" s="169" t="s">
        <v>10</v>
      </c>
      <c r="H7" s="169" t="s">
        <v>10</v>
      </c>
      <c r="I7" s="169" t="s">
        <v>10</v>
      </c>
    </row>
    <row r="8" spans="1:9" s="332" customFormat="1" ht="15" customHeight="1" outlineLevel="1">
      <c r="A8" s="333">
        <v>2003</v>
      </c>
      <c r="B8" s="129">
        <v>27012.3</v>
      </c>
      <c r="C8" s="129" t="s">
        <v>9</v>
      </c>
      <c r="D8" s="129" t="s">
        <v>9</v>
      </c>
      <c r="E8" s="129" t="s">
        <v>9</v>
      </c>
      <c r="F8" s="170">
        <f>'18B'!L8/'21B'!B8*1000</f>
        <v>905.32831339797065</v>
      </c>
      <c r="G8" s="169" t="s">
        <v>10</v>
      </c>
      <c r="H8" s="169" t="s">
        <v>10</v>
      </c>
      <c r="I8" s="169" t="s">
        <v>10</v>
      </c>
    </row>
    <row r="9" spans="1:9" s="332" customFormat="1" ht="15" customHeight="1" outlineLevel="1">
      <c r="A9" s="333">
        <v>2004</v>
      </c>
      <c r="B9" s="129">
        <v>27409.3</v>
      </c>
      <c r="C9" s="129" t="s">
        <v>9</v>
      </c>
      <c r="D9" s="129" t="s">
        <v>9</v>
      </c>
      <c r="E9" s="129" t="s">
        <v>9</v>
      </c>
      <c r="F9" s="170">
        <f>'18B'!L9/'21B'!B9*1000</f>
        <v>883.06158858489641</v>
      </c>
      <c r="G9" s="169" t="s">
        <v>10</v>
      </c>
      <c r="H9" s="169" t="s">
        <v>10</v>
      </c>
      <c r="I9" s="169" t="s">
        <v>10</v>
      </c>
    </row>
    <row r="10" spans="1:9" s="332" customFormat="1" ht="15" customHeight="1" outlineLevel="1">
      <c r="A10" s="333">
        <v>2005</v>
      </c>
      <c r="B10" s="129">
        <v>28064</v>
      </c>
      <c r="C10" s="129" t="s">
        <v>9</v>
      </c>
      <c r="D10" s="129" t="s">
        <v>9</v>
      </c>
      <c r="E10" s="129" t="s">
        <v>9</v>
      </c>
      <c r="F10" s="170">
        <f>'18B'!L10/'21B'!B10*1000</f>
        <v>882.22633979475484</v>
      </c>
      <c r="G10" s="169" t="s">
        <v>10</v>
      </c>
      <c r="H10" s="169" t="s">
        <v>10</v>
      </c>
      <c r="I10" s="169" t="s">
        <v>10</v>
      </c>
    </row>
    <row r="11" spans="1:9" s="332" customFormat="1" ht="15" customHeight="1" outlineLevel="1">
      <c r="A11" s="333">
        <v>2006</v>
      </c>
      <c r="B11" s="129">
        <v>28200.3</v>
      </c>
      <c r="C11" s="129" t="s">
        <v>9</v>
      </c>
      <c r="D11" s="129" t="s">
        <v>9</v>
      </c>
      <c r="E11" s="129" t="s">
        <v>9</v>
      </c>
      <c r="F11" s="170">
        <f>'18B'!L11/'21B'!B11*1000</f>
        <v>907.95842597419187</v>
      </c>
      <c r="G11" s="169" t="s">
        <v>10</v>
      </c>
      <c r="H11" s="169" t="s">
        <v>10</v>
      </c>
      <c r="I11" s="169" t="s">
        <v>10</v>
      </c>
    </row>
    <row r="12" spans="1:9">
      <c r="A12" s="260">
        <v>2007</v>
      </c>
      <c r="B12" s="129">
        <v>27910.5</v>
      </c>
      <c r="C12" s="129" t="s">
        <v>9</v>
      </c>
      <c r="D12" s="129" t="s">
        <v>9</v>
      </c>
      <c r="E12" s="129" t="s">
        <v>9</v>
      </c>
      <c r="F12" s="170">
        <f>'18B'!L12/'21B'!B12*1000</f>
        <v>1003.1529352752549</v>
      </c>
      <c r="G12" s="169" t="s">
        <v>10</v>
      </c>
      <c r="H12" s="169" t="s">
        <v>10</v>
      </c>
      <c r="I12" s="169" t="s">
        <v>10</v>
      </c>
    </row>
    <row r="13" spans="1:9">
      <c r="A13" s="260">
        <v>2008</v>
      </c>
      <c r="B13" s="129">
        <v>28094.1</v>
      </c>
      <c r="C13" s="129" t="s">
        <v>9</v>
      </c>
      <c r="D13" s="129" t="s">
        <v>9</v>
      </c>
      <c r="E13" s="129" t="s">
        <v>9</v>
      </c>
      <c r="F13" s="170">
        <f>'18B'!L13/'21B'!B13*1000</f>
        <v>986.39572009781432</v>
      </c>
      <c r="G13" s="169" t="s">
        <v>10</v>
      </c>
      <c r="H13" s="169" t="s">
        <v>10</v>
      </c>
      <c r="I13" s="169" t="s">
        <v>10</v>
      </c>
    </row>
    <row r="14" spans="1:9">
      <c r="A14" s="260">
        <v>2009</v>
      </c>
      <c r="B14" s="129">
        <v>28004.1</v>
      </c>
      <c r="C14" s="129" t="s">
        <v>9</v>
      </c>
      <c r="D14" s="129" t="s">
        <v>9</v>
      </c>
      <c r="E14" s="129" t="s">
        <v>9</v>
      </c>
      <c r="F14" s="170">
        <f>'18B'!L14/'21B'!B14*1000</f>
        <v>888.00568488185661</v>
      </c>
      <c r="G14" s="169" t="s">
        <v>10</v>
      </c>
      <c r="H14" s="169" t="s">
        <v>10</v>
      </c>
      <c r="I14" s="169" t="s">
        <v>10</v>
      </c>
    </row>
    <row r="15" spans="1:9">
      <c r="A15" s="260">
        <v>2010</v>
      </c>
      <c r="B15" s="129">
        <v>28634.3</v>
      </c>
      <c r="C15" s="129" t="s">
        <v>9</v>
      </c>
      <c r="D15" s="129" t="s">
        <v>9</v>
      </c>
      <c r="E15" s="129" t="s">
        <v>9</v>
      </c>
      <c r="F15" s="170">
        <f>'18B'!L15/'21B'!B15*1000</f>
        <v>917.49405433343918</v>
      </c>
      <c r="G15" s="169" t="s">
        <v>10</v>
      </c>
      <c r="H15" s="169" t="s">
        <v>10</v>
      </c>
      <c r="I15" s="169" t="s">
        <v>10</v>
      </c>
    </row>
    <row r="16" spans="1:9">
      <c r="A16" s="260">
        <v>2011</v>
      </c>
      <c r="B16" s="129">
        <v>30441.9</v>
      </c>
      <c r="C16" s="129" t="s">
        <v>9</v>
      </c>
      <c r="D16" s="129" t="s">
        <v>9</v>
      </c>
      <c r="E16" s="129" t="s">
        <v>9</v>
      </c>
      <c r="F16" s="170">
        <f>'18B'!L16/'21B'!B16*1000</f>
        <v>890.03971499807824</v>
      </c>
      <c r="G16" s="169" t="s">
        <v>10</v>
      </c>
      <c r="H16" s="169" t="s">
        <v>10</v>
      </c>
      <c r="I16" s="169" t="s">
        <v>10</v>
      </c>
    </row>
    <row r="17" spans="1:9">
      <c r="A17" s="260">
        <v>2012</v>
      </c>
      <c r="B17" s="129">
        <v>33844.1</v>
      </c>
      <c r="C17" s="129" t="s">
        <v>9</v>
      </c>
      <c r="D17" s="129" t="s">
        <v>9</v>
      </c>
      <c r="E17" s="129" t="s">
        <v>9</v>
      </c>
      <c r="F17" s="170">
        <f>'18B'!L17/'21B'!B17*1000</f>
        <v>763.45064575509468</v>
      </c>
      <c r="G17" s="169" t="s">
        <v>10</v>
      </c>
      <c r="H17" s="169" t="s">
        <v>10</v>
      </c>
      <c r="I17" s="169" t="s">
        <v>10</v>
      </c>
    </row>
    <row r="18" spans="1:9">
      <c r="A18" s="260">
        <v>2013</v>
      </c>
      <c r="B18" s="129">
        <v>37524.1</v>
      </c>
      <c r="C18" s="129" t="s">
        <v>9</v>
      </c>
      <c r="D18" s="129" t="s">
        <v>9</v>
      </c>
      <c r="E18" s="129" t="s">
        <v>9</v>
      </c>
      <c r="F18" s="170">
        <f>'18B'!L18/'21B'!B18*1000</f>
        <v>738.66928187484848</v>
      </c>
      <c r="G18" s="169" t="s">
        <v>10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0.57333954141540744</v>
      </c>
      <c r="C21" s="253" t="s">
        <v>9</v>
      </c>
      <c r="D21" s="253" t="s">
        <v>9</v>
      </c>
      <c r="E21" s="253" t="s">
        <v>9</v>
      </c>
      <c r="F21" s="253">
        <f t="shared" ref="F21" si="0">((F12/F5)^(1/7)-1)*100</f>
        <v>4.4528789939095814</v>
      </c>
      <c r="G21" s="253" t="s">
        <v>9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0.85706319601126513</v>
      </c>
      <c r="C22" s="253" t="str">
        <f t="shared" ref="C22:E23" si="1">IFERROR(((C16/C3)^(1/6)-1)*100,"n.a.")</f>
        <v>n.a.</v>
      </c>
      <c r="D22" s="253" t="str">
        <f t="shared" si="1"/>
        <v>n.a.</v>
      </c>
      <c r="E22" s="253" t="str">
        <f t="shared" si="1"/>
        <v>n.a.</v>
      </c>
      <c r="F22" s="253">
        <f t="shared" ref="F22" si="2">((F15/F12)^(1/3)-1)*100</f>
        <v>-2.9314139686263396</v>
      </c>
      <c r="G22" s="253" t="str">
        <f t="shared" ref="G22:I23" si="3">IFERROR(((G16/G3)^(1/6)-1)*100,"n.a.")</f>
        <v>n.a.</v>
      </c>
      <c r="H22" s="253" t="str">
        <f t="shared" si="3"/>
        <v>n.a.</v>
      </c>
      <c r="I22" s="253" t="str">
        <f t="shared" si="3"/>
        <v>n.a.</v>
      </c>
    </row>
    <row r="23" spans="1:9">
      <c r="A23" s="260" t="s">
        <v>392</v>
      </c>
      <c r="B23" s="253">
        <f>((B18/B15)^(1/3)-1)*100</f>
        <v>9.4312192377691737</v>
      </c>
      <c r="C23" s="253" t="str">
        <f t="shared" si="1"/>
        <v>n.a.</v>
      </c>
      <c r="D23" s="253" t="str">
        <f t="shared" si="1"/>
        <v>n.a.</v>
      </c>
      <c r="E23" s="253" t="str">
        <f t="shared" si="1"/>
        <v>n.a.</v>
      </c>
      <c r="F23" s="253">
        <f t="shared" ref="F23" si="4">((F18/F15)^(1/3)-1)*100</f>
        <v>-6.9715910275427229</v>
      </c>
      <c r="G23" s="253" t="str">
        <f t="shared" si="3"/>
        <v>n.a.</v>
      </c>
      <c r="H23" s="253" t="str">
        <f t="shared" si="3"/>
        <v>n.a.</v>
      </c>
      <c r="I23" s="253" t="str">
        <f t="shared" si="3"/>
        <v>n.a.</v>
      </c>
    </row>
    <row r="24" spans="1:9">
      <c r="A24" s="260" t="s">
        <v>69</v>
      </c>
      <c r="B24" s="253">
        <f>IFERROR(((B18/B12)^(1/6)-1)*100,"n.a.")</f>
        <v>5.0567056131128219</v>
      </c>
      <c r="C24" s="253" t="str">
        <f t="shared" ref="C24:I24" si="5">IFERROR(((C18/C12)^(1/6)-1)*100,"n.a.")</f>
        <v>n.a.</v>
      </c>
      <c r="D24" s="253" t="str">
        <f t="shared" si="5"/>
        <v>n.a.</v>
      </c>
      <c r="E24" s="253" t="str">
        <f t="shared" si="5"/>
        <v>n.a.</v>
      </c>
      <c r="F24" s="253">
        <f t="shared" si="5"/>
        <v>-4.9729716359351634</v>
      </c>
      <c r="G24" s="253" t="str">
        <f t="shared" si="5"/>
        <v>n.a.</v>
      </c>
      <c r="H24" s="253" t="str">
        <f t="shared" si="5"/>
        <v>n.a.</v>
      </c>
      <c r="I24" s="253" t="str">
        <f t="shared" si="5"/>
        <v>n.a.</v>
      </c>
    </row>
    <row r="25" spans="1:9" s="352" customFormat="1">
      <c r="A25" s="348" t="s">
        <v>69</v>
      </c>
      <c r="B25" s="253">
        <f>((B18/B5)^(1/13)-1)*100</f>
        <v>2.6183029292004445</v>
      </c>
      <c r="C25" s="253" t="s">
        <v>9</v>
      </c>
      <c r="D25" s="253" t="s">
        <v>9</v>
      </c>
      <c r="E25" s="253" t="s">
        <v>9</v>
      </c>
      <c r="F25" s="253">
        <f t="shared" ref="F25" si="6">((F18/F5)^(1/13)-1)*100</f>
        <v>-8.3988743247442876E-3</v>
      </c>
      <c r="G25" s="253" t="s">
        <v>9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414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4" orientation="portrait" horizontalDpi="0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3" style="266" customWidth="1"/>
    <col min="2" max="9" width="14.28515625" style="266" customWidth="1"/>
    <col min="10" max="16384" width="9.140625" style="266"/>
  </cols>
  <sheetData>
    <row r="1" spans="1:9" ht="30" customHeight="1">
      <c r="A1" s="471" t="s">
        <v>592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4187.8999999999996</v>
      </c>
      <c r="C5" s="129" t="s">
        <v>9</v>
      </c>
      <c r="D5" s="129" t="s">
        <v>9</v>
      </c>
      <c r="E5" s="129" t="s">
        <v>9</v>
      </c>
      <c r="F5" s="169">
        <f>'18C'!L5/'21C'!B5*1000</f>
        <v>855.58394422025367</v>
      </c>
      <c r="G5" s="169" t="s">
        <v>10</v>
      </c>
      <c r="H5" s="169" t="s">
        <v>10</v>
      </c>
      <c r="I5" s="169" t="s">
        <v>10</v>
      </c>
    </row>
    <row r="6" spans="1:9" s="332" customFormat="1" outlineLevel="1">
      <c r="A6" s="333">
        <v>2001</v>
      </c>
      <c r="B6" s="129">
        <v>4248.8</v>
      </c>
      <c r="C6" s="129" t="s">
        <v>9</v>
      </c>
      <c r="D6" s="129" t="s">
        <v>9</v>
      </c>
      <c r="E6" s="129" t="s">
        <v>9</v>
      </c>
      <c r="F6" s="169">
        <f>'18C'!L6/'21C'!B6*1000</f>
        <v>841.67294294859721</v>
      </c>
      <c r="G6" s="169" t="s">
        <v>10</v>
      </c>
      <c r="H6" s="169" t="s">
        <v>10</v>
      </c>
      <c r="I6" s="169" t="s">
        <v>10</v>
      </c>
    </row>
    <row r="7" spans="1:9" s="332" customFormat="1" outlineLevel="1">
      <c r="A7" s="333">
        <v>2002</v>
      </c>
      <c r="B7" s="129">
        <v>4308.3</v>
      </c>
      <c r="C7" s="129" t="s">
        <v>9</v>
      </c>
      <c r="D7" s="129" t="s">
        <v>9</v>
      </c>
      <c r="E7" s="129" t="s">
        <v>9</v>
      </c>
      <c r="F7" s="169">
        <f>'18C'!L7/'21C'!B7*1000</f>
        <v>868.11503377202132</v>
      </c>
      <c r="G7" s="169" t="s">
        <v>10</v>
      </c>
      <c r="H7" s="169" t="s">
        <v>10</v>
      </c>
      <c r="I7" s="169" t="s">
        <v>10</v>
      </c>
    </row>
    <row r="8" spans="1:9" s="332" customFormat="1" outlineLevel="1">
      <c r="A8" s="333">
        <v>2003</v>
      </c>
      <c r="B8" s="129">
        <v>4376.5</v>
      </c>
      <c r="C8" s="129" t="s">
        <v>9</v>
      </c>
      <c r="D8" s="129" t="s">
        <v>9</v>
      </c>
      <c r="E8" s="129" t="s">
        <v>9</v>
      </c>
      <c r="F8" s="169">
        <f>'18C'!L8/'21C'!B8*1000</f>
        <v>873.14063749571585</v>
      </c>
      <c r="G8" s="169" t="s">
        <v>10</v>
      </c>
      <c r="H8" s="169" t="s">
        <v>10</v>
      </c>
      <c r="I8" s="169" t="s">
        <v>10</v>
      </c>
    </row>
    <row r="9" spans="1:9" s="332" customFormat="1" outlineLevel="1">
      <c r="A9" s="333">
        <v>2004</v>
      </c>
      <c r="B9" s="129">
        <v>4426.3999999999996</v>
      </c>
      <c r="C9" s="129" t="s">
        <v>9</v>
      </c>
      <c r="D9" s="129" t="s">
        <v>9</v>
      </c>
      <c r="E9" s="129" t="s">
        <v>9</v>
      </c>
      <c r="F9" s="169">
        <f>'18C'!L9/'21C'!B9*1000</f>
        <v>887.99024037592631</v>
      </c>
      <c r="G9" s="169" t="s">
        <v>10</v>
      </c>
      <c r="H9" s="169" t="s">
        <v>10</v>
      </c>
      <c r="I9" s="169" t="s">
        <v>10</v>
      </c>
    </row>
    <row r="10" spans="1:9" s="332" customFormat="1" outlineLevel="1">
      <c r="A10" s="333">
        <v>2005</v>
      </c>
      <c r="B10" s="129">
        <v>4536.3</v>
      </c>
      <c r="C10" s="129" t="s">
        <v>9</v>
      </c>
      <c r="D10" s="129" t="s">
        <v>9</v>
      </c>
      <c r="E10" s="129" t="s">
        <v>9</v>
      </c>
      <c r="F10" s="169">
        <f>'18C'!L10/'21C'!B10*1000</f>
        <v>876.9040848268412</v>
      </c>
      <c r="G10" s="169" t="s">
        <v>10</v>
      </c>
      <c r="H10" s="169" t="s">
        <v>10</v>
      </c>
      <c r="I10" s="169" t="s">
        <v>10</v>
      </c>
    </row>
    <row r="11" spans="1:9" s="332" customFormat="1" outlineLevel="1">
      <c r="A11" s="333">
        <v>2006</v>
      </c>
      <c r="B11" s="129">
        <v>4702.7</v>
      </c>
      <c r="C11" s="129" t="s">
        <v>9</v>
      </c>
      <c r="D11" s="129" t="s">
        <v>9</v>
      </c>
      <c r="E11" s="129" t="s">
        <v>9</v>
      </c>
      <c r="F11" s="169">
        <f>'18C'!L11/'21C'!B11*1000</f>
        <v>877.85740106747187</v>
      </c>
      <c r="G11" s="169" t="s">
        <v>10</v>
      </c>
      <c r="H11" s="169" t="s">
        <v>10</v>
      </c>
      <c r="I11" s="169" t="s">
        <v>10</v>
      </c>
    </row>
    <row r="12" spans="1:9">
      <c r="A12" s="260">
        <v>2007</v>
      </c>
      <c r="B12" s="129">
        <v>4881.1000000000004</v>
      </c>
      <c r="C12" s="129" t="s">
        <v>9</v>
      </c>
      <c r="D12" s="129" t="s">
        <v>9</v>
      </c>
      <c r="E12" s="129" t="s">
        <v>9</v>
      </c>
      <c r="F12" s="169">
        <f>'18C'!L12/'21C'!B12*1000</f>
        <v>863.88314109524481</v>
      </c>
      <c r="G12" s="169" t="s">
        <v>10</v>
      </c>
      <c r="H12" s="169" t="s">
        <v>10</v>
      </c>
      <c r="I12" s="169" t="s">
        <v>10</v>
      </c>
    </row>
    <row r="13" spans="1:9">
      <c r="A13" s="260">
        <v>2008</v>
      </c>
      <c r="B13" s="129">
        <v>5007.8</v>
      </c>
      <c r="C13" s="129" t="s">
        <v>9</v>
      </c>
      <c r="D13" s="129" t="s">
        <v>9</v>
      </c>
      <c r="E13" s="129" t="s">
        <v>9</v>
      </c>
      <c r="F13" s="169">
        <f>'18C'!L13/'21C'!B13*1000</f>
        <v>849.5746635249011</v>
      </c>
      <c r="G13" s="169" t="s">
        <v>10</v>
      </c>
      <c r="H13" s="169" t="s">
        <v>10</v>
      </c>
      <c r="I13" s="169" t="s">
        <v>10</v>
      </c>
    </row>
    <row r="14" spans="1:9">
      <c r="A14" s="260">
        <v>2009</v>
      </c>
      <c r="B14" s="129">
        <v>5055.8</v>
      </c>
      <c r="C14" s="129" t="s">
        <v>9</v>
      </c>
      <c r="D14" s="129" t="s">
        <v>9</v>
      </c>
      <c r="E14" s="129" t="s">
        <v>9</v>
      </c>
      <c r="F14" s="169">
        <f>'18C'!L14/'21C'!B14*1000</f>
        <v>845.22726373669843</v>
      </c>
      <c r="G14" s="169" t="s">
        <v>10</v>
      </c>
      <c r="H14" s="169" t="s">
        <v>10</v>
      </c>
      <c r="I14" s="169" t="s">
        <v>10</v>
      </c>
    </row>
    <row r="15" spans="1:9">
      <c r="A15" s="260">
        <v>2010</v>
      </c>
      <c r="B15" s="129">
        <v>5087.8</v>
      </c>
      <c r="C15" s="129" t="s">
        <v>9</v>
      </c>
      <c r="D15" s="129" t="s">
        <v>9</v>
      </c>
      <c r="E15" s="129" t="s">
        <v>9</v>
      </c>
      <c r="F15" s="169">
        <f>'18C'!L15/'21C'!B15*1000</f>
        <v>856.87330476826924</v>
      </c>
      <c r="G15" s="169" t="s">
        <v>10</v>
      </c>
      <c r="H15" s="169" t="s">
        <v>10</v>
      </c>
      <c r="I15" s="169" t="s">
        <v>10</v>
      </c>
    </row>
    <row r="16" spans="1:9">
      <c r="A16" s="260">
        <v>2011</v>
      </c>
      <c r="B16" s="129">
        <v>5219.3999999999996</v>
      </c>
      <c r="C16" s="129" t="s">
        <v>9</v>
      </c>
      <c r="D16" s="129" t="s">
        <v>9</v>
      </c>
      <c r="E16" s="129" t="s">
        <v>9</v>
      </c>
      <c r="F16" s="169">
        <f>'18C'!L16/'21C'!B16*1000</f>
        <v>850.19350883243294</v>
      </c>
      <c r="G16" s="169" t="s">
        <v>10</v>
      </c>
      <c r="H16" s="169" t="s">
        <v>10</v>
      </c>
      <c r="I16" s="169" t="s">
        <v>10</v>
      </c>
    </row>
    <row r="17" spans="1:9">
      <c r="A17" s="260">
        <v>2012</v>
      </c>
      <c r="B17" s="129">
        <v>5276.2</v>
      </c>
      <c r="C17" s="129" t="s">
        <v>9</v>
      </c>
      <c r="D17" s="129" t="s">
        <v>9</v>
      </c>
      <c r="E17" s="129" t="s">
        <v>9</v>
      </c>
      <c r="F17" s="169">
        <f>'18C'!L17/'21C'!B17*1000</f>
        <v>850.38474659793042</v>
      </c>
      <c r="G17" s="169" t="s">
        <v>10</v>
      </c>
      <c r="H17" s="169" t="s">
        <v>10</v>
      </c>
      <c r="I17" s="169" t="s">
        <v>10</v>
      </c>
    </row>
    <row r="18" spans="1:9">
      <c r="A18" s="260">
        <v>2013</v>
      </c>
      <c r="B18" s="129">
        <v>5390.5</v>
      </c>
      <c r="C18" s="129" t="s">
        <v>9</v>
      </c>
      <c r="D18" s="129" t="s">
        <v>9</v>
      </c>
      <c r="E18" s="129" t="s">
        <v>9</v>
      </c>
      <c r="F18" s="169">
        <f>'18C'!L18/'21C'!B18*1000</f>
        <v>850.57044801038865</v>
      </c>
      <c r="G18" s="169" t="s">
        <v>10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2.2122756412218836</v>
      </c>
      <c r="C21" s="253" t="s">
        <v>9</v>
      </c>
      <c r="D21" s="253" t="s">
        <v>9</v>
      </c>
      <c r="E21" s="253" t="s">
        <v>9</v>
      </c>
      <c r="F21" s="253">
        <f t="shared" ref="F21" si="0">((F12/F5)^(1/7)-1)*100</f>
        <v>0.13799934277256565</v>
      </c>
      <c r="G21" s="253" t="s">
        <v>9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1.3920977760631281</v>
      </c>
      <c r="C22" s="253" t="str">
        <f t="shared" ref="C22:E23" si="1">IFERROR(((C16/C3)^(1/6)-1)*100,"n.a.")</f>
        <v>n.a.</v>
      </c>
      <c r="D22" s="253" t="str">
        <f t="shared" si="1"/>
        <v>n.a.</v>
      </c>
      <c r="E22" s="253" t="str">
        <f t="shared" si="1"/>
        <v>n.a.</v>
      </c>
      <c r="F22" s="253">
        <f t="shared" ref="F22" si="2">((F15/F12)^(1/3)-1)*100</f>
        <v>-0.27121269764350808</v>
      </c>
      <c r="G22" s="253" t="str">
        <f t="shared" ref="G22:I23" si="3">IFERROR(((G16/G3)^(1/6)-1)*100,"n.a.")</f>
        <v>n.a.</v>
      </c>
      <c r="H22" s="253" t="str">
        <f t="shared" si="3"/>
        <v>n.a.</v>
      </c>
      <c r="I22" s="253" t="str">
        <f t="shared" si="3"/>
        <v>n.a.</v>
      </c>
    </row>
    <row r="23" spans="1:9">
      <c r="A23" s="260" t="s">
        <v>392</v>
      </c>
      <c r="B23" s="253">
        <f>((B18/B15)^(1/3)-1)*100</f>
        <v>1.9450961465959926</v>
      </c>
      <c r="C23" s="253" t="str">
        <f t="shared" si="1"/>
        <v>n.a.</v>
      </c>
      <c r="D23" s="253" t="str">
        <f t="shared" si="1"/>
        <v>n.a.</v>
      </c>
      <c r="E23" s="253" t="str">
        <f t="shared" si="1"/>
        <v>n.a.</v>
      </c>
      <c r="F23" s="253">
        <f t="shared" ref="F23" si="4">((F18/F15)^(1/3)-1)*100</f>
        <v>-0.24579184371076312</v>
      </c>
      <c r="G23" s="253" t="str">
        <f t="shared" si="3"/>
        <v>n.a.</v>
      </c>
      <c r="H23" s="253" t="str">
        <f t="shared" si="3"/>
        <v>n.a.</v>
      </c>
      <c r="I23" s="253" t="str">
        <f t="shared" si="3"/>
        <v>n.a.</v>
      </c>
    </row>
    <row r="24" spans="1:9">
      <c r="A24" s="285" t="s">
        <v>69</v>
      </c>
      <c r="B24" s="253">
        <f>IFERROR(((B18/B12)^(1/6)-1)*100,"n.a.")</f>
        <v>1.6682209753166477</v>
      </c>
      <c r="C24" s="253" t="str">
        <f t="shared" ref="C24:I24" si="5">IFERROR(((C18/C12)^(1/6)-1)*100,"n.a.")</f>
        <v>n.a.</v>
      </c>
      <c r="D24" s="253" t="str">
        <f t="shared" si="5"/>
        <v>n.a.</v>
      </c>
      <c r="E24" s="253" t="str">
        <f t="shared" si="5"/>
        <v>n.a.</v>
      </c>
      <c r="F24" s="253">
        <f t="shared" si="5"/>
        <v>-0.2585030805454358</v>
      </c>
      <c r="G24" s="253" t="str">
        <f t="shared" si="5"/>
        <v>n.a.</v>
      </c>
      <c r="H24" s="253" t="str">
        <f t="shared" si="5"/>
        <v>n.a.</v>
      </c>
      <c r="I24" s="253" t="str">
        <f t="shared" si="5"/>
        <v>n.a.</v>
      </c>
    </row>
    <row r="25" spans="1:9" s="352" customFormat="1">
      <c r="A25" s="355" t="s">
        <v>69</v>
      </c>
      <c r="B25" s="253">
        <f>((B18/B5)^(1/13)-1)*100</f>
        <v>1.960812657866251</v>
      </c>
      <c r="C25" s="253" t="s">
        <v>9</v>
      </c>
      <c r="D25" s="253" t="s">
        <v>9</v>
      </c>
      <c r="E25" s="253" t="s">
        <v>9</v>
      </c>
      <c r="F25" s="253">
        <f t="shared" ref="F25" si="6">((F18/F5)^(1/13)-1)*100</f>
        <v>-4.5197258481011193E-2</v>
      </c>
      <c r="G25" s="253" t="s">
        <v>9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415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1" orientation="portrait" horizontalDpi="0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2.28515625" style="266" customWidth="1"/>
    <col min="2" max="9" width="14.28515625" style="266" customWidth="1"/>
    <col min="10" max="16384" width="9.140625" style="266"/>
  </cols>
  <sheetData>
    <row r="1" spans="1:9">
      <c r="A1" s="471" t="s">
        <v>593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34954.9</v>
      </c>
      <c r="C5" s="129">
        <v>44</v>
      </c>
      <c r="D5" s="129" t="s">
        <v>9</v>
      </c>
      <c r="E5" s="129" t="s">
        <v>9</v>
      </c>
      <c r="F5" s="169">
        <f>'18D'!L5/'21D'!B5*1000</f>
        <v>775.34194061490655</v>
      </c>
      <c r="G5" s="169">
        <f>'18D'!N5/'21D'!C5*1000</f>
        <v>2199.9999999999995</v>
      </c>
      <c r="H5" s="169" t="s">
        <v>10</v>
      </c>
      <c r="I5" s="169" t="s">
        <v>10</v>
      </c>
    </row>
    <row r="6" spans="1:9" s="332" customFormat="1" outlineLevel="1">
      <c r="A6" s="333">
        <v>2001</v>
      </c>
      <c r="B6" s="129">
        <v>35413.1</v>
      </c>
      <c r="C6" s="129">
        <v>36.700000000000003</v>
      </c>
      <c r="D6" s="129" t="s">
        <v>9</v>
      </c>
      <c r="E6" s="129" t="s">
        <v>9</v>
      </c>
      <c r="F6" s="169">
        <f>'18D'!L6/'21D'!B6*1000</f>
        <v>791.70419985824458</v>
      </c>
      <c r="G6" s="169">
        <f>'18D'!N6/'21D'!C6*1000</f>
        <v>3046.3215258855585</v>
      </c>
      <c r="H6" s="169" t="s">
        <v>10</v>
      </c>
      <c r="I6" s="169" t="s">
        <v>10</v>
      </c>
    </row>
    <row r="7" spans="1:9" s="332" customFormat="1" outlineLevel="1">
      <c r="A7" s="333">
        <v>2002</v>
      </c>
      <c r="B7" s="129">
        <v>35910.6</v>
      </c>
      <c r="C7" s="129">
        <v>33</v>
      </c>
      <c r="D7" s="129" t="s">
        <v>9</v>
      </c>
      <c r="E7" s="129" t="s">
        <v>9</v>
      </c>
      <c r="F7" s="169">
        <f>'18D'!L7/'21D'!B7*1000</f>
        <v>811.84942607475227</v>
      </c>
      <c r="G7" s="169">
        <f>'18D'!N7/'21D'!C7*1000</f>
        <v>3693.9393939393944</v>
      </c>
      <c r="H7" s="169" t="s">
        <v>10</v>
      </c>
      <c r="I7" s="169" t="s">
        <v>10</v>
      </c>
    </row>
    <row r="8" spans="1:9" s="332" customFormat="1" outlineLevel="1">
      <c r="A8" s="333">
        <v>2003</v>
      </c>
      <c r="B8" s="129">
        <v>36155.699999999997</v>
      </c>
      <c r="C8" s="129">
        <v>36.6</v>
      </c>
      <c r="D8" s="129" t="s">
        <v>9</v>
      </c>
      <c r="E8" s="129" t="s">
        <v>9</v>
      </c>
      <c r="F8" s="169">
        <f>'18D'!L8/'21D'!B8*1000</f>
        <v>820.06709868706741</v>
      </c>
      <c r="G8" s="169">
        <f>'18D'!N8/'21D'!C8*1000</f>
        <v>3065.5737704918033</v>
      </c>
      <c r="H8" s="169" t="s">
        <v>10</v>
      </c>
      <c r="I8" s="169" t="s">
        <v>10</v>
      </c>
    </row>
    <row r="9" spans="1:9" s="332" customFormat="1" outlineLevel="1">
      <c r="A9" s="333">
        <v>2004</v>
      </c>
      <c r="B9" s="129">
        <v>36226.800000000003</v>
      </c>
      <c r="C9" s="129">
        <v>38.4</v>
      </c>
      <c r="D9" s="129" t="s">
        <v>9</v>
      </c>
      <c r="E9" s="129" t="s">
        <v>9</v>
      </c>
      <c r="F9" s="169">
        <f>'18D'!L9/'21D'!B9*1000</f>
        <v>827.94781763777087</v>
      </c>
      <c r="G9" s="169">
        <f>'18D'!N9/'21D'!C9*1000</f>
        <v>2721.354166666667</v>
      </c>
      <c r="H9" s="169" t="s">
        <v>10</v>
      </c>
      <c r="I9" s="169" t="s">
        <v>10</v>
      </c>
    </row>
    <row r="10" spans="1:9" s="332" customFormat="1" outlineLevel="1">
      <c r="A10" s="333">
        <v>2005</v>
      </c>
      <c r="B10" s="129">
        <v>36331.1</v>
      </c>
      <c r="C10" s="129">
        <v>39.4</v>
      </c>
      <c r="D10" s="129" t="s">
        <v>9</v>
      </c>
      <c r="E10" s="129" t="s">
        <v>9</v>
      </c>
      <c r="F10" s="169">
        <f>'18D'!L10/'21D'!B10*1000</f>
        <v>837.03218454712362</v>
      </c>
      <c r="G10" s="169">
        <f>'18D'!N10/'21D'!C10*1000</f>
        <v>2609.1370558375634</v>
      </c>
      <c r="H10" s="169" t="s">
        <v>10</v>
      </c>
      <c r="I10" s="169" t="s">
        <v>10</v>
      </c>
    </row>
    <row r="11" spans="1:9" s="332" customFormat="1" outlineLevel="1">
      <c r="A11" s="333">
        <v>2006</v>
      </c>
      <c r="B11" s="129">
        <v>36349.699999999997</v>
      </c>
      <c r="C11" s="129">
        <v>38.299999999999997</v>
      </c>
      <c r="D11" s="129" t="s">
        <v>9</v>
      </c>
      <c r="E11" s="129" t="s">
        <v>9</v>
      </c>
      <c r="F11" s="169">
        <f>'18D'!L11/'21D'!B11*1000</f>
        <v>841.99869600024226</v>
      </c>
      <c r="G11" s="169">
        <f>'18D'!N11/'21D'!C11*1000</f>
        <v>2336.8146214099215</v>
      </c>
      <c r="H11" s="169" t="s">
        <v>10</v>
      </c>
      <c r="I11" s="169" t="s">
        <v>10</v>
      </c>
    </row>
    <row r="12" spans="1:9">
      <c r="A12" s="260">
        <v>2007</v>
      </c>
      <c r="B12" s="129">
        <v>36433.699999999997</v>
      </c>
      <c r="C12" s="129">
        <v>46.9</v>
      </c>
      <c r="D12" s="129" t="s">
        <v>9</v>
      </c>
      <c r="E12" s="129" t="s">
        <v>9</v>
      </c>
      <c r="F12" s="169">
        <f>'18D'!L12/'21D'!B12*1000</f>
        <v>853.89351067830069</v>
      </c>
      <c r="G12" s="169">
        <f>'18D'!N12/'21D'!C12*1000</f>
        <v>1778.2515991471216</v>
      </c>
      <c r="H12" s="169" t="s">
        <v>10</v>
      </c>
      <c r="I12" s="169" t="s">
        <v>10</v>
      </c>
    </row>
    <row r="13" spans="1:9">
      <c r="A13" s="260">
        <v>2008</v>
      </c>
      <c r="B13" s="129">
        <v>36052.800000000003</v>
      </c>
      <c r="C13" s="129">
        <v>47.9</v>
      </c>
      <c r="D13" s="129" t="s">
        <v>9</v>
      </c>
      <c r="E13" s="129" t="s">
        <v>9</v>
      </c>
      <c r="F13" s="169">
        <f>'18D'!L13/'21D'!B13*1000</f>
        <v>881.07997159721299</v>
      </c>
      <c r="G13" s="169">
        <f>'18D'!N13/'21D'!C13*1000</f>
        <v>1807.9331941544885</v>
      </c>
      <c r="H13" s="169" t="s">
        <v>10</v>
      </c>
      <c r="I13" s="169" t="s">
        <v>10</v>
      </c>
    </row>
    <row r="14" spans="1:9">
      <c r="A14" s="260">
        <v>2009</v>
      </c>
      <c r="B14" s="129">
        <v>36508</v>
      </c>
      <c r="C14" s="129">
        <v>45.3</v>
      </c>
      <c r="D14" s="129" t="s">
        <v>9</v>
      </c>
      <c r="E14" s="129" t="s">
        <v>9</v>
      </c>
      <c r="F14" s="169">
        <f>'18D'!L14/'21D'!B14*1000</f>
        <v>871.22274569957267</v>
      </c>
      <c r="G14" s="169">
        <f>'18D'!N14/'21D'!C14*1000</f>
        <v>1527.5938189845476</v>
      </c>
      <c r="H14" s="169" t="s">
        <v>10</v>
      </c>
      <c r="I14" s="169" t="s">
        <v>10</v>
      </c>
    </row>
    <row r="15" spans="1:9">
      <c r="A15" s="260">
        <v>2010</v>
      </c>
      <c r="B15" s="129">
        <v>37599</v>
      </c>
      <c r="C15" s="129">
        <v>39.4</v>
      </c>
      <c r="D15" s="129" t="s">
        <v>9</v>
      </c>
      <c r="E15" s="129" t="s">
        <v>9</v>
      </c>
      <c r="F15" s="169">
        <f>'18D'!L15/'21D'!B15*1000</f>
        <v>869.65078858480285</v>
      </c>
      <c r="G15" s="169">
        <f>'18D'!N15/'21D'!C15*1000</f>
        <v>2007.6142131979693</v>
      </c>
      <c r="H15" s="169" t="s">
        <v>10</v>
      </c>
      <c r="I15" s="169" t="s">
        <v>10</v>
      </c>
    </row>
    <row r="16" spans="1:9">
      <c r="A16" s="260">
        <v>2011</v>
      </c>
      <c r="B16" s="129">
        <v>38409.699999999997</v>
      </c>
      <c r="C16" s="129">
        <v>38.700000000000003</v>
      </c>
      <c r="D16" s="129" t="s">
        <v>9</v>
      </c>
      <c r="E16" s="129" t="s">
        <v>9</v>
      </c>
      <c r="F16" s="169">
        <f>'18D'!L16/'21D'!B16*1000</f>
        <v>855.23708854794495</v>
      </c>
      <c r="G16" s="169">
        <f>'18D'!N16/'21D'!C16*1000</f>
        <v>1821.705426356589</v>
      </c>
      <c r="H16" s="169" t="s">
        <v>10</v>
      </c>
      <c r="I16" s="169" t="s">
        <v>10</v>
      </c>
    </row>
    <row r="17" spans="1:9">
      <c r="A17" s="260">
        <v>2012</v>
      </c>
      <c r="B17" s="129">
        <v>38733.800000000003</v>
      </c>
      <c r="C17" s="129">
        <v>42.8</v>
      </c>
      <c r="D17" s="129" t="s">
        <v>9</v>
      </c>
      <c r="E17" s="129" t="s">
        <v>9</v>
      </c>
      <c r="F17" s="169">
        <f>'18D'!L17/'21D'!B17*1000</f>
        <v>847.39426547356572</v>
      </c>
      <c r="G17" s="169">
        <f>'18D'!N17/'21D'!C17*1000</f>
        <v>1179.9065420560748</v>
      </c>
      <c r="H17" s="169" t="s">
        <v>10</v>
      </c>
      <c r="I17" s="169" t="s">
        <v>10</v>
      </c>
    </row>
    <row r="18" spans="1:9">
      <c r="A18" s="260">
        <v>2013</v>
      </c>
      <c r="B18" s="129">
        <v>39073.300000000003</v>
      </c>
      <c r="C18" s="129">
        <v>43</v>
      </c>
      <c r="D18" s="129" t="s">
        <v>9</v>
      </c>
      <c r="E18" s="129" t="s">
        <v>9</v>
      </c>
      <c r="F18" s="169">
        <f>'18D'!L18/'21D'!B18*1000</f>
        <v>843.56069233978178</v>
      </c>
      <c r="G18" s="169">
        <f>'18D'!N18/'21D'!C18*1000</f>
        <v>1169.7674418604652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0.5936912790180493</v>
      </c>
      <c r="C21" s="253">
        <f t="shared" ref="C21:G21" si="0">((C12/C5)^(1/7)-1)*100</f>
        <v>0.91599899116117101</v>
      </c>
      <c r="D21" s="253" t="s">
        <v>9</v>
      </c>
      <c r="E21" s="253" t="s">
        <v>9</v>
      </c>
      <c r="F21" s="253">
        <f t="shared" si="0"/>
        <v>1.3881515131711097</v>
      </c>
      <c r="G21" s="253">
        <f t="shared" si="0"/>
        <v>-2.9946270774438011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1.0549687575686306</v>
      </c>
      <c r="C22" s="253">
        <f t="shared" ref="C22:G22" si="1">((C15/C12)^(1/3)-1)*100</f>
        <v>-5.6429271528517404</v>
      </c>
      <c r="D22" s="253" t="str">
        <f>IFERROR(((D16/D3)^(1/6)-1)*100,"n.a.")</f>
        <v>n.a.</v>
      </c>
      <c r="E22" s="253" t="str">
        <f>IFERROR(((E16/E3)^(1/6)-1)*100,"n.a.")</f>
        <v>n.a.</v>
      </c>
      <c r="F22" s="253">
        <f t="shared" si="1"/>
        <v>0.61136952715623583</v>
      </c>
      <c r="G22" s="253">
        <f t="shared" si="1"/>
        <v>4.1267590700002854</v>
      </c>
      <c r="H22" s="253" t="str">
        <f>IFERROR(((H16/H3)^(1/6)-1)*100,"n.a.")</f>
        <v>n.a.</v>
      </c>
      <c r="I22" s="253" t="str">
        <f>IFERROR(((I16/I3)^(1/6)-1)*100,"n.a.")</f>
        <v>n.a.</v>
      </c>
    </row>
    <row r="23" spans="1:9">
      <c r="A23" s="260" t="s">
        <v>392</v>
      </c>
      <c r="B23" s="253">
        <f>((B18/B15)^(1/3)-1)*100</f>
        <v>1.2903175059457483</v>
      </c>
      <c r="C23" s="253">
        <f t="shared" ref="C23:G23" si="2">((C18/C15)^(1/3)-1)*100</f>
        <v>2.957363142034497</v>
      </c>
      <c r="D23" s="253" t="str">
        <f>IFERROR(((D17/D4)^(1/6)-1)*100,"n.a.")</f>
        <v>n.a.</v>
      </c>
      <c r="E23" s="253" t="str">
        <f>IFERROR(((E17/E4)^(1/6)-1)*100,"n.a.")</f>
        <v>n.a.</v>
      </c>
      <c r="F23" s="253">
        <f t="shared" si="2"/>
        <v>-1.0101924723339706</v>
      </c>
      <c r="G23" s="253">
        <f t="shared" si="2"/>
        <v>-16.476935079821942</v>
      </c>
      <c r="H23" s="253" t="str">
        <f>IFERROR(((H17/H4)^(1/6)-1)*100,"n.a.")</f>
        <v>n.a.</v>
      </c>
      <c r="I23" s="253" t="str">
        <f>IFERROR(((I17/I4)^(1/6)-1)*100,"n.a.")</f>
        <v>n.a.</v>
      </c>
    </row>
    <row r="24" spans="1:9">
      <c r="A24" s="285" t="s">
        <v>69</v>
      </c>
      <c r="B24" s="253">
        <f>IFERROR(((B18/B12)^(1/6)-1)*100,"n.a.")</f>
        <v>1.1725746979266871</v>
      </c>
      <c r="C24" s="253">
        <f t="shared" ref="C24:I24" si="3">IFERROR(((C18/C12)^(1/6)-1)*100,"n.a.")</f>
        <v>-1.4365411821234519</v>
      </c>
      <c r="D24" s="253" t="str">
        <f t="shared" si="3"/>
        <v>n.a.</v>
      </c>
      <c r="E24" s="253" t="str">
        <f t="shared" si="3"/>
        <v>n.a.</v>
      </c>
      <c r="F24" s="253">
        <f t="shared" si="3"/>
        <v>-0.20270492348963831</v>
      </c>
      <c r="G24" s="253">
        <f t="shared" si="3"/>
        <v>-6.742367295049922</v>
      </c>
      <c r="H24" s="253" t="str">
        <f t="shared" si="3"/>
        <v>n.a.</v>
      </c>
      <c r="I24" s="253" t="str">
        <f t="shared" si="3"/>
        <v>n.a.</v>
      </c>
    </row>
    <row r="25" spans="1:9" s="352" customFormat="1">
      <c r="A25" s="355" t="s">
        <v>69</v>
      </c>
      <c r="B25" s="253">
        <f>((B18/B5)^(1/13)-1)*100</f>
        <v>0.86045551239264384</v>
      </c>
      <c r="C25" s="253">
        <f t="shared" ref="C25:G25" si="4">((C18/C5)^(1/13)-1)*100</f>
        <v>-0.17668617375866669</v>
      </c>
      <c r="D25" s="253" t="s">
        <v>9</v>
      </c>
      <c r="E25" s="253" t="s">
        <v>9</v>
      </c>
      <c r="F25" s="253">
        <f t="shared" si="4"/>
        <v>0.65078311706725511</v>
      </c>
      <c r="G25" s="253">
        <f t="shared" si="4"/>
        <v>-4.7427106283498999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416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1.5703125" style="266" customWidth="1"/>
    <col min="2" max="9" width="14.28515625" style="266" customWidth="1"/>
    <col min="10" max="16384" width="9.140625" style="266"/>
  </cols>
  <sheetData>
    <row r="1" spans="1:9">
      <c r="A1" s="493" t="s">
        <v>594</v>
      </c>
      <c r="B1" s="493"/>
      <c r="C1" s="493"/>
      <c r="D1" s="493"/>
      <c r="E1" s="493"/>
      <c r="F1" s="493"/>
      <c r="G1" s="493"/>
      <c r="H1" s="493"/>
      <c r="I1" s="493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29017.7</v>
      </c>
      <c r="C5" s="129">
        <v>121.4</v>
      </c>
      <c r="D5" s="129" t="s">
        <v>9</v>
      </c>
      <c r="E5" s="129" t="s">
        <v>9</v>
      </c>
      <c r="F5" s="169">
        <f>'18E'!L5/'21E'!B5*1000</f>
        <v>753.32641801383295</v>
      </c>
      <c r="G5" s="169">
        <f>'18E'!N5/'21E'!C5*1000</f>
        <v>1709.2257001647447</v>
      </c>
      <c r="H5" s="169" t="s">
        <v>10</v>
      </c>
      <c r="I5" s="169" t="s">
        <v>10</v>
      </c>
    </row>
    <row r="6" spans="1:9" s="332" customFormat="1" outlineLevel="1">
      <c r="A6" s="333">
        <v>2001</v>
      </c>
      <c r="B6" s="129">
        <v>28843.9</v>
      </c>
      <c r="C6" s="129">
        <v>112.9</v>
      </c>
      <c r="D6" s="129" t="s">
        <v>9</v>
      </c>
      <c r="E6" s="129" t="s">
        <v>9</v>
      </c>
      <c r="F6" s="169">
        <f>'18E'!L6/'21E'!B6*1000</f>
        <v>770.04843311757418</v>
      </c>
      <c r="G6" s="169">
        <f>'18E'!N6/'21E'!C6*1000</f>
        <v>2145.2612931798049</v>
      </c>
      <c r="H6" s="169" t="s">
        <v>10</v>
      </c>
      <c r="I6" s="169" t="s">
        <v>10</v>
      </c>
    </row>
    <row r="7" spans="1:9" s="332" customFormat="1" outlineLevel="1">
      <c r="A7" s="333">
        <v>2002</v>
      </c>
      <c r="B7" s="129">
        <v>28593.5</v>
      </c>
      <c r="C7" s="129">
        <v>112.2</v>
      </c>
      <c r="D7" s="129" t="s">
        <v>9</v>
      </c>
      <c r="E7" s="129" t="s">
        <v>9</v>
      </c>
      <c r="F7" s="169">
        <f>'18E'!L7/'21E'!B7*1000</f>
        <v>808.28160246209802</v>
      </c>
      <c r="G7" s="169">
        <f>'18E'!N7/'21E'!C7*1000</f>
        <v>2412.6559714795007</v>
      </c>
      <c r="H7" s="169" t="s">
        <v>10</v>
      </c>
      <c r="I7" s="169" t="s">
        <v>10</v>
      </c>
    </row>
    <row r="8" spans="1:9" s="332" customFormat="1" outlineLevel="1">
      <c r="A8" s="333">
        <v>2003</v>
      </c>
      <c r="B8" s="129">
        <v>28700.400000000001</v>
      </c>
      <c r="C8" s="129">
        <v>123.6</v>
      </c>
      <c r="D8" s="129" t="s">
        <v>9</v>
      </c>
      <c r="E8" s="129" t="s">
        <v>9</v>
      </c>
      <c r="F8" s="169">
        <f>'18E'!L8/'21E'!B8*1000</f>
        <v>825.84563281347994</v>
      </c>
      <c r="G8" s="169">
        <f>'18E'!N8/'21E'!C8*1000</f>
        <v>1945.7928802588997</v>
      </c>
      <c r="H8" s="169" t="s">
        <v>10</v>
      </c>
      <c r="I8" s="169" t="s">
        <v>10</v>
      </c>
    </row>
    <row r="9" spans="1:9" s="332" customFormat="1" outlineLevel="1">
      <c r="A9" s="333">
        <v>2004</v>
      </c>
      <c r="B9" s="129">
        <v>29048.7</v>
      </c>
      <c r="C9" s="129">
        <v>131.80000000000001</v>
      </c>
      <c r="D9" s="129" t="s">
        <v>9</v>
      </c>
      <c r="E9" s="129" t="s">
        <v>9</v>
      </c>
      <c r="F9" s="169">
        <f>'18E'!L9/'21E'!B9*1000</f>
        <v>840.32331911582958</v>
      </c>
      <c r="G9" s="169">
        <f>'18E'!N9/'21E'!C9*1000</f>
        <v>2084.9772382397573</v>
      </c>
      <c r="H9" s="169" t="s">
        <v>10</v>
      </c>
      <c r="I9" s="169" t="s">
        <v>10</v>
      </c>
    </row>
    <row r="10" spans="1:9" s="332" customFormat="1" outlineLevel="1">
      <c r="A10" s="333">
        <v>2005</v>
      </c>
      <c r="B10" s="129">
        <v>29575.3</v>
      </c>
      <c r="C10" s="129">
        <v>127.2</v>
      </c>
      <c r="D10" s="129" t="s">
        <v>9</v>
      </c>
      <c r="E10" s="129" t="s">
        <v>9</v>
      </c>
      <c r="F10" s="169">
        <f>'18E'!L10/'21E'!B10*1000</f>
        <v>839.00078781956563</v>
      </c>
      <c r="G10" s="169">
        <f>'18E'!N10/'21E'!C10*1000</f>
        <v>1861.6352201257862</v>
      </c>
      <c r="H10" s="169" t="s">
        <v>10</v>
      </c>
      <c r="I10" s="169" t="s">
        <v>10</v>
      </c>
    </row>
    <row r="11" spans="1:9" s="332" customFormat="1" outlineLevel="1">
      <c r="A11" s="333">
        <v>2006</v>
      </c>
      <c r="B11" s="129">
        <v>30834</v>
      </c>
      <c r="C11" s="129">
        <v>120.6</v>
      </c>
      <c r="D11" s="129" t="s">
        <v>9</v>
      </c>
      <c r="E11" s="129" t="s">
        <v>9</v>
      </c>
      <c r="F11" s="169">
        <f>'18E'!L11/'21E'!B11*1000</f>
        <v>826.37024064344553</v>
      </c>
      <c r="G11" s="169">
        <f>'18E'!N11/'21E'!C11*1000</f>
        <v>1810.1160862354895</v>
      </c>
      <c r="H11" s="169" t="s">
        <v>10</v>
      </c>
      <c r="I11" s="169" t="s">
        <v>10</v>
      </c>
    </row>
    <row r="12" spans="1:9">
      <c r="A12" s="260">
        <v>2007</v>
      </c>
      <c r="B12" s="129">
        <v>32299.8</v>
      </c>
      <c r="C12" s="129">
        <v>106</v>
      </c>
      <c r="D12" s="129" t="s">
        <v>9</v>
      </c>
      <c r="E12" s="129" t="s">
        <v>9</v>
      </c>
      <c r="F12" s="169">
        <f>'18E'!L12/'21E'!B12*1000</f>
        <v>798.04209313989566</v>
      </c>
      <c r="G12" s="169">
        <f>'18E'!N12/'21E'!C12*1000</f>
        <v>2180.1886792452829</v>
      </c>
      <c r="H12" s="169" t="s">
        <v>10</v>
      </c>
      <c r="I12" s="169" t="s">
        <v>10</v>
      </c>
    </row>
    <row r="13" spans="1:9">
      <c r="A13" s="260">
        <v>2008</v>
      </c>
      <c r="B13" s="129">
        <v>33545.300000000003</v>
      </c>
      <c r="C13" s="129">
        <v>104.2</v>
      </c>
      <c r="D13" s="129" t="s">
        <v>9</v>
      </c>
      <c r="E13" s="129" t="s">
        <v>9</v>
      </c>
      <c r="F13" s="169">
        <f>'18E'!L13/'21E'!B13*1000</f>
        <v>777.49192882460432</v>
      </c>
      <c r="G13" s="169">
        <f>'18E'!N13/'21E'!C13*1000</f>
        <v>2452.9750479846448</v>
      </c>
      <c r="H13" s="169" t="s">
        <v>10</v>
      </c>
      <c r="I13" s="169" t="s">
        <v>10</v>
      </c>
    </row>
    <row r="14" spans="1:9">
      <c r="A14" s="260">
        <v>2009</v>
      </c>
      <c r="B14" s="129">
        <v>33900.5</v>
      </c>
      <c r="C14" s="129">
        <v>102</v>
      </c>
      <c r="D14" s="129" t="s">
        <v>9</v>
      </c>
      <c r="E14" s="129" t="s">
        <v>9</v>
      </c>
      <c r="F14" s="169">
        <f>'18E'!L14/'21E'!B14*1000</f>
        <v>759.7292075338122</v>
      </c>
      <c r="G14" s="169">
        <f>'18E'!N14/'21E'!C14*1000</f>
        <v>2224.5098039215686</v>
      </c>
      <c r="H14" s="169" t="s">
        <v>10</v>
      </c>
      <c r="I14" s="169" t="s">
        <v>10</v>
      </c>
    </row>
    <row r="15" spans="1:9">
      <c r="A15" s="260">
        <v>2010</v>
      </c>
      <c r="B15" s="129">
        <v>34339.4</v>
      </c>
      <c r="C15" s="129">
        <v>117.1</v>
      </c>
      <c r="D15" s="129" t="s">
        <v>9</v>
      </c>
      <c r="E15" s="129" t="s">
        <v>9</v>
      </c>
      <c r="F15" s="169">
        <f>'18E'!L15/'21E'!B15*1000</f>
        <v>765.17353244378171</v>
      </c>
      <c r="G15" s="169">
        <f>'18E'!N15/'21E'!C15*1000</f>
        <v>2224.5943637916312</v>
      </c>
      <c r="H15" s="169" t="s">
        <v>10</v>
      </c>
      <c r="I15" s="169" t="s">
        <v>10</v>
      </c>
    </row>
    <row r="16" spans="1:9">
      <c r="A16" s="260">
        <v>2011</v>
      </c>
      <c r="B16" s="129">
        <v>35014.9</v>
      </c>
      <c r="C16" s="129">
        <v>110.8</v>
      </c>
      <c r="D16" s="129" t="s">
        <v>9</v>
      </c>
      <c r="E16" s="129" t="s">
        <v>9</v>
      </c>
      <c r="F16" s="169">
        <f>'18E'!L16/'21E'!B16*1000</f>
        <v>753.33643677405905</v>
      </c>
      <c r="G16" s="169">
        <f>'18E'!N16/'21E'!C16*1000</f>
        <v>2222.0216606498198</v>
      </c>
      <c r="H16" s="169" t="s">
        <v>10</v>
      </c>
      <c r="I16" s="169" t="s">
        <v>10</v>
      </c>
    </row>
    <row r="17" spans="1:9">
      <c r="A17" s="260">
        <v>2012</v>
      </c>
      <c r="B17" s="129">
        <v>35151</v>
      </c>
      <c r="C17" s="129">
        <v>107.7</v>
      </c>
      <c r="D17" s="129" t="s">
        <v>9</v>
      </c>
      <c r="E17" s="129" t="s">
        <v>9</v>
      </c>
      <c r="F17" s="169">
        <f>'18E'!L17/'21E'!B17*1000</f>
        <v>745.99584649085375</v>
      </c>
      <c r="G17" s="169">
        <f>'18E'!N17/'21E'!C17*1000</f>
        <v>2241.4113277623028</v>
      </c>
      <c r="H17" s="169" t="s">
        <v>10</v>
      </c>
      <c r="I17" s="169" t="s">
        <v>10</v>
      </c>
    </row>
    <row r="18" spans="1:9">
      <c r="A18" s="260">
        <v>2013</v>
      </c>
      <c r="B18" s="129">
        <v>34954.9</v>
      </c>
      <c r="C18" s="129">
        <v>101</v>
      </c>
      <c r="D18" s="129" t="s">
        <v>9</v>
      </c>
      <c r="E18" s="129" t="s">
        <v>9</v>
      </c>
      <c r="F18" s="169">
        <f>'18E'!L18/'21E'!B18*1000</f>
        <v>745.89828607720233</v>
      </c>
      <c r="G18" s="169">
        <f>'18E'!N18/'21E'!C18*1000</f>
        <v>2396.0396039603961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1.5425629731898427</v>
      </c>
      <c r="C21" s="253">
        <f t="shared" ref="C21:G21" si="0">((C12/C5)^(1/7)-1)*100</f>
        <v>-1.9192263967218404</v>
      </c>
      <c r="D21" s="253" t="s">
        <v>9</v>
      </c>
      <c r="E21" s="253" t="s">
        <v>9</v>
      </c>
      <c r="F21" s="253">
        <f t="shared" si="0"/>
        <v>0.82715533063582036</v>
      </c>
      <c r="G21" s="253">
        <f t="shared" si="0"/>
        <v>3.5378727736674609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2.0620506026031382</v>
      </c>
      <c r="C22" s="253">
        <f t="shared" ref="C22" si="1">((C15/C12)^(1/3)-1)*100</f>
        <v>3.3753540401440185</v>
      </c>
      <c r="D22" s="253" t="str">
        <f t="shared" ref="D22:I23" si="2">IFERROR(((D16/D3)^(1/6)-1)*100,"n.a.")</f>
        <v>n.a.</v>
      </c>
      <c r="E22" s="253" t="str">
        <f t="shared" si="2"/>
        <v>n.a.</v>
      </c>
      <c r="F22" s="253" t="str">
        <f t="shared" si="2"/>
        <v>n.a.</v>
      </c>
      <c r="G22" s="253" t="str">
        <f t="shared" si="2"/>
        <v>n.a.</v>
      </c>
      <c r="H22" s="253" t="str">
        <f t="shared" si="2"/>
        <v>n.a.</v>
      </c>
      <c r="I22" s="253" t="str">
        <f t="shared" si="2"/>
        <v>n.a.</v>
      </c>
    </row>
    <row r="23" spans="1:9">
      <c r="A23" s="260" t="s">
        <v>392</v>
      </c>
      <c r="B23" s="253">
        <f>((B18/B15)^(1/3)-1)*100</f>
        <v>0.59393269935994475</v>
      </c>
      <c r="C23" s="253">
        <f t="shared" ref="C23" si="3">((C18/C15)^(1/3)-1)*100</f>
        <v>-4.8106942050588746</v>
      </c>
      <c r="D23" s="253" t="str">
        <f t="shared" si="2"/>
        <v>n.a.</v>
      </c>
      <c r="E23" s="253" t="str">
        <f t="shared" si="2"/>
        <v>n.a.</v>
      </c>
      <c r="F23" s="253" t="str">
        <f t="shared" si="2"/>
        <v>n.a.</v>
      </c>
      <c r="G23" s="253" t="str">
        <f t="shared" si="2"/>
        <v>n.a.</v>
      </c>
      <c r="H23" s="253" t="str">
        <f t="shared" si="2"/>
        <v>n.a.</v>
      </c>
      <c r="I23" s="253" t="str">
        <f t="shared" si="2"/>
        <v>n.a.</v>
      </c>
    </row>
    <row r="24" spans="1:9">
      <c r="A24" s="285" t="s">
        <v>69</v>
      </c>
      <c r="B24" s="253">
        <f>IFERROR(((B18/B12)^(1/6)-1)*100,"n.a.")</f>
        <v>1.3253327133788684</v>
      </c>
      <c r="C24" s="253">
        <f t="shared" ref="C24:I24" si="4">IFERROR(((C18/C12)^(1/6)-1)*100,"n.a.")</f>
        <v>-0.8020756901255921</v>
      </c>
      <c r="D24" s="253" t="str">
        <f t="shared" si="4"/>
        <v>n.a.</v>
      </c>
      <c r="E24" s="253" t="str">
        <f t="shared" si="4"/>
        <v>n.a.</v>
      </c>
      <c r="F24" s="253">
        <f t="shared" si="4"/>
        <v>-1.1198837420219987</v>
      </c>
      <c r="G24" s="253">
        <f t="shared" si="4"/>
        <v>1.5858733533343772</v>
      </c>
      <c r="H24" s="253" t="str">
        <f t="shared" si="4"/>
        <v>n.a.</v>
      </c>
      <c r="I24" s="253" t="str">
        <f t="shared" si="4"/>
        <v>n.a.</v>
      </c>
    </row>
    <row r="25" spans="1:9" s="352" customFormat="1">
      <c r="A25" s="355" t="s">
        <v>69</v>
      </c>
      <c r="B25" s="253">
        <f>((B18/B5)^(1/13)-1)*100</f>
        <v>1.4422450434123268</v>
      </c>
      <c r="C25" s="253">
        <f t="shared" ref="C25:G25" si="5">((C18/C5)^(1/13)-1)*100</f>
        <v>-1.4051903558660483</v>
      </c>
      <c r="D25" s="253" t="s">
        <v>9</v>
      </c>
      <c r="E25" s="253" t="s">
        <v>9</v>
      </c>
      <c r="F25" s="253">
        <f t="shared" si="5"/>
        <v>-7.6196945846151998E-2</v>
      </c>
      <c r="G25" s="253">
        <f t="shared" si="5"/>
        <v>2.6323323056151038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417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activeCell="I9" sqref="I9"/>
    </sheetView>
  </sheetViews>
  <sheetFormatPr defaultRowHeight="15" outlineLevelRow="1"/>
  <cols>
    <col min="1" max="1" width="11.140625" style="266" customWidth="1"/>
    <col min="2" max="9" width="14.28515625" style="266" customWidth="1"/>
    <col min="10" max="16384" width="9.140625" style="266"/>
  </cols>
  <sheetData>
    <row r="1" spans="1:9">
      <c r="A1" s="471" t="s">
        <v>595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273126.59999999998</v>
      </c>
      <c r="C5" s="129">
        <v>584.6</v>
      </c>
      <c r="D5" s="129">
        <v>2414.5</v>
      </c>
      <c r="E5" s="129">
        <v>6755.4</v>
      </c>
      <c r="F5" s="169">
        <f>'18F'!L5/'21F'!B5*1000</f>
        <v>921.6689256923346</v>
      </c>
      <c r="G5" s="169">
        <f>'18F'!N5/'21F'!C5*1000</f>
        <v>1482.55217242559</v>
      </c>
      <c r="H5" s="169">
        <f>'18F'!O5/'21F'!D5*1000</f>
        <v>1001.3667425968109</v>
      </c>
      <c r="I5" s="169">
        <f>'18F'!S5/'21F'!E5*1000</f>
        <v>500.94739023595935</v>
      </c>
    </row>
    <row r="6" spans="1:9" s="332" customFormat="1" outlineLevel="1">
      <c r="A6" s="333">
        <v>2001</v>
      </c>
      <c r="B6" s="129">
        <v>275814.90000000002</v>
      </c>
      <c r="C6" s="129">
        <v>583.79999999999995</v>
      </c>
      <c r="D6" s="129">
        <v>2263.4</v>
      </c>
      <c r="E6" s="129">
        <v>6491.3</v>
      </c>
      <c r="F6" s="169">
        <f>'18F'!L6/'21F'!B6*1000</f>
        <v>925.81437768590445</v>
      </c>
      <c r="G6" s="169">
        <f>'18F'!N6/'21F'!C6*1000</f>
        <v>1530.1473107228503</v>
      </c>
      <c r="H6" s="169">
        <f>'18F'!O6/'21F'!D6*1000</f>
        <v>1154.4137138817707</v>
      </c>
      <c r="I6" s="169">
        <f>'18F'!S6/'21F'!E6*1000</f>
        <v>518.06263768428505</v>
      </c>
    </row>
    <row r="7" spans="1:9" s="332" customFormat="1" outlineLevel="1">
      <c r="A7" s="333">
        <v>2002</v>
      </c>
      <c r="B7" s="129">
        <v>277818.8</v>
      </c>
      <c r="C7" s="129">
        <v>614.6</v>
      </c>
      <c r="D7" s="129">
        <v>2099.3000000000002</v>
      </c>
      <c r="E7" s="129">
        <v>6243.3</v>
      </c>
      <c r="F7" s="169">
        <f>'18F'!L7/'21F'!B7*1000</f>
        <v>942.56904140396546</v>
      </c>
      <c r="G7" s="169">
        <f>'18F'!N7/'21F'!C7*1000</f>
        <v>1479.0107386918321</v>
      </c>
      <c r="H7" s="169">
        <f>'18F'!O7/'21F'!D7*1000</f>
        <v>1361.0251036059637</v>
      </c>
      <c r="I7" s="169">
        <f>'18F'!S7/'21F'!E7*1000</f>
        <v>561.46589143561903</v>
      </c>
    </row>
    <row r="8" spans="1:9" s="332" customFormat="1" outlineLevel="1">
      <c r="A8" s="333">
        <v>2003</v>
      </c>
      <c r="B8" s="129">
        <v>281139.09999999998</v>
      </c>
      <c r="C8" s="129">
        <v>568</v>
      </c>
      <c r="D8" s="129">
        <v>2011.2</v>
      </c>
      <c r="E8" s="129">
        <v>6459.5</v>
      </c>
      <c r="F8" s="169">
        <f>'18F'!L8/'21F'!B8*1000</f>
        <v>942.64618475338375</v>
      </c>
      <c r="G8" s="169">
        <f>'18F'!N8/'21F'!C8*1000</f>
        <v>1489.9647887323943</v>
      </c>
      <c r="H8" s="169">
        <f>'18F'!O8/'21F'!D8*1000</f>
        <v>1377.1380270485281</v>
      </c>
      <c r="I8" s="169">
        <f>'18F'!S8/'21F'!E8*1000</f>
        <v>519.00301880950542</v>
      </c>
    </row>
    <row r="9" spans="1:9" s="332" customFormat="1" outlineLevel="1">
      <c r="A9" s="333">
        <v>2004</v>
      </c>
      <c r="B9" s="129">
        <v>286935.5</v>
      </c>
      <c r="C9" s="129">
        <v>530.6</v>
      </c>
      <c r="D9" s="129">
        <v>2035.3</v>
      </c>
      <c r="E9" s="129">
        <v>5975.3</v>
      </c>
      <c r="F9" s="169">
        <f>'18F'!L9/'21F'!B9*1000</f>
        <v>944.1240278738602</v>
      </c>
      <c r="G9" s="169">
        <f>'18F'!N9/'21F'!C9*1000</f>
        <v>1816.2457595175274</v>
      </c>
      <c r="H9" s="169">
        <f>'18F'!O9/'21F'!D9*1000</f>
        <v>1274.6032525917553</v>
      </c>
      <c r="I9" s="169">
        <f>'18F'!S9/'21F'!E9*1000</f>
        <v>523.40468261007811</v>
      </c>
    </row>
    <row r="10" spans="1:9" s="332" customFormat="1" outlineLevel="1">
      <c r="A10" s="333">
        <v>2005</v>
      </c>
      <c r="B10" s="129">
        <v>292290.2</v>
      </c>
      <c r="C10" s="129">
        <v>514.4</v>
      </c>
      <c r="D10" s="129">
        <v>2056.1</v>
      </c>
      <c r="E10" s="129">
        <v>5545.7</v>
      </c>
      <c r="F10" s="169">
        <f>'18F'!L10/'21F'!B10*1000</f>
        <v>942.34018109399483</v>
      </c>
      <c r="G10" s="169">
        <f>'18F'!N10/'21F'!C10*1000</f>
        <v>2021.1897356143083</v>
      </c>
      <c r="H10" s="169">
        <f>'18F'!O10/'21F'!D10*1000</f>
        <v>1389.9129419775304</v>
      </c>
      <c r="I10" s="169">
        <f>'18F'!S10/'21F'!E10*1000</f>
        <v>598.06697080621018</v>
      </c>
    </row>
    <row r="11" spans="1:9" s="332" customFormat="1" outlineLevel="1">
      <c r="A11" s="333">
        <v>2006</v>
      </c>
      <c r="B11" s="129">
        <v>297601.09999999998</v>
      </c>
      <c r="C11" s="129">
        <v>495.7</v>
      </c>
      <c r="D11" s="129">
        <v>2102</v>
      </c>
      <c r="E11" s="129">
        <v>5173.6000000000004</v>
      </c>
      <c r="F11" s="169">
        <f>'18F'!L11/'21F'!B11*1000</f>
        <v>940.38160477229417</v>
      </c>
      <c r="G11" s="169">
        <f>'18F'!N11/'21F'!C11*1000</f>
        <v>1975.5900746419204</v>
      </c>
      <c r="H11" s="169">
        <f>'18F'!O11/'21F'!D11*1000</f>
        <v>1358.6108468125594</v>
      </c>
      <c r="I11" s="169">
        <f>'18F'!S11/'21F'!E11*1000</f>
        <v>611.4311117983608</v>
      </c>
    </row>
    <row r="12" spans="1:9">
      <c r="A12" s="260">
        <v>2007</v>
      </c>
      <c r="B12" s="129">
        <v>304175.3</v>
      </c>
      <c r="C12" s="129">
        <v>462.9</v>
      </c>
      <c r="D12" s="129">
        <v>2166.3000000000002</v>
      </c>
      <c r="E12" s="129">
        <v>4810</v>
      </c>
      <c r="F12" s="169">
        <f>'18F'!L12/'21F'!B12*1000</f>
        <v>938.04033397846581</v>
      </c>
      <c r="G12" s="169">
        <f>'18F'!N12/'21F'!C12*1000</f>
        <v>1880.5357528623895</v>
      </c>
      <c r="H12" s="169">
        <f>'18F'!O12/'21F'!D12*1000</f>
        <v>1183.0771361307297</v>
      </c>
      <c r="I12" s="169">
        <f>'18F'!S12/'21F'!E12*1000</f>
        <v>648.06652806652801</v>
      </c>
    </row>
    <row r="13" spans="1:9">
      <c r="A13" s="260">
        <v>2008</v>
      </c>
      <c r="B13" s="129">
        <v>311469.09999999998</v>
      </c>
      <c r="C13" s="129">
        <v>450.8</v>
      </c>
      <c r="D13" s="129">
        <v>2063.3000000000002</v>
      </c>
      <c r="E13" s="129">
        <v>4438</v>
      </c>
      <c r="F13" s="169">
        <f>'18F'!L13/'21F'!B13*1000</f>
        <v>932.93331505436674</v>
      </c>
      <c r="G13" s="169">
        <f>'18F'!N13/'21F'!C13*1000</f>
        <v>1917.9236912156168</v>
      </c>
      <c r="H13" s="169">
        <f>'18F'!O13/'21F'!D13*1000</f>
        <v>1184.9464450152666</v>
      </c>
      <c r="I13" s="169">
        <f>'18F'!S13/'21F'!E13*1000</f>
        <v>660.09463722397481</v>
      </c>
    </row>
    <row r="14" spans="1:9">
      <c r="A14" s="260">
        <v>2009</v>
      </c>
      <c r="B14" s="129">
        <v>314919</v>
      </c>
      <c r="C14" s="129">
        <v>425.3</v>
      </c>
      <c r="D14" s="129">
        <v>1956.1</v>
      </c>
      <c r="E14" s="129">
        <v>3987.6</v>
      </c>
      <c r="F14" s="169">
        <f>'18F'!L14/'21F'!B14*1000</f>
        <v>915.09245234488867</v>
      </c>
      <c r="G14" s="169">
        <f>'18F'!N14/'21F'!C14*1000</f>
        <v>1857.512344227604</v>
      </c>
      <c r="H14" s="169">
        <f>'18F'!O14/'21F'!D14*1000</f>
        <v>1090.1283165482339</v>
      </c>
      <c r="I14" s="169">
        <f>'18F'!S14/'21F'!E14*1000</f>
        <v>663.23101615006522</v>
      </c>
    </row>
    <row r="15" spans="1:9">
      <c r="A15" s="260">
        <v>2010</v>
      </c>
      <c r="B15" s="129">
        <v>319739.59999999998</v>
      </c>
      <c r="C15" s="129">
        <v>406.6</v>
      </c>
      <c r="D15" s="129">
        <v>1927</v>
      </c>
      <c r="E15" s="129">
        <v>3571.4</v>
      </c>
      <c r="F15" s="169">
        <f>'18F'!L15/'21F'!B15*1000</f>
        <v>919.77846972974248</v>
      </c>
      <c r="G15" s="169">
        <f>'18F'!N15/'21F'!C15*1000</f>
        <v>2142.6463354648304</v>
      </c>
      <c r="H15" s="169">
        <f>'18F'!O15/'21F'!D15*1000</f>
        <v>1151.7903476907111</v>
      </c>
      <c r="I15" s="169">
        <f>'18F'!S15/'21F'!E15*1000</f>
        <v>767.48613988911904</v>
      </c>
    </row>
    <row r="16" spans="1:9">
      <c r="A16" s="260">
        <v>2011</v>
      </c>
      <c r="B16" s="129">
        <v>325747.09999999998</v>
      </c>
      <c r="C16" s="129">
        <v>377.6</v>
      </c>
      <c r="D16" s="129">
        <v>1863.5</v>
      </c>
      <c r="E16" s="129">
        <v>3412.8</v>
      </c>
      <c r="F16" s="169">
        <f>'18F'!L16/'21F'!B16*1000</f>
        <v>920.98502181600395</v>
      </c>
      <c r="G16" s="169">
        <f>'18F'!N16/'21F'!C16*1000</f>
        <v>2385.8580508474574</v>
      </c>
      <c r="H16" s="169">
        <f>'18F'!O16/'21F'!D16*1000</f>
        <v>1195.7606654145427</v>
      </c>
      <c r="I16" s="169">
        <f>'18F'!S16/'21F'!E16*1000</f>
        <v>774.29090482887955</v>
      </c>
    </row>
    <row r="17" spans="1:9">
      <c r="A17" s="260">
        <v>2012</v>
      </c>
      <c r="B17" s="129">
        <v>334855</v>
      </c>
      <c r="C17" s="129">
        <v>357.4</v>
      </c>
      <c r="D17" s="129">
        <v>1805.8</v>
      </c>
      <c r="E17" s="129">
        <v>3334.8</v>
      </c>
      <c r="F17" s="169">
        <f>'18F'!L17/'21F'!B17*1000</f>
        <v>907.97808006450555</v>
      </c>
      <c r="G17" s="169">
        <f>'18F'!N17/'21F'!C17*1000</f>
        <v>2522.6636821488532</v>
      </c>
      <c r="H17" s="169">
        <f>'18F'!O17/'21F'!D17*1000</f>
        <v>1250.6368368590099</v>
      </c>
      <c r="I17" s="169">
        <f>'18F'!S17/'21F'!E17*1000</f>
        <v>739.05481588101225</v>
      </c>
    </row>
    <row r="18" spans="1:9">
      <c r="A18" s="260">
        <v>2013</v>
      </c>
      <c r="B18" s="129">
        <v>342603.8</v>
      </c>
      <c r="C18" s="129">
        <v>336.4</v>
      </c>
      <c r="D18" s="129">
        <v>1745.4</v>
      </c>
      <c r="E18" s="129">
        <v>3276.9</v>
      </c>
      <c r="F18" s="169">
        <f>'18F'!L18/'21F'!B18*1000</f>
        <v>897.19641171522335</v>
      </c>
      <c r="G18" s="169">
        <f>'18F'!N18/'21F'!C18*1000</f>
        <v>2726.218787158145</v>
      </c>
      <c r="H18" s="169">
        <f>'18F'!O18/'21F'!D18*1000</f>
        <v>1395.7832015583817</v>
      </c>
      <c r="I18" s="169">
        <f>'18F'!S18/'21F'!E18*1000</f>
        <v>749.42781287192156</v>
      </c>
    </row>
    <row r="19" spans="1:9">
      <c r="A19" s="265"/>
      <c r="B19" s="265"/>
      <c r="C19" s="265"/>
      <c r="D19" s="265"/>
      <c r="E19" s="265"/>
      <c r="F19" s="169"/>
      <c r="G19" s="169"/>
      <c r="H19" s="169"/>
      <c r="I19" s="169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1.5500151124254069</v>
      </c>
      <c r="C21" s="253">
        <f t="shared" ref="C21:I21" si="0">((C12/C5)^(1/7)-1)*100</f>
        <v>-3.279543299089438</v>
      </c>
      <c r="D21" s="253">
        <f t="shared" si="0"/>
        <v>-1.5376496133429618</v>
      </c>
      <c r="E21" s="253">
        <f t="shared" si="0"/>
        <v>-4.7362407842768022</v>
      </c>
      <c r="F21" s="253">
        <f t="shared" si="0"/>
        <v>0.25184333318739593</v>
      </c>
      <c r="G21" s="253">
        <f t="shared" si="0"/>
        <v>3.4553816131664528</v>
      </c>
      <c r="H21" s="253">
        <f t="shared" si="0"/>
        <v>2.4107860809832626</v>
      </c>
      <c r="I21" s="253">
        <f t="shared" si="0"/>
        <v>3.7469536472708898</v>
      </c>
    </row>
    <row r="22" spans="1:9">
      <c r="A22" s="260" t="s">
        <v>368</v>
      </c>
      <c r="B22" s="253">
        <f>((B15/B12)^(1/3)-1)*100</f>
        <v>1.6773364219749176</v>
      </c>
      <c r="C22" s="253">
        <f t="shared" ref="C22:I22" si="1">((C15/C12)^(1/3)-1)*100</f>
        <v>-4.2306078017151023</v>
      </c>
      <c r="D22" s="253">
        <f t="shared" si="1"/>
        <v>-3.8267324699997718</v>
      </c>
      <c r="E22" s="253">
        <f t="shared" si="1"/>
        <v>-9.4480502371148027</v>
      </c>
      <c r="F22" s="253">
        <f t="shared" si="1"/>
        <v>-0.65319404494307287</v>
      </c>
      <c r="G22" s="253">
        <f t="shared" si="1"/>
        <v>4.4454757839146541</v>
      </c>
      <c r="H22" s="253">
        <f t="shared" si="1"/>
        <v>-0.88939562974772457</v>
      </c>
      <c r="I22" s="253">
        <f t="shared" si="1"/>
        <v>5.7995084671026653</v>
      </c>
    </row>
    <row r="23" spans="1:9">
      <c r="A23" s="260" t="s">
        <v>392</v>
      </c>
      <c r="B23" s="253">
        <f>((B18/B15)^(1/3)-1)*100</f>
        <v>2.3289652998482735</v>
      </c>
      <c r="C23" s="253">
        <f t="shared" ref="C23:I23" si="2">((C18/C15)^(1/3)-1)*100</f>
        <v>-6.1222070327627058</v>
      </c>
      <c r="D23" s="253">
        <f t="shared" si="2"/>
        <v>-3.2455194505351503</v>
      </c>
      <c r="E23" s="253">
        <f t="shared" si="2"/>
        <v>-2.8279053107844399</v>
      </c>
      <c r="F23" s="253">
        <f t="shared" si="2"/>
        <v>-0.82517802888888436</v>
      </c>
      <c r="G23" s="253">
        <f t="shared" si="2"/>
        <v>8.3602682041614464</v>
      </c>
      <c r="H23" s="253">
        <f t="shared" si="2"/>
        <v>6.6141488712103236</v>
      </c>
      <c r="I23" s="253">
        <f t="shared" si="2"/>
        <v>-0.79053938187820805</v>
      </c>
    </row>
    <row r="24" spans="1:9">
      <c r="A24" s="285" t="s">
        <v>69</v>
      </c>
      <c r="B24" s="253">
        <f>IFERROR(((B18/B12)^(1/6)-1)*100,"n.a.")</f>
        <v>2.0026305077730289</v>
      </c>
      <c r="C24" s="253">
        <f t="shared" ref="C24:I24" si="3">IFERROR(((C18/C12)^(1/6)-1)*100,"n.a.")</f>
        <v>-5.1811243823850166</v>
      </c>
      <c r="D24" s="253">
        <f t="shared" si="3"/>
        <v>-3.5365637010069673</v>
      </c>
      <c r="E24" s="253">
        <f t="shared" si="3"/>
        <v>-6.1963612824525232</v>
      </c>
      <c r="F24" s="253">
        <f t="shared" si="3"/>
        <v>-0.73922328537171511</v>
      </c>
      <c r="G24" s="253">
        <f t="shared" si="3"/>
        <v>6.3848662576413862</v>
      </c>
      <c r="H24" s="253">
        <f t="shared" si="3"/>
        <v>2.7939333280213807</v>
      </c>
      <c r="I24" s="253">
        <f t="shared" si="3"/>
        <v>2.4515113050250115</v>
      </c>
    </row>
    <row r="25" spans="1:9" s="352" customFormat="1">
      <c r="A25" s="355" t="s">
        <v>69</v>
      </c>
      <c r="B25" s="253">
        <f>((B18/B5)^(1/13)-1)*100</f>
        <v>1.7586644218834602</v>
      </c>
      <c r="C25" s="253">
        <f t="shared" ref="C25:I25" si="4">((C18/C5)^(1/13)-1)*100</f>
        <v>-4.1618891610738284</v>
      </c>
      <c r="D25" s="253">
        <f t="shared" si="4"/>
        <v>-2.4653210850579588</v>
      </c>
      <c r="E25" s="253">
        <f t="shared" si="4"/>
        <v>-5.4129455056586622</v>
      </c>
      <c r="F25" s="253">
        <f t="shared" si="4"/>
        <v>-0.20679567554326983</v>
      </c>
      <c r="G25" s="253">
        <f t="shared" si="4"/>
        <v>4.797290788289299</v>
      </c>
      <c r="H25" s="253">
        <f t="shared" si="4"/>
        <v>2.5874454905547406</v>
      </c>
      <c r="I25" s="253">
        <f t="shared" si="4"/>
        <v>3.1470342202769563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418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265" t="s">
        <v>413</v>
      </c>
      <c r="B33" s="265"/>
      <c r="C33" s="265"/>
      <c r="D33" s="265"/>
      <c r="E33" s="265"/>
      <c r="F33" s="265"/>
      <c r="G33" s="265"/>
      <c r="H33" s="265"/>
      <c r="I33" s="265"/>
    </row>
  </sheetData>
  <mergeCells count="9">
    <mergeCell ref="A30:I30"/>
    <mergeCell ref="A31:I31"/>
    <mergeCell ref="A32:I32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1.5703125" style="266" customWidth="1"/>
    <col min="2" max="9" width="14.28515625" style="266" customWidth="1"/>
    <col min="10" max="16384" width="9.140625" style="266"/>
  </cols>
  <sheetData>
    <row r="1" spans="1:9">
      <c r="A1" s="471" t="s">
        <v>596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474551.7</v>
      </c>
      <c r="C5" s="129">
        <v>365.8</v>
      </c>
      <c r="D5" s="129">
        <v>1288.4000000000001</v>
      </c>
      <c r="E5" s="129">
        <v>4980.7</v>
      </c>
      <c r="F5" s="169">
        <f>'18G'!L5/'21G'!B5*1000</f>
        <v>1014.5318202421358</v>
      </c>
      <c r="G5" s="169">
        <f>'18G'!N5/'21G'!C5*1000</f>
        <v>2248.2230727173314</v>
      </c>
      <c r="H5" s="169">
        <f>'18G'!O5/'21G'!D5*1000</f>
        <v>1232.4588637069235</v>
      </c>
      <c r="I5" s="169">
        <f>'18G'!S5/'21G'!E5*1000</f>
        <v>767.42224988455439</v>
      </c>
    </row>
    <row r="6" spans="1:9" s="332" customFormat="1" outlineLevel="1">
      <c r="A6" s="333">
        <v>2001</v>
      </c>
      <c r="B6" s="129">
        <v>481220.2</v>
      </c>
      <c r="C6" s="129">
        <v>349.4</v>
      </c>
      <c r="D6" s="129">
        <v>1222.3</v>
      </c>
      <c r="E6" s="129">
        <v>4800.3999999999996</v>
      </c>
      <c r="F6" s="169">
        <f>'18G'!L6/'21G'!B6*1000</f>
        <v>1015.2053051804558</v>
      </c>
      <c r="G6" s="169">
        <f>'18G'!N6/'21G'!C6*1000</f>
        <v>2173.4401831711507</v>
      </c>
      <c r="H6" s="169">
        <f>'18G'!O6/'21G'!D6*1000</f>
        <v>1306.4714063650495</v>
      </c>
      <c r="I6" s="169">
        <f>'18G'!S6/'21G'!E6*1000</f>
        <v>789.89250895758698</v>
      </c>
    </row>
    <row r="7" spans="1:9" s="332" customFormat="1" outlineLevel="1">
      <c r="A7" s="333">
        <v>2002</v>
      </c>
      <c r="B7" s="129">
        <v>484900.5</v>
      </c>
      <c r="C7" s="129">
        <v>350.8</v>
      </c>
      <c r="D7" s="129">
        <v>1170.2</v>
      </c>
      <c r="E7" s="129">
        <v>4508.6000000000004</v>
      </c>
      <c r="F7" s="169">
        <f>'18G'!L7/'21G'!B7*1000</f>
        <v>1034.0958609034224</v>
      </c>
      <c r="G7" s="169">
        <f>'18G'!N7/'21G'!C7*1000</f>
        <v>2218.6431014823256</v>
      </c>
      <c r="H7" s="169">
        <f>'18G'!O7/'21G'!D7*1000</f>
        <v>1493.7617501281832</v>
      </c>
      <c r="I7" s="169">
        <f>'18G'!S7/'21G'!E7*1000</f>
        <v>873.39750698664773</v>
      </c>
    </row>
    <row r="8" spans="1:9" s="332" customFormat="1" outlineLevel="1">
      <c r="A8" s="333">
        <v>2003</v>
      </c>
      <c r="B8" s="129">
        <v>491687.7</v>
      </c>
      <c r="C8" s="129">
        <v>350.1</v>
      </c>
      <c r="D8" s="129">
        <v>1115.5999999999999</v>
      </c>
      <c r="E8" s="129">
        <v>4356.8</v>
      </c>
      <c r="F8" s="169">
        <f>'18G'!L8/'21G'!B8*1000</f>
        <v>1037.0218738439055</v>
      </c>
      <c r="G8" s="169">
        <f>'18G'!N8/'21G'!C8*1000</f>
        <v>2095.4013139103113</v>
      </c>
      <c r="H8" s="169">
        <f>'18G'!O8/'21G'!D8*1000</f>
        <v>1601.0218716385803</v>
      </c>
      <c r="I8" s="169">
        <f>'18G'!S8/'21G'!E8*1000</f>
        <v>931.2339331619537</v>
      </c>
    </row>
    <row r="9" spans="1:9" s="332" customFormat="1" outlineLevel="1">
      <c r="A9" s="333">
        <v>2004</v>
      </c>
      <c r="B9" s="129">
        <v>501503.4</v>
      </c>
      <c r="C9" s="129">
        <v>335.9</v>
      </c>
      <c r="D9" s="129">
        <v>1138</v>
      </c>
      <c r="E9" s="129">
        <v>4153.8999999999996</v>
      </c>
      <c r="F9" s="169">
        <f>'18G'!L9/'21G'!B9*1000</f>
        <v>1043.6272216698831</v>
      </c>
      <c r="G9" s="169">
        <f>'18G'!N9/'21G'!C9*1000</f>
        <v>2050.3125930336414</v>
      </c>
      <c r="H9" s="169">
        <f>'18G'!O9/'21G'!D9*1000</f>
        <v>1563.7082601054481</v>
      </c>
      <c r="I9" s="169">
        <f>'18G'!S9/'21G'!E9*1000</f>
        <v>970.942969257806</v>
      </c>
    </row>
    <row r="10" spans="1:9" s="332" customFormat="1" outlineLevel="1">
      <c r="A10" s="333">
        <v>2005</v>
      </c>
      <c r="B10" s="129">
        <v>514137.3</v>
      </c>
      <c r="C10" s="129">
        <v>326.7</v>
      </c>
      <c r="D10" s="129">
        <v>1180.4000000000001</v>
      </c>
      <c r="E10" s="129">
        <v>3924</v>
      </c>
      <c r="F10" s="169">
        <f>'18G'!L10/'21G'!B10*1000</f>
        <v>1045.4687882011285</v>
      </c>
      <c r="G10" s="169">
        <f>'18G'!N10/'21G'!C10*1000</f>
        <v>2208.1420263238447</v>
      </c>
      <c r="H10" s="169">
        <f>'18G'!O10/'21G'!D10*1000</f>
        <v>1535.4964418841071</v>
      </c>
      <c r="I10" s="169">
        <f>'18G'!S10/'21G'!E10*1000</f>
        <v>975.8409785932721</v>
      </c>
    </row>
    <row r="11" spans="1:9" s="332" customFormat="1" outlineLevel="1">
      <c r="A11" s="333">
        <v>2006</v>
      </c>
      <c r="B11" s="129">
        <v>528344.5</v>
      </c>
      <c r="C11" s="129">
        <v>317.8</v>
      </c>
      <c r="D11" s="129">
        <v>1200.9000000000001</v>
      </c>
      <c r="E11" s="129">
        <v>3689</v>
      </c>
      <c r="F11" s="169">
        <f>'18G'!L11/'21G'!B11*1000</f>
        <v>1038.3673909731244</v>
      </c>
      <c r="G11" s="169">
        <f>'18G'!N11/'21G'!C11*1000</f>
        <v>1934.5500314663309</v>
      </c>
      <c r="H11" s="169">
        <f>'18G'!O11/'21G'!D11*1000</f>
        <v>1528.4370055791489</v>
      </c>
      <c r="I11" s="169">
        <f>'18G'!S11/'21G'!E11*1000</f>
        <v>894.52426131743027</v>
      </c>
    </row>
    <row r="12" spans="1:9">
      <c r="A12" s="260">
        <v>2007</v>
      </c>
      <c r="B12" s="129">
        <v>539562.5</v>
      </c>
      <c r="C12" s="129">
        <v>299.89999999999998</v>
      </c>
      <c r="D12" s="129">
        <v>1178.8</v>
      </c>
      <c r="E12" s="129">
        <v>3485.1</v>
      </c>
      <c r="F12" s="169">
        <f>'18G'!L12/'21G'!B12*1000</f>
        <v>1032.5165295957372</v>
      </c>
      <c r="G12" s="169">
        <f>'18G'!N12/'21G'!C12*1000</f>
        <v>1768.5895298432813</v>
      </c>
      <c r="H12" s="169">
        <f>'18G'!O12/'21G'!D12*1000</f>
        <v>1391.7543264336614</v>
      </c>
      <c r="I12" s="169">
        <f>'18G'!S12/'21G'!E12*1000</f>
        <v>896.33009095865259</v>
      </c>
    </row>
    <row r="13" spans="1:9">
      <c r="A13" s="260">
        <v>2008</v>
      </c>
      <c r="B13" s="129">
        <v>548986</v>
      </c>
      <c r="C13" s="129">
        <v>285.60000000000002</v>
      </c>
      <c r="D13" s="129">
        <v>1146.8</v>
      </c>
      <c r="E13" s="129">
        <v>3299.9</v>
      </c>
      <c r="F13" s="169">
        <f>'18G'!L13/'21G'!B13*1000</f>
        <v>1013.1748350595462</v>
      </c>
      <c r="G13" s="169">
        <f>'18G'!N13/'21G'!C13*1000</f>
        <v>1743.6974789915964</v>
      </c>
      <c r="H13" s="169">
        <f>'18G'!O13/'21G'!D13*1000</f>
        <v>1263.9518660620859</v>
      </c>
      <c r="I13" s="169">
        <f>'18G'!S13/'21G'!E13*1000</f>
        <v>885.36016242916446</v>
      </c>
    </row>
    <row r="14" spans="1:9">
      <c r="A14" s="260">
        <v>2009</v>
      </c>
      <c r="B14" s="129">
        <v>550936</v>
      </c>
      <c r="C14" s="129">
        <v>275.5</v>
      </c>
      <c r="D14" s="129">
        <v>1045.0999999999999</v>
      </c>
      <c r="E14" s="129">
        <v>3014.1</v>
      </c>
      <c r="F14" s="169">
        <f>'18G'!L14/'21G'!B14*1000</f>
        <v>977.41625161543277</v>
      </c>
      <c r="G14" s="169">
        <f>'18G'!N14/'21G'!C14*1000</f>
        <v>1409.4373865698731</v>
      </c>
      <c r="H14" s="169">
        <f>'18G'!O14/'21G'!D14*1000</f>
        <v>1004.2101234331644</v>
      </c>
      <c r="I14" s="169">
        <f>'18G'!S14/'21G'!E14*1000</f>
        <v>775.52171460800901</v>
      </c>
    </row>
    <row r="15" spans="1:9">
      <c r="A15" s="260">
        <v>2010</v>
      </c>
      <c r="B15" s="129">
        <v>561565.9</v>
      </c>
      <c r="C15" s="129">
        <v>250.8</v>
      </c>
      <c r="D15" s="129">
        <v>988.3</v>
      </c>
      <c r="E15" s="129">
        <v>2769.7</v>
      </c>
      <c r="F15" s="169">
        <f>'18G'!L15/'21G'!B15*1000</f>
        <v>991.80096227352828</v>
      </c>
      <c r="G15" s="169">
        <f>'18G'!N15/'21G'!C15*1000</f>
        <v>1596.4912280701753</v>
      </c>
      <c r="H15" s="169">
        <f>'18G'!O15/'21G'!D15*1000</f>
        <v>1105.4335728017809</v>
      </c>
      <c r="I15" s="169">
        <f>'18G'!S15/'21G'!E15*1000</f>
        <v>900.24190345524789</v>
      </c>
    </row>
    <row r="16" spans="1:9">
      <c r="A16" s="260">
        <v>2011</v>
      </c>
      <c r="B16" s="129">
        <v>571528.4</v>
      </c>
      <c r="C16" s="129">
        <v>243.6</v>
      </c>
      <c r="D16" s="129">
        <v>946.3</v>
      </c>
      <c r="E16" s="129">
        <v>2583.4</v>
      </c>
      <c r="F16" s="169">
        <f>'18G'!L16/'21G'!B16*1000</f>
        <v>998.2137370601356</v>
      </c>
      <c r="G16" s="169">
        <f>'18G'!N16/'21G'!C16*1000</f>
        <v>1613.3004926108374</v>
      </c>
      <c r="H16" s="169">
        <f>'18G'!O16/'21G'!D16*1000</f>
        <v>1094.5788861883123</v>
      </c>
      <c r="I16" s="169">
        <f>'18G'!S16/'21G'!E16*1000</f>
        <v>938.68545327862512</v>
      </c>
    </row>
    <row r="17" spans="1:9">
      <c r="A17" s="260">
        <v>2012</v>
      </c>
      <c r="B17" s="129">
        <v>579592.19999999995</v>
      </c>
      <c r="C17" s="129">
        <v>247.8</v>
      </c>
      <c r="D17" s="129">
        <v>942.2</v>
      </c>
      <c r="E17" s="129">
        <v>2468.1</v>
      </c>
      <c r="F17" s="169">
        <f>'18G'!L17/'21G'!B17*1000</f>
        <v>1000.0726372784177</v>
      </c>
      <c r="G17" s="169">
        <f>'18G'!N17/'21G'!C17*1000</f>
        <v>1368.0387409200966</v>
      </c>
      <c r="H17" s="169">
        <f>'18G'!O17/'21G'!D17*1000</f>
        <v>1168.4355763107621</v>
      </c>
      <c r="I17" s="169">
        <f>'18G'!S17/'21G'!E17*1000</f>
        <v>948.62444795591762</v>
      </c>
    </row>
    <row r="18" spans="1:9">
      <c r="A18" s="260">
        <v>2013</v>
      </c>
      <c r="B18" s="129">
        <v>588082.19999999995</v>
      </c>
      <c r="C18" s="129">
        <v>241.9</v>
      </c>
      <c r="D18" s="129">
        <v>897.7</v>
      </c>
      <c r="E18" s="129">
        <v>2409.6999999999998</v>
      </c>
      <c r="F18" s="169">
        <f>'18G'!L18/'21G'!B18*1000</f>
        <v>997.94552530241526</v>
      </c>
      <c r="G18" s="169">
        <f>'18G'!N18/'21G'!C18*1000</f>
        <v>1556.8416701116164</v>
      </c>
      <c r="H18" s="169">
        <f>'18G'!O18/'21G'!D18*1000</f>
        <v>1281.6085551966135</v>
      </c>
      <c r="I18" s="169">
        <f>'18G'!S18/'21G'!E18*1000</f>
        <v>931.48524712619826</v>
      </c>
    </row>
    <row r="19" spans="1:9">
      <c r="A19" s="211"/>
      <c r="B19" s="169"/>
      <c r="C19" s="169"/>
      <c r="D19" s="169"/>
      <c r="E19" s="169"/>
      <c r="F19" s="169"/>
      <c r="G19" s="169"/>
      <c r="H19" s="169"/>
      <c r="I19" s="169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1.8510382975326367</v>
      </c>
      <c r="C21" s="253">
        <f t="shared" ref="C21:I21" si="0">((C12/C5)^(1/7)-1)*100</f>
        <v>-2.7977967086075362</v>
      </c>
      <c r="D21" s="253">
        <f t="shared" si="0"/>
        <v>-1.262028303185514</v>
      </c>
      <c r="E21" s="253">
        <f t="shared" si="0"/>
        <v>-4.9731335197977122</v>
      </c>
      <c r="F21" s="253">
        <f t="shared" si="0"/>
        <v>0.2513411877487437</v>
      </c>
      <c r="G21" s="253">
        <f t="shared" si="0"/>
        <v>-3.3698794579937519</v>
      </c>
      <c r="H21" s="253">
        <f t="shared" si="0"/>
        <v>1.7516474663064274</v>
      </c>
      <c r="I21" s="253">
        <f t="shared" si="0"/>
        <v>2.2429496151709527</v>
      </c>
    </row>
    <row r="22" spans="1:9">
      <c r="A22" s="260" t="s">
        <v>368</v>
      </c>
      <c r="B22" s="253">
        <f>((B15/B12)^(1/3)-1)*100</f>
        <v>1.3412655188556499</v>
      </c>
      <c r="C22" s="253">
        <f t="shared" ref="C22:I22" si="1">((C15/C12)^(1/3)-1)*100</f>
        <v>-5.7856573908862234</v>
      </c>
      <c r="D22" s="253">
        <f t="shared" si="1"/>
        <v>-5.7062539708942257</v>
      </c>
      <c r="E22" s="253">
        <f t="shared" si="1"/>
        <v>-7.372666438257891</v>
      </c>
      <c r="F22" s="253">
        <f t="shared" si="1"/>
        <v>-1.3321108036728702</v>
      </c>
      <c r="G22" s="253">
        <f t="shared" si="1"/>
        <v>-3.3549023964340452</v>
      </c>
      <c r="H22" s="253">
        <f t="shared" si="1"/>
        <v>-7.3902546370115729</v>
      </c>
      <c r="I22" s="253">
        <f t="shared" si="1"/>
        <v>0.1452640263785332</v>
      </c>
    </row>
    <row r="23" spans="1:9">
      <c r="A23" s="260" t="s">
        <v>392</v>
      </c>
      <c r="B23" s="253">
        <f>((B18/B15)^(1/3)-1)*100</f>
        <v>1.549806934564546</v>
      </c>
      <c r="C23" s="253">
        <f t="shared" ref="C23:I23" si="2">((C18/C15)^(1/3)-1)*100</f>
        <v>-1.197156081426809</v>
      </c>
      <c r="D23" s="253">
        <f t="shared" si="2"/>
        <v>-3.1541957808611687</v>
      </c>
      <c r="E23" s="253">
        <f t="shared" si="2"/>
        <v>-4.5351673560641288</v>
      </c>
      <c r="F23" s="253">
        <f t="shared" si="2"/>
        <v>0.20608695693704604</v>
      </c>
      <c r="G23" s="253">
        <f t="shared" si="2"/>
        <v>-0.83479738824195904</v>
      </c>
      <c r="H23" s="253">
        <f t="shared" si="2"/>
        <v>5.0527879665230424</v>
      </c>
      <c r="I23" s="253">
        <f t="shared" si="2"/>
        <v>1.143719132449017</v>
      </c>
    </row>
    <row r="24" spans="1:9">
      <c r="A24" s="285" t="s">
        <v>69</v>
      </c>
      <c r="B24" s="253">
        <f>IFERROR(((B18/B12)^(1/6)-1)*100,"n.a.")</f>
        <v>1.4454826394169062</v>
      </c>
      <c r="C24" s="253">
        <f t="shared" ref="C24:I24" si="3">IFERROR(((C18/C12)^(1/6)-1)*100,"n.a.")</f>
        <v>-3.5186806283244887</v>
      </c>
      <c r="D24" s="253">
        <f t="shared" si="3"/>
        <v>-4.4387439020186488</v>
      </c>
      <c r="E24" s="253">
        <f t="shared" si="3"/>
        <v>-5.9646189100839848</v>
      </c>
      <c r="F24" s="253">
        <f t="shared" si="3"/>
        <v>-0.56598627901724985</v>
      </c>
      <c r="G24" s="253">
        <f t="shared" si="3"/>
        <v>-2.1029587510901782</v>
      </c>
      <c r="H24" s="253">
        <f t="shared" si="3"/>
        <v>-1.3647530380152872</v>
      </c>
      <c r="I24" s="253">
        <f t="shared" si="3"/>
        <v>0.64325341089177535</v>
      </c>
    </row>
    <row r="25" spans="1:9" s="352" customFormat="1">
      <c r="A25" s="355" t="s">
        <v>69</v>
      </c>
      <c r="B25" s="253">
        <f>((B18/B5)^(1/13)-1)*100</f>
        <v>1.6636576888794607</v>
      </c>
      <c r="C25" s="253">
        <f t="shared" ref="C25:I25" si="4">((C18/C5)^(1/13)-1)*100</f>
        <v>-3.1311792374827285</v>
      </c>
      <c r="D25" s="253">
        <f t="shared" si="4"/>
        <v>-2.7411186895520245</v>
      </c>
      <c r="E25" s="253">
        <f t="shared" si="4"/>
        <v>-5.4320345461284836</v>
      </c>
      <c r="F25" s="253">
        <f t="shared" si="4"/>
        <v>-0.12671836178397289</v>
      </c>
      <c r="G25" s="253">
        <f t="shared" si="4"/>
        <v>-2.7871971045639654</v>
      </c>
      <c r="H25" s="253">
        <f t="shared" si="4"/>
        <v>0.30125843264905416</v>
      </c>
      <c r="I25" s="253">
        <f t="shared" si="4"/>
        <v>1.5014929861077775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419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265" t="s">
        <v>413</v>
      </c>
      <c r="B33" s="265"/>
      <c r="C33" s="265"/>
      <c r="D33" s="265"/>
      <c r="E33" s="265"/>
      <c r="F33" s="265"/>
      <c r="G33" s="265"/>
      <c r="H33" s="265"/>
      <c r="I33" s="265"/>
    </row>
  </sheetData>
  <mergeCells count="9">
    <mergeCell ref="A30:I30"/>
    <mergeCell ref="A31:I31"/>
    <mergeCell ref="A32:I32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activeCell="L19" sqref="L19"/>
    </sheetView>
  </sheetViews>
  <sheetFormatPr defaultRowHeight="15" outlineLevelRow="1"/>
  <cols>
    <col min="1" max="1" width="13.140625" style="266" customWidth="1"/>
    <col min="2" max="9" width="14.28515625" style="266" customWidth="1"/>
    <col min="10" max="16384" width="9.140625" style="266"/>
  </cols>
  <sheetData>
    <row r="1" spans="1:9">
      <c r="A1" s="471" t="s">
        <v>597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50795.9</v>
      </c>
      <c r="C5" s="129">
        <v>48.5</v>
      </c>
      <c r="D5" s="129" t="s">
        <v>9</v>
      </c>
      <c r="E5" s="129" t="s">
        <v>9</v>
      </c>
      <c r="F5" s="169">
        <f>'18H'!L5/'21H'!B5*1000</f>
        <v>775.87561200805578</v>
      </c>
      <c r="G5" s="169">
        <f>'18H'!N5/'21H'!C5*1000</f>
        <v>1171.1340206185566</v>
      </c>
      <c r="H5" s="169" t="s">
        <v>10</v>
      </c>
      <c r="I5" s="169" t="s">
        <v>10</v>
      </c>
    </row>
    <row r="6" spans="1:9" s="332" customFormat="1" outlineLevel="1">
      <c r="A6" s="333">
        <v>2001</v>
      </c>
      <c r="B6" s="129">
        <v>51343</v>
      </c>
      <c r="C6" s="129">
        <v>43.3</v>
      </c>
      <c r="D6" s="129" t="s">
        <v>9</v>
      </c>
      <c r="E6" s="129" t="s">
        <v>9</v>
      </c>
      <c r="F6" s="169">
        <f>'18H'!L6/'21H'!B6*1000</f>
        <v>774.56323159924432</v>
      </c>
      <c r="G6" s="169">
        <f>'18H'!N6/'21H'!C6*1000</f>
        <v>1339.4919168591223</v>
      </c>
      <c r="H6" s="169" t="s">
        <v>10</v>
      </c>
      <c r="I6" s="169" t="s">
        <v>10</v>
      </c>
    </row>
    <row r="7" spans="1:9" s="332" customFormat="1" outlineLevel="1">
      <c r="A7" s="333">
        <v>2002</v>
      </c>
      <c r="B7" s="129">
        <v>51607.5</v>
      </c>
      <c r="C7" s="129">
        <v>40.200000000000003</v>
      </c>
      <c r="D7" s="129" t="s">
        <v>9</v>
      </c>
      <c r="E7" s="129" t="s">
        <v>9</v>
      </c>
      <c r="F7" s="169">
        <f>'18H'!L7/'21H'!B7*1000</f>
        <v>782.77963474301225</v>
      </c>
      <c r="G7" s="169">
        <f>'18H'!N7/'21H'!C7*1000</f>
        <v>1587.0646766169152</v>
      </c>
      <c r="H7" s="169" t="s">
        <v>10</v>
      </c>
      <c r="I7" s="169" t="s">
        <v>10</v>
      </c>
    </row>
    <row r="8" spans="1:9" s="332" customFormat="1" outlineLevel="1">
      <c r="A8" s="333">
        <v>2003</v>
      </c>
      <c r="B8" s="129">
        <v>51848</v>
      </c>
      <c r="C8" s="129">
        <v>39.700000000000003</v>
      </c>
      <c r="D8" s="129" t="s">
        <v>9</v>
      </c>
      <c r="E8" s="129" t="s">
        <v>9</v>
      </c>
      <c r="F8" s="169">
        <f>'18H'!L8/'21H'!B8*1000</f>
        <v>788.74980712852948</v>
      </c>
      <c r="G8" s="169">
        <f>'18H'!N8/'21H'!C8*1000</f>
        <v>1536.5239294710327</v>
      </c>
      <c r="H8" s="169" t="s">
        <v>10</v>
      </c>
      <c r="I8" s="169" t="s">
        <v>10</v>
      </c>
    </row>
    <row r="9" spans="1:9" s="332" customFormat="1" outlineLevel="1">
      <c r="A9" s="333">
        <v>2004</v>
      </c>
      <c r="B9" s="129">
        <v>52402.5</v>
      </c>
      <c r="C9" s="129">
        <v>40.299999999999997</v>
      </c>
      <c r="D9" s="129" t="s">
        <v>9</v>
      </c>
      <c r="E9" s="129" t="s">
        <v>9</v>
      </c>
      <c r="F9" s="169">
        <f>'18H'!L9/'21H'!B9*1000</f>
        <v>796.08988120795766</v>
      </c>
      <c r="G9" s="169">
        <f>'18H'!N9/'21H'!C9*1000</f>
        <v>1471.4640198511167</v>
      </c>
      <c r="H9" s="169" t="s">
        <v>10</v>
      </c>
      <c r="I9" s="169" t="s">
        <v>10</v>
      </c>
    </row>
    <row r="10" spans="1:9" s="332" customFormat="1" outlineLevel="1">
      <c r="A10" s="333">
        <v>2005</v>
      </c>
      <c r="B10" s="129">
        <v>52898.3</v>
      </c>
      <c r="C10" s="129">
        <v>38.1</v>
      </c>
      <c r="D10" s="129" t="s">
        <v>9</v>
      </c>
      <c r="E10" s="129" t="s">
        <v>9</v>
      </c>
      <c r="F10" s="169">
        <f>'18H'!L10/'21H'!B10*1000</f>
        <v>811.98261569842498</v>
      </c>
      <c r="G10" s="169">
        <f>'18H'!N10/'21H'!C10*1000</f>
        <v>1430.4461942257219</v>
      </c>
      <c r="H10" s="169" t="s">
        <v>10</v>
      </c>
      <c r="I10" s="169" t="s">
        <v>10</v>
      </c>
    </row>
    <row r="11" spans="1:9" s="332" customFormat="1" outlineLevel="1">
      <c r="A11" s="333">
        <v>2006</v>
      </c>
      <c r="B11" s="129">
        <v>53939.1</v>
      </c>
      <c r="C11" s="129">
        <v>36.5</v>
      </c>
      <c r="D11" s="129" t="s">
        <v>9</v>
      </c>
      <c r="E11" s="129" t="s">
        <v>9</v>
      </c>
      <c r="F11" s="169">
        <f>'18H'!L11/'21H'!B11*1000</f>
        <v>824.83949491185422</v>
      </c>
      <c r="G11" s="169">
        <f>'18H'!N11/'21H'!C11*1000</f>
        <v>1268.4931506849316</v>
      </c>
      <c r="H11" s="169" t="s">
        <v>10</v>
      </c>
      <c r="I11" s="169" t="s">
        <v>10</v>
      </c>
    </row>
    <row r="12" spans="1:9">
      <c r="A12" s="260">
        <v>2007</v>
      </c>
      <c r="B12" s="129">
        <v>55170.2</v>
      </c>
      <c r="C12" s="129">
        <v>33.700000000000003</v>
      </c>
      <c r="D12" s="129" t="s">
        <v>9</v>
      </c>
      <c r="E12" s="129" t="s">
        <v>9</v>
      </c>
      <c r="F12" s="169">
        <f>'18H'!L12/'21H'!B12*1000</f>
        <v>830.4102577115907</v>
      </c>
      <c r="G12" s="169">
        <f>'18H'!N12/'21H'!C12*1000</f>
        <v>1169.1394658753709</v>
      </c>
      <c r="H12" s="169" t="s">
        <v>10</v>
      </c>
      <c r="I12" s="169" t="s">
        <v>10</v>
      </c>
    </row>
    <row r="13" spans="1:9">
      <c r="A13" s="260">
        <v>2008</v>
      </c>
      <c r="B13" s="129">
        <v>56748.2</v>
      </c>
      <c r="C13" s="129">
        <v>32.700000000000003</v>
      </c>
      <c r="D13" s="129" t="s">
        <v>9</v>
      </c>
      <c r="E13" s="129" t="s">
        <v>9</v>
      </c>
      <c r="F13" s="169">
        <f>'18H'!L13/'21H'!B13*1000</f>
        <v>836.075857912674</v>
      </c>
      <c r="G13" s="169">
        <f>'18H'!N13/'21H'!C13*1000</f>
        <v>1064.2201834862383</v>
      </c>
      <c r="H13" s="169" t="s">
        <v>10</v>
      </c>
      <c r="I13" s="169" t="s">
        <v>10</v>
      </c>
    </row>
    <row r="14" spans="1:9">
      <c r="A14" s="260">
        <v>2009</v>
      </c>
      <c r="B14" s="129">
        <v>57412.6</v>
      </c>
      <c r="C14" s="129">
        <v>30.6</v>
      </c>
      <c r="D14" s="129" t="s">
        <v>9</v>
      </c>
      <c r="E14" s="129" t="s">
        <v>9</v>
      </c>
      <c r="F14" s="169">
        <f>'18H'!L14/'21H'!B14*1000</f>
        <v>823.37500827344525</v>
      </c>
      <c r="G14" s="169">
        <f>'18H'!N14/'21H'!C14*1000</f>
        <v>1032.6797385620916</v>
      </c>
      <c r="H14" s="169" t="s">
        <v>10</v>
      </c>
      <c r="I14" s="169" t="s">
        <v>10</v>
      </c>
    </row>
    <row r="15" spans="1:9">
      <c r="A15" s="260">
        <v>2010</v>
      </c>
      <c r="B15" s="129">
        <v>59835.3</v>
      </c>
      <c r="C15" s="129">
        <v>28</v>
      </c>
      <c r="D15" s="129" t="s">
        <v>9</v>
      </c>
      <c r="E15" s="129" t="s">
        <v>9</v>
      </c>
      <c r="F15" s="169">
        <f>'18H'!L15/'21H'!B15*1000</f>
        <v>810.8073327951895</v>
      </c>
      <c r="G15" s="169">
        <f>'18H'!N15/'21H'!C15*1000</f>
        <v>1032.1428571428571</v>
      </c>
      <c r="H15" s="169" t="s">
        <v>10</v>
      </c>
      <c r="I15" s="169" t="s">
        <v>10</v>
      </c>
    </row>
    <row r="16" spans="1:9">
      <c r="A16" s="260">
        <v>2011</v>
      </c>
      <c r="B16" s="129">
        <v>61706.6</v>
      </c>
      <c r="C16" s="129">
        <v>26.1</v>
      </c>
      <c r="D16" s="129" t="s">
        <v>9</v>
      </c>
      <c r="E16" s="129" t="s">
        <v>9</v>
      </c>
      <c r="F16" s="169">
        <f>'18H'!L16/'21H'!B16*1000</f>
        <v>802.45062926818196</v>
      </c>
      <c r="G16" s="169">
        <f>'18H'!N16/'21H'!C16*1000</f>
        <v>1145.5938697318006</v>
      </c>
      <c r="H16" s="169" t="s">
        <v>10</v>
      </c>
      <c r="I16" s="169" t="s">
        <v>10</v>
      </c>
    </row>
    <row r="17" spans="1:9">
      <c r="A17" s="260">
        <v>2012</v>
      </c>
      <c r="B17" s="129">
        <v>63752.5</v>
      </c>
      <c r="C17" s="129">
        <v>23.5</v>
      </c>
      <c r="D17" s="129" t="s">
        <v>9</v>
      </c>
      <c r="E17" s="129" t="s">
        <v>9</v>
      </c>
      <c r="F17" s="169">
        <f>'18H'!L17/'21H'!B17*1000</f>
        <v>801.62817144425708</v>
      </c>
      <c r="G17" s="169">
        <f>'18H'!N17/'21H'!C17*1000</f>
        <v>1127.6595744680851</v>
      </c>
      <c r="H17" s="169" t="s">
        <v>10</v>
      </c>
      <c r="I17" s="169" t="s">
        <v>10</v>
      </c>
    </row>
    <row r="18" spans="1:9">
      <c r="A18" s="260">
        <v>2013</v>
      </c>
      <c r="B18" s="129">
        <v>66183.3</v>
      </c>
      <c r="C18" s="129">
        <v>21.3</v>
      </c>
      <c r="D18" s="129" t="s">
        <v>9</v>
      </c>
      <c r="E18" s="129" t="s">
        <v>9</v>
      </c>
      <c r="F18" s="169">
        <f>'18H'!L18/'21H'!B18*1000</f>
        <v>790.14796784082989</v>
      </c>
      <c r="G18" s="169">
        <f>'18H'!N18/'21H'!C18*1000</f>
        <v>1375.5868544600939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1.1870951297049182</v>
      </c>
      <c r="C21" s="253">
        <f t="shared" ref="C21:G21" si="0">((C12/C5)^(1/7)-1)*100</f>
        <v>-5.0680078584611321</v>
      </c>
      <c r="D21" s="253" t="s">
        <v>9</v>
      </c>
      <c r="E21" s="253" t="s">
        <v>9</v>
      </c>
      <c r="F21" s="253">
        <f t="shared" si="0"/>
        <v>0.97511862132262372</v>
      </c>
      <c r="G21" s="253">
        <f t="shared" si="0"/>
        <v>-2.4347733145324568E-2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2.7426992964707519</v>
      </c>
      <c r="C22" s="253">
        <f t="shared" ref="C22:G22" si="1">((C15/C12)^(1/3)-1)*100</f>
        <v>-5.9895690568656956</v>
      </c>
      <c r="D22" s="253" t="str">
        <f>IFERROR(((D16/D3)^(1/6)-1)*100,"n.a.")</f>
        <v>n.a.</v>
      </c>
      <c r="E22" s="253" t="str">
        <f>IFERROR(((E16/E3)^(1/6)-1)*100,"n.a.")</f>
        <v>n.a.</v>
      </c>
      <c r="F22" s="253">
        <f t="shared" si="1"/>
        <v>-0.79315137721744922</v>
      </c>
      <c r="G22" s="253">
        <f t="shared" si="1"/>
        <v>-4.0692521436785034</v>
      </c>
      <c r="H22" s="253" t="str">
        <f>IFERROR(((H16/H3)^(1/6)-1)*100,"n.a.")</f>
        <v>n.a.</v>
      </c>
      <c r="I22" s="253" t="str">
        <f>IFERROR(((I16/I3)^(1/6)-1)*100,"n.a.")</f>
        <v>n.a.</v>
      </c>
    </row>
    <row r="23" spans="1:9">
      <c r="A23" s="260" t="s">
        <v>392</v>
      </c>
      <c r="B23" s="253">
        <f>((B18/B15)^(1/3)-1)*100</f>
        <v>3.4182016975430995</v>
      </c>
      <c r="C23" s="253">
        <f t="shared" ref="C23:G23" si="2">((C18/C15)^(1/3)-1)*100</f>
        <v>-8.7133666287234952</v>
      </c>
      <c r="D23" s="253" t="str">
        <f>IFERROR(((D17/D4)^(1/6)-1)*100,"n.a.")</f>
        <v>n.a.</v>
      </c>
      <c r="E23" s="253" t="str">
        <f>IFERROR(((E17/E4)^(1/6)-1)*100,"n.a.")</f>
        <v>n.a.</v>
      </c>
      <c r="F23" s="253">
        <f t="shared" si="2"/>
        <v>-0.85665063945190578</v>
      </c>
      <c r="G23" s="253">
        <f t="shared" si="2"/>
        <v>10.048147228885206</v>
      </c>
      <c r="H23" s="253" t="str">
        <f>IFERROR(((H17/H4)^(1/6)-1)*100,"n.a.")</f>
        <v>n.a.</v>
      </c>
      <c r="I23" s="253" t="str">
        <f>IFERROR(((I17/I4)^(1/6)-1)*100,"n.a.")</f>
        <v>n.a.</v>
      </c>
    </row>
    <row r="24" spans="1:9">
      <c r="A24" s="285" t="s">
        <v>69</v>
      </c>
      <c r="B24" s="253">
        <f>IFERROR(((B18/B12)^(1/6)-1)*100,"n.a.")</f>
        <v>3.0798971613400061</v>
      </c>
      <c r="C24" s="253">
        <f t="shared" ref="C24:I24" si="3">IFERROR(((C18/C12)^(1/6)-1)*100,"n.a.")</f>
        <v>-7.361478085077322</v>
      </c>
      <c r="D24" s="253" t="str">
        <f t="shared" si="3"/>
        <v>n.a.</v>
      </c>
      <c r="E24" s="253" t="str">
        <f t="shared" si="3"/>
        <v>n.a.</v>
      </c>
      <c r="F24" s="253">
        <f t="shared" si="3"/>
        <v>-0.8249060904526262</v>
      </c>
      <c r="G24" s="253">
        <f t="shared" si="3"/>
        <v>2.7472679143807355</v>
      </c>
      <c r="H24" s="253" t="str">
        <f t="shared" si="3"/>
        <v>n.a.</v>
      </c>
      <c r="I24" s="253" t="str">
        <f t="shared" si="3"/>
        <v>n.a.</v>
      </c>
    </row>
    <row r="25" spans="1:9" s="352" customFormat="1">
      <c r="A25" s="355" t="s">
        <v>69</v>
      </c>
      <c r="B25" s="253">
        <f>((B18/B5)^(1/13)-1)*100</f>
        <v>2.0563381306857531</v>
      </c>
      <c r="C25" s="253">
        <f t="shared" ref="C25:G25" si="4">((C18/C5)^(1/13)-1)*100</f>
        <v>-6.1335042455176065</v>
      </c>
      <c r="D25" s="253" t="s">
        <v>9</v>
      </c>
      <c r="E25" s="253" t="s">
        <v>9</v>
      </c>
      <c r="F25" s="253">
        <f t="shared" si="4"/>
        <v>0.14031385140587105</v>
      </c>
      <c r="G25" s="253">
        <f t="shared" si="4"/>
        <v>1.2454450638981651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420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1" orientation="portrait" horizontalDpi="0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1.7109375" style="266" customWidth="1"/>
    <col min="2" max="9" width="14.28515625" style="266" customWidth="1"/>
    <col min="10" max="16384" width="9.140625" style="266"/>
  </cols>
  <sheetData>
    <row r="1" spans="1:9">
      <c r="A1" s="471" t="s">
        <v>598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62664.4</v>
      </c>
      <c r="C5" s="129">
        <v>52.7</v>
      </c>
      <c r="D5" s="129" t="s">
        <v>9</v>
      </c>
      <c r="E5" s="129" t="s">
        <v>9</v>
      </c>
      <c r="F5" s="169">
        <f>'18I'!L5/'21I'!B5*1000</f>
        <v>703.45044395222806</v>
      </c>
      <c r="G5" s="169">
        <f>'18I'!N5/'21I'!C5*1000</f>
        <v>4563.567362428842</v>
      </c>
      <c r="H5" s="169" t="s">
        <v>10</v>
      </c>
      <c r="I5" s="169" t="s">
        <v>10</v>
      </c>
    </row>
    <row r="6" spans="1:9" s="332" customFormat="1" outlineLevel="1">
      <c r="A6" s="333">
        <v>2001</v>
      </c>
      <c r="B6" s="129">
        <v>63139.4</v>
      </c>
      <c r="C6" s="129">
        <v>47.6</v>
      </c>
      <c r="D6" s="129" t="s">
        <v>9</v>
      </c>
      <c r="E6" s="129" t="s">
        <v>9</v>
      </c>
      <c r="F6" s="169">
        <f>'18I'!L6/'21I'!B6*1000</f>
        <v>687.79082474651318</v>
      </c>
      <c r="G6" s="169">
        <f>'18I'!N6/'21I'!C6*1000</f>
        <v>5245.7983193277314</v>
      </c>
      <c r="H6" s="169" t="s">
        <v>10</v>
      </c>
      <c r="I6" s="169" t="s">
        <v>10</v>
      </c>
    </row>
    <row r="7" spans="1:9" s="332" customFormat="1" outlineLevel="1">
      <c r="A7" s="333">
        <v>2002</v>
      </c>
      <c r="B7" s="129">
        <v>62915.199999999997</v>
      </c>
      <c r="C7" s="129">
        <v>44.3</v>
      </c>
      <c r="D7" s="129" t="s">
        <v>9</v>
      </c>
      <c r="E7" s="129" t="s">
        <v>9</v>
      </c>
      <c r="F7" s="169">
        <f>'18I'!L7/'21I'!B7*1000</f>
        <v>684.86152789786888</v>
      </c>
      <c r="G7" s="169">
        <f>'18I'!N7/'21I'!C7*1000</f>
        <v>6478.5553047404064</v>
      </c>
      <c r="H7" s="169" t="s">
        <v>10</v>
      </c>
      <c r="I7" s="169" t="s">
        <v>10</v>
      </c>
    </row>
    <row r="8" spans="1:9" s="332" customFormat="1" outlineLevel="1">
      <c r="A8" s="333">
        <v>2003</v>
      </c>
      <c r="B8" s="129">
        <v>63190.8</v>
      </c>
      <c r="C8" s="129">
        <v>45.4</v>
      </c>
      <c r="D8" s="129" t="s">
        <v>9</v>
      </c>
      <c r="E8" s="129" t="s">
        <v>9</v>
      </c>
      <c r="F8" s="169">
        <f>'18I'!L8/'21I'!B8*1000</f>
        <v>712.10207815061688</v>
      </c>
      <c r="G8" s="169">
        <f>'18I'!N8/'21I'!C8*1000</f>
        <v>5665.1982378854627</v>
      </c>
      <c r="H8" s="169" t="s">
        <v>10</v>
      </c>
      <c r="I8" s="169" t="s">
        <v>10</v>
      </c>
    </row>
    <row r="9" spans="1:9" s="332" customFormat="1" outlineLevel="1">
      <c r="A9" s="333">
        <v>2004</v>
      </c>
      <c r="B9" s="129">
        <v>63401.9</v>
      </c>
      <c r="C9" s="129">
        <v>48.3</v>
      </c>
      <c r="D9" s="129" t="s">
        <v>9</v>
      </c>
      <c r="E9" s="129" t="s">
        <v>9</v>
      </c>
      <c r="F9" s="169">
        <f>'18I'!L9/'21I'!B9*1000</f>
        <v>743.55184939252604</v>
      </c>
      <c r="G9" s="169">
        <f>'18I'!N9/'21I'!C9*1000</f>
        <v>2024.8447204968945</v>
      </c>
      <c r="H9" s="169" t="s">
        <v>10</v>
      </c>
      <c r="I9" s="169" t="s">
        <v>10</v>
      </c>
    </row>
    <row r="10" spans="1:9" s="332" customFormat="1" outlineLevel="1">
      <c r="A10" s="333">
        <v>2005</v>
      </c>
      <c r="B10" s="129">
        <v>64766.5</v>
      </c>
      <c r="C10" s="129">
        <v>50.3</v>
      </c>
      <c r="D10" s="129" t="s">
        <v>9</v>
      </c>
      <c r="E10" s="129" t="s">
        <v>9</v>
      </c>
      <c r="F10" s="169">
        <f>'18I'!L10/'21I'!B10*1000</f>
        <v>748.24330479491709</v>
      </c>
      <c r="G10" s="169">
        <f>'18I'!N10/'21I'!C10*1000</f>
        <v>1248.5089463220675</v>
      </c>
      <c r="H10" s="169" t="s">
        <v>10</v>
      </c>
      <c r="I10" s="169" t="s">
        <v>10</v>
      </c>
    </row>
    <row r="11" spans="1:9" s="332" customFormat="1" outlineLevel="1">
      <c r="A11" s="333">
        <v>2006</v>
      </c>
      <c r="B11" s="129">
        <v>66746.100000000006</v>
      </c>
      <c r="C11" s="129">
        <v>50.2</v>
      </c>
      <c r="D11" s="129" t="s">
        <v>9</v>
      </c>
      <c r="E11" s="129" t="s">
        <v>9</v>
      </c>
      <c r="F11" s="169">
        <f>'18I'!L11/'21I'!B11*1000</f>
        <v>716.3309916234806</v>
      </c>
      <c r="G11" s="169">
        <f>'18I'!N11/'21I'!C11*1000</f>
        <v>1587.6494023904381</v>
      </c>
      <c r="H11" s="169" t="s">
        <v>10</v>
      </c>
      <c r="I11" s="169" t="s">
        <v>10</v>
      </c>
    </row>
    <row r="12" spans="1:9">
      <c r="A12" s="260">
        <v>2007</v>
      </c>
      <c r="B12" s="129">
        <v>68690.899999999994</v>
      </c>
      <c r="C12" s="129">
        <v>42.7</v>
      </c>
      <c r="D12" s="129" t="s">
        <v>9</v>
      </c>
      <c r="E12" s="129" t="s">
        <v>9</v>
      </c>
      <c r="F12" s="169">
        <f>'18I'!L12/'21I'!B12*1000</f>
        <v>720.06335628154534</v>
      </c>
      <c r="G12" s="169">
        <f>'18I'!N12/'21I'!C12*1000</f>
        <v>1028.103044496487</v>
      </c>
      <c r="H12" s="169" t="s">
        <v>10</v>
      </c>
      <c r="I12" s="169" t="s">
        <v>10</v>
      </c>
    </row>
    <row r="13" spans="1:9">
      <c r="A13" s="260">
        <v>2008</v>
      </c>
      <c r="B13" s="129">
        <v>71919.3</v>
      </c>
      <c r="C13" s="129">
        <v>37.5</v>
      </c>
      <c r="D13" s="129" t="s">
        <v>9</v>
      </c>
      <c r="E13" s="129" t="s">
        <v>9</v>
      </c>
      <c r="F13" s="169">
        <f>'18I'!L13/'21I'!B13*1000</f>
        <v>723.91972669366919</v>
      </c>
      <c r="G13" s="169">
        <f>'18I'!N13/'21I'!C13*1000</f>
        <v>1021.3333333333333</v>
      </c>
      <c r="H13" s="169" t="s">
        <v>10</v>
      </c>
      <c r="I13" s="169" t="s">
        <v>10</v>
      </c>
    </row>
    <row r="14" spans="1:9">
      <c r="A14" s="260">
        <v>2009</v>
      </c>
      <c r="B14" s="129">
        <v>74863.100000000006</v>
      </c>
      <c r="C14" s="129">
        <v>32</v>
      </c>
      <c r="D14" s="129" t="s">
        <v>9</v>
      </c>
      <c r="E14" s="129" t="s">
        <v>9</v>
      </c>
      <c r="F14" s="169">
        <f>'18I'!L14/'21I'!B14*1000</f>
        <v>663.29606975933393</v>
      </c>
      <c r="G14" s="169">
        <f>'18I'!N14/'21I'!C14*1000</f>
        <v>1234.375</v>
      </c>
      <c r="H14" s="169" t="s">
        <v>10</v>
      </c>
      <c r="I14" s="169" t="s">
        <v>10</v>
      </c>
    </row>
    <row r="15" spans="1:9">
      <c r="A15" s="260">
        <v>2010</v>
      </c>
      <c r="B15" s="129">
        <v>79535.199999999997</v>
      </c>
      <c r="C15" s="129">
        <v>28.8</v>
      </c>
      <c r="D15" s="129" t="s">
        <v>9</v>
      </c>
      <c r="E15" s="129" t="s">
        <v>9</v>
      </c>
      <c r="F15" s="169">
        <f>'18I'!L15/'21I'!B15*1000</f>
        <v>651.9151268872148</v>
      </c>
      <c r="G15" s="169">
        <f>'18I'!N15/'21I'!C15*1000</f>
        <v>1527.7777777777776</v>
      </c>
      <c r="H15" s="169" t="s">
        <v>10</v>
      </c>
      <c r="I15" s="169" t="s">
        <v>10</v>
      </c>
    </row>
    <row r="16" spans="1:9">
      <c r="A16" s="260">
        <v>2011</v>
      </c>
      <c r="B16" s="129">
        <v>84651</v>
      </c>
      <c r="C16" s="129">
        <v>27.5</v>
      </c>
      <c r="D16" s="129" t="s">
        <v>9</v>
      </c>
      <c r="E16" s="129" t="s">
        <v>9</v>
      </c>
      <c r="F16" s="169">
        <f>'18I'!L16/'21I'!B16*1000</f>
        <v>647.99943296594256</v>
      </c>
      <c r="G16" s="169">
        <f>'18I'!N16/'21I'!C16*1000</f>
        <v>1574.5454545454545</v>
      </c>
      <c r="H16" s="169" t="s">
        <v>10</v>
      </c>
      <c r="I16" s="169" t="s">
        <v>10</v>
      </c>
    </row>
    <row r="17" spans="1:9">
      <c r="A17" s="260">
        <v>2012</v>
      </c>
      <c r="B17" s="129">
        <v>89105.5</v>
      </c>
      <c r="C17" s="129">
        <v>25.9</v>
      </c>
      <c r="D17" s="129" t="s">
        <v>9</v>
      </c>
      <c r="E17" s="129" t="s">
        <v>9</v>
      </c>
      <c r="F17" s="169">
        <f>'18I'!L17/'21I'!B17*1000</f>
        <v>633.57031833051838</v>
      </c>
      <c r="G17" s="169">
        <f>'18I'!N17/'21I'!C17*1000</f>
        <v>1822.3938223938226</v>
      </c>
      <c r="H17" s="169" t="s">
        <v>10</v>
      </c>
      <c r="I17" s="169" t="s">
        <v>10</v>
      </c>
    </row>
    <row r="18" spans="1:9">
      <c r="A18" s="260">
        <v>2013</v>
      </c>
      <c r="B18" s="129">
        <v>92166.9</v>
      </c>
      <c r="C18" s="129">
        <v>25.3</v>
      </c>
      <c r="D18" s="129" t="s">
        <v>9</v>
      </c>
      <c r="E18" s="129" t="s">
        <v>9</v>
      </c>
      <c r="F18" s="169">
        <f>'18I'!L18/'21I'!B18*1000</f>
        <v>643.11808252203343</v>
      </c>
      <c r="G18" s="169">
        <f>'18I'!N18/'21I'!C18*1000</f>
        <v>2130.4347826086955</v>
      </c>
      <c r="H18" s="169" t="s">
        <v>10</v>
      </c>
      <c r="I18" s="169" t="s">
        <v>10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1.3204017081260622</v>
      </c>
      <c r="C21" s="253">
        <f t="shared" ref="C21:G21" si="0">((C12/C5)^(1/7)-1)*100</f>
        <v>-2.9612211138254962</v>
      </c>
      <c r="D21" s="253" t="s">
        <v>9</v>
      </c>
      <c r="E21" s="253" t="s">
        <v>9</v>
      </c>
      <c r="F21" s="253">
        <f t="shared" si="0"/>
        <v>0.33401044795369206</v>
      </c>
      <c r="G21" s="253">
        <f t="shared" si="0"/>
        <v>-19.177334625454979</v>
      </c>
      <c r="H21" s="253" t="s">
        <v>9</v>
      </c>
      <c r="I21" s="253" t="s">
        <v>9</v>
      </c>
    </row>
    <row r="22" spans="1:9">
      <c r="A22" s="260" t="s">
        <v>368</v>
      </c>
      <c r="B22" s="253">
        <f>((B15/B12)^(1/3)-1)*100</f>
        <v>5.0074366423321637</v>
      </c>
      <c r="C22" s="253">
        <f t="shared" ref="C22:G22" si="1">((C15/C12)^(1/3)-1)*100</f>
        <v>-12.302299851560072</v>
      </c>
      <c r="D22" s="253" t="str">
        <f>IFERROR(((D16/D3)^(1/6)-1)*100,"n.a.")</f>
        <v>n.a.</v>
      </c>
      <c r="E22" s="253" t="str">
        <f>IFERROR(((E16/E3)^(1/6)-1)*100,"n.a.")</f>
        <v>n.a.</v>
      </c>
      <c r="F22" s="253">
        <f t="shared" si="1"/>
        <v>-3.2598441590550142</v>
      </c>
      <c r="G22" s="253">
        <f t="shared" si="1"/>
        <v>14.11459182379704</v>
      </c>
      <c r="H22" s="253" t="str">
        <f>IFERROR(((H16/H3)^(1/6)-1)*100,"n.a.")</f>
        <v>n.a.</v>
      </c>
      <c r="I22" s="253" t="str">
        <f>IFERROR(((I16/I3)^(1/6)-1)*100,"n.a.")</f>
        <v>n.a.</v>
      </c>
    </row>
    <row r="23" spans="1:9">
      <c r="A23" s="260" t="s">
        <v>392</v>
      </c>
      <c r="B23" s="253">
        <f>((B18/B15)^(1/3)-1)*100</f>
        <v>5.036087016152524</v>
      </c>
      <c r="C23" s="253">
        <f t="shared" ref="C23:G23" si="2">((C18/C15)^(1/3)-1)*100</f>
        <v>-4.2270912308157822</v>
      </c>
      <c r="D23" s="253" t="str">
        <f>IFERROR(((D17/D4)^(1/6)-1)*100,"n.a.")</f>
        <v>n.a.</v>
      </c>
      <c r="E23" s="253" t="str">
        <f>IFERROR(((E17/E4)^(1/6)-1)*100,"n.a.")</f>
        <v>n.a.</v>
      </c>
      <c r="F23" s="253">
        <f t="shared" si="2"/>
        <v>-0.45184374990128173</v>
      </c>
      <c r="G23" s="253">
        <f t="shared" si="2"/>
        <v>11.721309743633634</v>
      </c>
      <c r="H23" s="253" t="str">
        <f>IFERROR(((H17/H4)^(1/6)-1)*100,"n.a.")</f>
        <v>n.a.</v>
      </c>
      <c r="I23" s="253" t="str">
        <f>IFERROR(((I17/I4)^(1/6)-1)*100,"n.a.")</f>
        <v>n.a.</v>
      </c>
    </row>
    <row r="24" spans="1:9">
      <c r="A24" s="285" t="s">
        <v>69</v>
      </c>
      <c r="B24" s="253">
        <f>IFERROR(((B18/B12)^(1/6)-1)*100,"n.a.")</f>
        <v>5.0217608522496793</v>
      </c>
      <c r="C24" s="253">
        <f t="shared" ref="C24:I24" si="3">IFERROR(((C18/C12)^(1/6)-1)*100,"n.a.")</f>
        <v>-8.3535934387833688</v>
      </c>
      <c r="D24" s="253" t="str">
        <f t="shared" si="3"/>
        <v>n.a.</v>
      </c>
      <c r="E24" s="253" t="str">
        <f t="shared" si="3"/>
        <v>n.a.</v>
      </c>
      <c r="F24" s="253">
        <f t="shared" si="3"/>
        <v>-1.8658869234897901</v>
      </c>
      <c r="G24" s="253">
        <f t="shared" si="3"/>
        <v>12.91160994076186</v>
      </c>
      <c r="H24" s="253" t="str">
        <f t="shared" si="3"/>
        <v>n.a.</v>
      </c>
      <c r="I24" s="253" t="str">
        <f t="shared" si="3"/>
        <v>n.a.</v>
      </c>
    </row>
    <row r="25" spans="1:9" s="352" customFormat="1">
      <c r="A25" s="355" t="s">
        <v>69</v>
      </c>
      <c r="B25" s="253">
        <f>((B18/B5)^(1/13)-1)*100</f>
        <v>3.0122270752673819</v>
      </c>
      <c r="C25" s="253">
        <f t="shared" ref="C25:G25" si="4">((C18/C5)^(1/13)-1)*100</f>
        <v>-5.4883430002348188</v>
      </c>
      <c r="D25" s="253" t="s">
        <v>9</v>
      </c>
      <c r="E25" s="253" t="s">
        <v>9</v>
      </c>
      <c r="F25" s="253">
        <f t="shared" si="4"/>
        <v>-0.68738876576757146</v>
      </c>
      <c r="G25" s="253">
        <f t="shared" si="4"/>
        <v>-5.691451675069148</v>
      </c>
      <c r="H25" s="253" t="s">
        <v>9</v>
      </c>
      <c r="I25" s="253" t="s">
        <v>9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421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sqref="A1:I1"/>
    </sheetView>
  </sheetViews>
  <sheetFormatPr defaultRowHeight="15" outlineLevelRow="1"/>
  <cols>
    <col min="1" max="1" width="12.28515625" style="266" customWidth="1"/>
    <col min="2" max="9" width="14.28515625" style="266" customWidth="1"/>
    <col min="10" max="16384" width="9.140625" style="266"/>
  </cols>
  <sheetData>
    <row r="1" spans="1:9">
      <c r="A1" s="471" t="s">
        <v>599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256536.7</v>
      </c>
      <c r="C5" s="129">
        <v>165</v>
      </c>
      <c r="D5" s="129">
        <v>1641.6</v>
      </c>
      <c r="E5" s="129">
        <v>1854</v>
      </c>
      <c r="F5" s="169">
        <f>'18J'!L5/'21J'!B5*1000</f>
        <v>759.50926319703956</v>
      </c>
      <c r="G5" s="169">
        <f>'18J'!N5/'21J'!C5*1000</f>
        <v>1826.6666666666665</v>
      </c>
      <c r="H5" s="169">
        <f>'18J'!O5/'21J'!D5*1000</f>
        <v>589.05945419103307</v>
      </c>
      <c r="I5" s="169">
        <f>'18J'!S5/'21J'!E5*1000</f>
        <v>283.81877022653725</v>
      </c>
    </row>
    <row r="6" spans="1:9" s="332" customFormat="1" outlineLevel="1">
      <c r="A6" s="333">
        <v>2001</v>
      </c>
      <c r="B6" s="129">
        <v>270798.09999999998</v>
      </c>
      <c r="C6" s="129">
        <v>160.6</v>
      </c>
      <c r="D6" s="129">
        <v>1584.6</v>
      </c>
      <c r="E6" s="129">
        <v>1877.5</v>
      </c>
      <c r="F6" s="169">
        <f>'18J'!L6/'21J'!B6*1000</f>
        <v>735.27288411550899</v>
      </c>
      <c r="G6" s="169">
        <f>'18J'!N6/'21J'!C6*1000</f>
        <v>1896.0149439601494</v>
      </c>
      <c r="H6" s="169">
        <f>'18J'!O6/'21J'!D6*1000</f>
        <v>613.27779881358072</v>
      </c>
      <c r="I6" s="169">
        <f>'18J'!S6/'21J'!E6*1000</f>
        <v>249.64047936085217</v>
      </c>
    </row>
    <row r="7" spans="1:9" s="332" customFormat="1" outlineLevel="1">
      <c r="A7" s="333">
        <v>2002</v>
      </c>
      <c r="B7" s="129">
        <v>279830.3</v>
      </c>
      <c r="C7" s="129">
        <v>154.9</v>
      </c>
      <c r="D7" s="129">
        <v>1458.4</v>
      </c>
      <c r="E7" s="129">
        <v>1777.8</v>
      </c>
      <c r="F7" s="169">
        <f>'18J'!L7/'21J'!B7*1000</f>
        <v>723.8319081243169</v>
      </c>
      <c r="G7" s="169">
        <f>'18J'!N7/'21J'!C7*1000</f>
        <v>2191.0910264686891</v>
      </c>
      <c r="H7" s="169">
        <f>'18J'!O7/'21J'!D7*1000</f>
        <v>728.94953373560054</v>
      </c>
      <c r="I7" s="169">
        <f>'18J'!S7/'21J'!E7*1000</f>
        <v>278.82776465294182</v>
      </c>
    </row>
    <row r="8" spans="1:9" s="332" customFormat="1" outlineLevel="1">
      <c r="A8" s="333">
        <v>2003</v>
      </c>
      <c r="B8" s="129">
        <v>291167</v>
      </c>
      <c r="C8" s="129">
        <v>164</v>
      </c>
      <c r="D8" s="129">
        <v>1383.4</v>
      </c>
      <c r="E8" s="129">
        <v>1659.5</v>
      </c>
      <c r="F8" s="169">
        <f>'18J'!L8/'21J'!B8*1000</f>
        <v>717.90965322306442</v>
      </c>
      <c r="G8" s="169">
        <f>'18J'!N8/'21J'!C8*1000</f>
        <v>2093.9024390243903</v>
      </c>
      <c r="H8" s="169">
        <f>'18J'!O8/'21J'!D8*1000</f>
        <v>770.42070261674121</v>
      </c>
      <c r="I8" s="169">
        <f>'18J'!S8/'21J'!E8*1000</f>
        <v>304.48930400723111</v>
      </c>
    </row>
    <row r="9" spans="1:9" s="332" customFormat="1" outlineLevel="1">
      <c r="A9" s="333">
        <v>2004</v>
      </c>
      <c r="B9" s="129">
        <v>305630.40000000002</v>
      </c>
      <c r="C9" s="129">
        <v>177</v>
      </c>
      <c r="D9" s="129">
        <v>1384</v>
      </c>
      <c r="E9" s="129">
        <v>1582.1</v>
      </c>
      <c r="F9" s="169">
        <f>'18J'!L9/'21J'!B9*1000</f>
        <v>720.59127626047666</v>
      </c>
      <c r="G9" s="169">
        <f>'18J'!N9/'21J'!C9*1000</f>
        <v>1988.7005649717514</v>
      </c>
      <c r="H9" s="169">
        <f>'18J'!O9/'21J'!D9*1000</f>
        <v>872.76011560693644</v>
      </c>
      <c r="I9" s="169">
        <f>'18J'!S9/'21J'!E9*1000</f>
        <v>342.20340054358132</v>
      </c>
    </row>
    <row r="10" spans="1:9" s="332" customFormat="1" outlineLevel="1">
      <c r="A10" s="333">
        <v>2005</v>
      </c>
      <c r="B10" s="129">
        <v>328549.8</v>
      </c>
      <c r="C10" s="129">
        <v>187.7</v>
      </c>
      <c r="D10" s="129">
        <v>1446.2</v>
      </c>
      <c r="E10" s="129">
        <v>1545.4</v>
      </c>
      <c r="F10" s="169">
        <f>'18J'!L10/'21J'!B10*1000</f>
        <v>702.730910199915</v>
      </c>
      <c r="G10" s="169">
        <f>'18J'!N10/'21J'!C10*1000</f>
        <v>2017.048481619606</v>
      </c>
      <c r="H10" s="169">
        <f>'18J'!O10/'21J'!D10*1000</f>
        <v>887.91315170792416</v>
      </c>
      <c r="I10" s="169">
        <f>'18J'!S10/'21J'!E10*1000</f>
        <v>405.84961822181958</v>
      </c>
    </row>
    <row r="11" spans="1:9" s="332" customFormat="1" outlineLevel="1">
      <c r="A11" s="333">
        <v>2006</v>
      </c>
      <c r="B11" s="129">
        <v>353251.3</v>
      </c>
      <c r="C11" s="129">
        <v>189.3</v>
      </c>
      <c r="D11" s="129">
        <v>1390.8</v>
      </c>
      <c r="E11" s="129">
        <v>1570.3</v>
      </c>
      <c r="F11" s="169">
        <f>'18J'!L11/'21J'!B11*1000</f>
        <v>693.69482858237188</v>
      </c>
      <c r="G11" s="169">
        <f>'18J'!N11/'21J'!C11*1000</f>
        <v>2101.4263074484943</v>
      </c>
      <c r="H11" s="169">
        <f>'18J'!O11/'21J'!D11*1000</f>
        <v>946.93701466781715</v>
      </c>
      <c r="I11" s="169">
        <f>'18J'!S11/'21J'!E11*1000</f>
        <v>411.06794879959244</v>
      </c>
    </row>
    <row r="12" spans="1:9">
      <c r="A12" s="260">
        <v>2007</v>
      </c>
      <c r="B12" s="129">
        <v>374952.8</v>
      </c>
      <c r="C12" s="129">
        <v>167.9</v>
      </c>
      <c r="D12" s="129">
        <v>1347.9</v>
      </c>
      <c r="E12" s="129">
        <v>1579.1</v>
      </c>
      <c r="F12" s="169">
        <f>'18J'!L12/'21J'!B12*1000</f>
        <v>667.03915799535309</v>
      </c>
      <c r="G12" s="169">
        <f>'18J'!N12/'21J'!C12*1000</f>
        <v>1912.4478856462181</v>
      </c>
      <c r="H12" s="169">
        <f>'18J'!O12/'21J'!D12*1000</f>
        <v>942.57734253282877</v>
      </c>
      <c r="I12" s="169">
        <f>'18J'!S12/'21J'!E12*1000</f>
        <v>371.35076942562216</v>
      </c>
    </row>
    <row r="13" spans="1:9">
      <c r="A13" s="260">
        <v>2008</v>
      </c>
      <c r="B13" s="129">
        <v>396337.5</v>
      </c>
      <c r="C13" s="129">
        <v>160.5</v>
      </c>
      <c r="D13" s="129">
        <v>1308.5999999999999</v>
      </c>
      <c r="E13" s="129">
        <v>1472</v>
      </c>
      <c r="F13" s="169">
        <f>'18J'!L13/'21J'!B13*1000</f>
        <v>641.01706247831714</v>
      </c>
      <c r="G13" s="169">
        <f>'18J'!N13/'21J'!C13*1000</f>
        <v>1869.1588785046729</v>
      </c>
      <c r="H13" s="169">
        <f>'18J'!O13/'21J'!D13*1000</f>
        <v>845.86581079015752</v>
      </c>
      <c r="I13" s="169">
        <f>'18J'!S13/'21J'!E13*1000</f>
        <v>380.36684782608694</v>
      </c>
    </row>
    <row r="14" spans="1:9">
      <c r="A14" s="260">
        <v>2009</v>
      </c>
      <c r="B14" s="129">
        <v>395089.3</v>
      </c>
      <c r="C14" s="129">
        <v>151</v>
      </c>
      <c r="D14" s="129">
        <v>1189.4000000000001</v>
      </c>
      <c r="E14" s="129">
        <v>1341.2</v>
      </c>
      <c r="F14" s="169">
        <f>'18J'!L14/'21J'!B14*1000</f>
        <v>615.72586248222876</v>
      </c>
      <c r="G14" s="169">
        <f>'18J'!N14/'21J'!C14*1000</f>
        <v>1863.5761589403971</v>
      </c>
      <c r="H14" s="169">
        <f>'18J'!O14/'21J'!D14*1000</f>
        <v>785.60618799394649</v>
      </c>
      <c r="I14" s="169">
        <f>'18J'!S14/'21J'!E14*1000</f>
        <v>361.54190277363551</v>
      </c>
    </row>
    <row r="15" spans="1:9">
      <c r="A15" s="260">
        <v>2010</v>
      </c>
      <c r="B15" s="129">
        <v>405434.2</v>
      </c>
      <c r="C15" s="129">
        <v>144.9</v>
      </c>
      <c r="D15" s="129">
        <v>1121.8</v>
      </c>
      <c r="E15" s="129">
        <v>1276</v>
      </c>
      <c r="F15" s="169">
        <f>'18J'!L15/'21J'!B15*1000</f>
        <v>628.79525210256065</v>
      </c>
      <c r="G15" s="169">
        <f>'18J'!N15/'21J'!C15*1000</f>
        <v>2249.1373360938578</v>
      </c>
      <c r="H15" s="169">
        <f>'18J'!O15/'21J'!D15*1000</f>
        <v>847.12069887680502</v>
      </c>
      <c r="I15" s="169">
        <f>'18J'!S15/'21J'!E15*1000</f>
        <v>459.87460815047024</v>
      </c>
    </row>
    <row r="16" spans="1:9">
      <c r="A16" s="260">
        <v>2011</v>
      </c>
      <c r="B16" s="129">
        <v>421288</v>
      </c>
      <c r="C16" s="129">
        <v>140.4</v>
      </c>
      <c r="D16" s="129">
        <v>1076.5999999999999</v>
      </c>
      <c r="E16" s="129">
        <v>1305.0999999999999</v>
      </c>
      <c r="F16" s="169">
        <f>'18J'!L16/'21J'!B16*1000</f>
        <v>640.1155504073223</v>
      </c>
      <c r="G16" s="169">
        <f>'18J'!N16/'21J'!C16*1000</f>
        <v>2534.9002849002845</v>
      </c>
      <c r="H16" s="169">
        <f>'18J'!O16/'21J'!D16*1000</f>
        <v>974.82816273453477</v>
      </c>
      <c r="I16" s="169" t="s">
        <v>10</v>
      </c>
    </row>
    <row r="17" spans="1:9">
      <c r="A17" s="260">
        <v>2012</v>
      </c>
      <c r="B17" s="129">
        <v>437944.1</v>
      </c>
      <c r="C17" s="129">
        <v>138.80000000000001</v>
      </c>
      <c r="D17" s="129">
        <v>1105.9000000000001</v>
      </c>
      <c r="E17" s="129">
        <v>1299</v>
      </c>
      <c r="F17" s="169">
        <f>'18J'!L17/'21J'!B17*1000</f>
        <v>641.8800938293266</v>
      </c>
      <c r="G17" s="169">
        <f>'18J'!N17/'21J'!C17*1000</f>
        <v>2899.1354466858788</v>
      </c>
      <c r="H17" s="169">
        <f>'18J'!O17/'21J'!D17*1000</f>
        <v>1108.8706031286733</v>
      </c>
      <c r="I17" s="169">
        <f>'18J'!S17/'21J'!E17*1000</f>
        <v>420.86220169361047</v>
      </c>
    </row>
    <row r="18" spans="1:9">
      <c r="A18" s="260">
        <v>2013</v>
      </c>
      <c r="B18" s="129">
        <v>451970</v>
      </c>
      <c r="C18" s="129">
        <v>130.80000000000001</v>
      </c>
      <c r="D18" s="129">
        <v>1090.8</v>
      </c>
      <c r="E18" s="129">
        <v>1291.7</v>
      </c>
      <c r="F18" s="169">
        <f>'18J'!L18/'21J'!B18*1000</f>
        <v>647.36486934973561</v>
      </c>
      <c r="G18" s="169">
        <f>'18J'!N18/'21J'!C18*1000</f>
        <v>3219.4189602446481</v>
      </c>
      <c r="H18" s="169">
        <f>'18J'!O18/'21J'!D18*1000</f>
        <v>1241.932526585992</v>
      </c>
      <c r="I18" s="169">
        <f>'18J'!S18/'21J'!E18*1000</f>
        <v>447.70457536579693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5.5715087416537523</v>
      </c>
      <c r="C21" s="253">
        <f t="shared" ref="C21:I21" si="0">((C12/C5)^(1/7)-1)*100</f>
        <v>0.24921130474226949</v>
      </c>
      <c r="D21" s="253">
        <f t="shared" si="0"/>
        <v>-2.7767695984581509</v>
      </c>
      <c r="E21" s="253">
        <f t="shared" si="0"/>
        <v>-2.2666369298611766</v>
      </c>
      <c r="F21" s="253">
        <f t="shared" si="0"/>
        <v>-1.8375328923030398</v>
      </c>
      <c r="G21" s="253">
        <f t="shared" si="0"/>
        <v>0.65774261263824574</v>
      </c>
      <c r="H21" s="253">
        <f t="shared" si="0"/>
        <v>6.9462126735529539</v>
      </c>
      <c r="I21" s="253">
        <f t="shared" si="0"/>
        <v>3.9148468834213412</v>
      </c>
    </row>
    <row r="22" spans="1:9">
      <c r="A22" s="260" t="s">
        <v>368</v>
      </c>
      <c r="B22" s="253">
        <f>((B15/B12)^(1/3)-1)*100</f>
        <v>2.6395154460783665</v>
      </c>
      <c r="C22" s="253">
        <f t="shared" ref="C22:I22" si="1">((C15/C12)^(1/3)-1)*100</f>
        <v>-4.7921927145386567</v>
      </c>
      <c r="D22" s="253">
        <f t="shared" si="1"/>
        <v>-5.936907233041067</v>
      </c>
      <c r="E22" s="253">
        <f t="shared" si="1"/>
        <v>-6.8576880584938715</v>
      </c>
      <c r="F22" s="253">
        <f t="shared" si="1"/>
        <v>-1.9488613529685228</v>
      </c>
      <c r="G22" s="253">
        <f t="shared" si="1"/>
        <v>5.5541845981391891</v>
      </c>
      <c r="H22" s="253">
        <f t="shared" si="1"/>
        <v>-3.4965664027650112</v>
      </c>
      <c r="I22" s="253">
        <f t="shared" si="1"/>
        <v>7.3869977618642446</v>
      </c>
    </row>
    <row r="23" spans="1:9">
      <c r="A23" s="260" t="s">
        <v>392</v>
      </c>
      <c r="B23" s="253">
        <f>((B18/B15)^(1/3)-1)*100</f>
        <v>3.6882973072632774</v>
      </c>
      <c r="C23" s="253">
        <f t="shared" ref="C23:I23" si="2">((C18/C15)^(1/3)-1)*100</f>
        <v>-3.3549119278678208</v>
      </c>
      <c r="D23" s="253">
        <f t="shared" si="2"/>
        <v>-0.9297563236062456</v>
      </c>
      <c r="E23" s="253">
        <f t="shared" si="2"/>
        <v>0.40846513186880706</v>
      </c>
      <c r="F23" s="253">
        <f t="shared" si="2"/>
        <v>0.97486735480094566</v>
      </c>
      <c r="G23" s="253">
        <f t="shared" si="2"/>
        <v>12.699115475830114</v>
      </c>
      <c r="H23" s="253">
        <f t="shared" si="2"/>
        <v>13.601544500019136</v>
      </c>
      <c r="I23" s="253">
        <f t="shared" si="2"/>
        <v>-0.89002483463268556</v>
      </c>
    </row>
    <row r="24" spans="1:9">
      <c r="A24" s="285" t="s">
        <v>69</v>
      </c>
      <c r="B24" s="253">
        <f>IFERROR(((B18/B12)^(1/6)-1)*100,"n.a.")</f>
        <v>3.1625736061601684</v>
      </c>
      <c r="C24" s="253">
        <f t="shared" ref="C24:I24" si="3">IFERROR(((C18/C12)^(1/6)-1)*100,"n.a.")</f>
        <v>-4.0762442339855038</v>
      </c>
      <c r="D24" s="253">
        <f t="shared" si="3"/>
        <v>-3.465790926854051</v>
      </c>
      <c r="E24" s="253">
        <f t="shared" si="3"/>
        <v>-3.292830767929289</v>
      </c>
      <c r="F24" s="253">
        <f t="shared" si="3"/>
        <v>-0.49773510682684652</v>
      </c>
      <c r="G24" s="253">
        <f t="shared" si="3"/>
        <v>9.0681586852128682</v>
      </c>
      <c r="H24" s="253">
        <f t="shared" si="3"/>
        <v>4.7040548699090801</v>
      </c>
      <c r="I24" s="253">
        <f t="shared" si="3"/>
        <v>3.1655111035743477</v>
      </c>
    </row>
    <row r="25" spans="1:9" s="352" customFormat="1">
      <c r="A25" s="355" t="s">
        <v>69</v>
      </c>
      <c r="B25" s="253">
        <f>((B18/B5)^(1/13)-1)*100</f>
        <v>4.4527811826803099</v>
      </c>
      <c r="C25" s="253">
        <f t="shared" ref="C25:I25" si="4">((C18/C5)^(1/13)-1)*100</f>
        <v>-1.7708711977075353</v>
      </c>
      <c r="D25" s="253">
        <f t="shared" si="4"/>
        <v>-3.0953884328140502</v>
      </c>
      <c r="E25" s="253">
        <f t="shared" si="4"/>
        <v>-2.7416110142102657</v>
      </c>
      <c r="F25" s="253">
        <f t="shared" si="4"/>
        <v>-1.2214212152232506</v>
      </c>
      <c r="G25" s="253">
        <f t="shared" si="4"/>
        <v>4.4557059995490311</v>
      </c>
      <c r="H25" s="253">
        <f t="shared" si="4"/>
        <v>5.9054657955407208</v>
      </c>
      <c r="I25" s="253">
        <f t="shared" si="4"/>
        <v>3.5683256649095441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422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72" t="s">
        <v>411</v>
      </c>
      <c r="B31" s="472"/>
      <c r="C31" s="472"/>
      <c r="D31" s="472"/>
      <c r="E31" s="472"/>
      <c r="F31" s="472"/>
      <c r="G31" s="472"/>
      <c r="H31" s="472"/>
      <c r="I31" s="472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265" t="s">
        <v>413</v>
      </c>
      <c r="B33" s="265"/>
      <c r="C33" s="265"/>
      <c r="D33" s="265"/>
      <c r="E33" s="265"/>
      <c r="F33" s="265"/>
      <c r="G33" s="265"/>
      <c r="H33" s="265"/>
      <c r="I33" s="265"/>
    </row>
  </sheetData>
  <mergeCells count="9">
    <mergeCell ref="A30:I30"/>
    <mergeCell ref="A31:I31"/>
    <mergeCell ref="A32:I32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I33"/>
  <sheetViews>
    <sheetView view="pageBreakPreview" zoomScaleNormal="85" zoomScaleSheetLayoutView="100" workbookViewId="0">
      <pane xSplit="1" ySplit="4" topLeftCell="B5" activePane="bottomRight" state="frozen"/>
      <selection activeCell="C24" sqref="C24"/>
      <selection pane="topRight" activeCell="C24" sqref="C24"/>
      <selection pane="bottomLeft" activeCell="C24" sqref="C24"/>
      <selection pane="bottomRight" activeCell="K11" sqref="K11"/>
    </sheetView>
  </sheetViews>
  <sheetFormatPr defaultRowHeight="15" outlineLevelRow="1"/>
  <cols>
    <col min="1" max="1" width="11.85546875" style="266" customWidth="1"/>
    <col min="2" max="9" width="14.28515625" style="266" customWidth="1"/>
    <col min="10" max="16384" width="9.140625" style="266"/>
  </cols>
  <sheetData>
    <row r="1" spans="1:9" ht="18.75" customHeight="1">
      <c r="A1" s="471" t="s">
        <v>600</v>
      </c>
      <c r="B1" s="471"/>
      <c r="C1" s="471"/>
      <c r="D1" s="471"/>
      <c r="E1" s="471"/>
      <c r="F1" s="471"/>
      <c r="G1" s="471"/>
      <c r="H1" s="471"/>
      <c r="I1" s="471"/>
    </row>
    <row r="2" spans="1:9">
      <c r="A2" s="211"/>
      <c r="B2" s="470" t="s">
        <v>34</v>
      </c>
      <c r="C2" s="470"/>
      <c r="D2" s="470"/>
      <c r="E2" s="470"/>
      <c r="F2" s="470" t="s">
        <v>35</v>
      </c>
      <c r="G2" s="470"/>
      <c r="H2" s="470"/>
      <c r="I2" s="470"/>
    </row>
    <row r="3" spans="1:9" ht="45">
      <c r="A3" s="265"/>
      <c r="B3" s="264" t="s">
        <v>2</v>
      </c>
      <c r="C3" s="264" t="s">
        <v>20</v>
      </c>
      <c r="D3" s="264" t="s">
        <v>4</v>
      </c>
      <c r="E3" s="264" t="s">
        <v>17</v>
      </c>
      <c r="F3" s="264" t="s">
        <v>2</v>
      </c>
      <c r="G3" s="264" t="s">
        <v>20</v>
      </c>
      <c r="H3" s="264" t="s">
        <v>4</v>
      </c>
      <c r="I3" s="264" t="s">
        <v>17</v>
      </c>
    </row>
    <row r="4" spans="1:9" outlineLevel="1">
      <c r="A4" s="265"/>
      <c r="B4" s="265"/>
      <c r="C4" s="265"/>
      <c r="D4" s="265"/>
      <c r="E4" s="265"/>
      <c r="F4" s="265"/>
      <c r="G4" s="265"/>
      <c r="H4" s="265"/>
      <c r="I4" s="265"/>
    </row>
    <row r="5" spans="1:9" s="332" customFormat="1" outlineLevel="1">
      <c r="A5" s="333">
        <v>2000</v>
      </c>
      <c r="B5" s="129">
        <v>175380.6</v>
      </c>
      <c r="C5" s="129">
        <v>1890.5</v>
      </c>
      <c r="D5" s="129">
        <v>2707.3</v>
      </c>
      <c r="E5" s="129">
        <v>4979</v>
      </c>
      <c r="F5" s="169">
        <f>'18K'!L5/'21K'!B5*1000</f>
        <v>832.90626215214229</v>
      </c>
      <c r="G5" s="169">
        <f>'18K'!N5/'21K'!C5*1000</f>
        <v>977.09600634752712</v>
      </c>
      <c r="H5" s="169">
        <f>'18K'!O5/'21K'!D5*1000</f>
        <v>1096.7384479001216</v>
      </c>
      <c r="I5" s="169">
        <f>'18K'!S5/'21K'!E5*1000</f>
        <v>301.90801365736093</v>
      </c>
    </row>
    <row r="6" spans="1:9" s="332" customFormat="1" outlineLevel="1">
      <c r="A6" s="333">
        <v>2001</v>
      </c>
      <c r="B6" s="129">
        <v>178043.3</v>
      </c>
      <c r="C6" s="129">
        <v>1796</v>
      </c>
      <c r="D6" s="129">
        <v>2548.9</v>
      </c>
      <c r="E6" s="129">
        <v>4581.2</v>
      </c>
      <c r="F6" s="169">
        <f>'18K'!L6/'21K'!B6*1000</f>
        <v>829.80319955875905</v>
      </c>
      <c r="G6" s="169">
        <f>'18K'!N6/'21K'!C6*1000</f>
        <v>1031.5701559020044</v>
      </c>
      <c r="H6" s="169">
        <f>'18K'!O6/'21K'!D6*1000</f>
        <v>956.29487229785389</v>
      </c>
      <c r="I6" s="169">
        <f>'18K'!S6/'21K'!E6*1000</f>
        <v>276.36863703833052</v>
      </c>
    </row>
    <row r="7" spans="1:9" s="332" customFormat="1" outlineLevel="1">
      <c r="A7" s="333">
        <v>2002</v>
      </c>
      <c r="B7" s="129">
        <v>179072.7</v>
      </c>
      <c r="C7" s="129">
        <v>1737.6</v>
      </c>
      <c r="D7" s="129">
        <v>2407.8000000000002</v>
      </c>
      <c r="E7" s="129">
        <v>4162.3999999999996</v>
      </c>
      <c r="F7" s="169">
        <f>'18K'!L7/'21K'!B7*1000</f>
        <v>850.48753941834798</v>
      </c>
      <c r="G7" s="169">
        <f>'18K'!N7/'21K'!C7*1000</f>
        <v>1092.3687845303866</v>
      </c>
      <c r="H7" s="169">
        <f>'18K'!O7/'21K'!D7*1000</f>
        <v>1173.2702051665419</v>
      </c>
      <c r="I7" s="169">
        <f>'18K'!S7/'21K'!E7*1000</f>
        <v>326.30213338458583</v>
      </c>
    </row>
    <row r="8" spans="1:9" s="332" customFormat="1" outlineLevel="1">
      <c r="A8" s="333">
        <v>2003</v>
      </c>
      <c r="B8" s="129">
        <v>181114.2</v>
      </c>
      <c r="C8" s="129">
        <v>1713.4</v>
      </c>
      <c r="D8" s="129">
        <v>2411.1</v>
      </c>
      <c r="E8" s="129">
        <v>3865.4</v>
      </c>
      <c r="F8" s="169">
        <f>'18K'!L8/'21K'!B8*1000</f>
        <v>863.04331742072111</v>
      </c>
      <c r="G8" s="169">
        <f>'18K'!N8/'21K'!C8*1000</f>
        <v>1127.0573129450215</v>
      </c>
      <c r="H8" s="169">
        <f>'18K'!O8/'21K'!D8*1000</f>
        <v>1200.447928331467</v>
      </c>
      <c r="I8" s="169">
        <f>'18K'!S8/'21K'!E8*1000</f>
        <v>354.73689656956594</v>
      </c>
    </row>
    <row r="9" spans="1:9" s="332" customFormat="1" outlineLevel="1">
      <c r="A9" s="333">
        <v>2004</v>
      </c>
      <c r="B9" s="129">
        <v>185408.7</v>
      </c>
      <c r="C9" s="129">
        <v>1706.1</v>
      </c>
      <c r="D9" s="129">
        <v>2546.1</v>
      </c>
      <c r="E9" s="129">
        <v>3686.2</v>
      </c>
      <c r="F9" s="169">
        <f>'18K'!L9/'21K'!B9*1000</f>
        <v>876.68863435210972</v>
      </c>
      <c r="G9" s="169">
        <f>'18K'!N9/'21K'!C9*1000</f>
        <v>1282.0467733427117</v>
      </c>
      <c r="H9" s="169">
        <f>'18K'!O9/'21K'!D9*1000</f>
        <v>1278.7007580220732</v>
      </c>
      <c r="I9" s="169">
        <f>'18K'!S9/'21K'!E9*1000</f>
        <v>397.4825023058977</v>
      </c>
    </row>
    <row r="10" spans="1:9" s="332" customFormat="1" outlineLevel="1">
      <c r="A10" s="333">
        <v>2005</v>
      </c>
      <c r="B10" s="129">
        <v>191708.79999999999</v>
      </c>
      <c r="C10" s="129">
        <v>1688</v>
      </c>
      <c r="D10" s="129">
        <v>2858.8</v>
      </c>
      <c r="E10" s="129">
        <v>3523.5</v>
      </c>
      <c r="F10" s="169">
        <f>'18K'!L10/'21K'!B10*1000</f>
        <v>888.01818174230914</v>
      </c>
      <c r="G10" s="169">
        <f>'18K'!N10/'21K'!C10*1000</f>
        <v>1284.1824644549763</v>
      </c>
      <c r="H10" s="169">
        <f>'18K'!O10/'21K'!D10*1000</f>
        <v>1257.6605568770115</v>
      </c>
      <c r="I10" s="169">
        <f>'18K'!S10/'21K'!E10*1000</f>
        <v>443.706541790833</v>
      </c>
    </row>
    <row r="11" spans="1:9" s="332" customFormat="1" outlineLevel="1">
      <c r="A11" s="333">
        <v>2006</v>
      </c>
      <c r="B11" s="129">
        <v>199634.3</v>
      </c>
      <c r="C11" s="129">
        <v>1642.4</v>
      </c>
      <c r="D11" s="129">
        <v>3026.1</v>
      </c>
      <c r="E11" s="129">
        <v>3429.2</v>
      </c>
      <c r="F11" s="169">
        <f>'18K'!L11/'21K'!B11*1000</f>
        <v>885.49011868201023</v>
      </c>
      <c r="G11" s="169">
        <f>'18K'!N11/'21K'!C11*1000</f>
        <v>1286.2274719922063</v>
      </c>
      <c r="H11" s="169">
        <f>'18K'!O11/'21K'!D11*1000</f>
        <v>1193.252040580285</v>
      </c>
      <c r="I11" s="169">
        <f>'18K'!S11/'21K'!E11*1000</f>
        <v>447.18884871106968</v>
      </c>
    </row>
    <row r="12" spans="1:9">
      <c r="A12" s="260">
        <v>2007</v>
      </c>
      <c r="B12" s="129">
        <v>206574.3</v>
      </c>
      <c r="C12" s="129">
        <v>1577.1</v>
      </c>
      <c r="D12" s="129">
        <v>2895.2</v>
      </c>
      <c r="E12" s="129">
        <v>3233.4</v>
      </c>
      <c r="F12" s="169">
        <f>'18K'!L12/'21K'!B12*1000</f>
        <v>878.96074197032272</v>
      </c>
      <c r="G12" s="169">
        <f>'18K'!N12/'21K'!C12*1000</f>
        <v>1267.0090672753788</v>
      </c>
      <c r="H12" s="169">
        <f>'18K'!O12/'21K'!D12*1000</f>
        <v>1165.2044763746892</v>
      </c>
      <c r="I12" s="169">
        <f>'18K'!S12/'21K'!E12*1000</f>
        <v>485.74256200903073</v>
      </c>
    </row>
    <row r="13" spans="1:9">
      <c r="A13" s="260">
        <v>2008</v>
      </c>
      <c r="B13" s="129">
        <v>214310.5</v>
      </c>
      <c r="C13" s="129">
        <v>1503.4</v>
      </c>
      <c r="D13" s="129">
        <v>2792</v>
      </c>
      <c r="E13" s="129">
        <v>3029.1</v>
      </c>
      <c r="F13" s="169">
        <f>'18K'!L13/'21K'!B13*1000</f>
        <v>855.45738542908532</v>
      </c>
      <c r="G13" s="169">
        <f>'18K'!N13/'21K'!C13*1000</f>
        <v>1181.0562724491151</v>
      </c>
      <c r="H13" s="169">
        <f>'18K'!O13/'21K'!D13*1000</f>
        <v>1032.9154727793698</v>
      </c>
      <c r="I13" s="169">
        <f>'18K'!S13/'21K'!E13*1000</f>
        <v>468.42296391667497</v>
      </c>
    </row>
    <row r="14" spans="1:9">
      <c r="A14" s="260">
        <v>2009</v>
      </c>
      <c r="B14" s="129">
        <v>217628.3</v>
      </c>
      <c r="C14" s="129">
        <v>1386.4</v>
      </c>
      <c r="D14" s="129">
        <v>2572.6999999999998</v>
      </c>
      <c r="E14" s="129">
        <v>2722</v>
      </c>
      <c r="F14" s="169">
        <f>'18K'!L14/'21K'!B14*1000</f>
        <v>820.7094389838087</v>
      </c>
      <c r="G14" s="169">
        <f>'18K'!N14/'21K'!C14*1000</f>
        <v>874.42296595499124</v>
      </c>
      <c r="H14" s="169">
        <f>'18K'!O14/'21K'!D14*1000</f>
        <v>959.38119485365564</v>
      </c>
      <c r="I14" s="169">
        <f>'18K'!S14/'21K'!E14*1000</f>
        <v>363.40925789860398</v>
      </c>
    </row>
    <row r="15" spans="1:9">
      <c r="A15" s="260">
        <v>2010</v>
      </c>
      <c r="B15" s="129">
        <v>223091.20000000001</v>
      </c>
      <c r="C15" s="129">
        <v>1309.5999999999999</v>
      </c>
      <c r="D15" s="129">
        <v>2441.1999999999998</v>
      </c>
      <c r="E15" s="129">
        <v>2574</v>
      </c>
      <c r="F15" s="169">
        <f>'18K'!L15/'21K'!B15*1000</f>
        <v>827.05548224223992</v>
      </c>
      <c r="G15" s="169">
        <f>'18K'!N15/'21K'!C15*1000</f>
        <v>1152.2602321319489</v>
      </c>
      <c r="H15" s="169">
        <f>'18K'!O15/'21K'!D15*1000</f>
        <v>1110.8061609044732</v>
      </c>
      <c r="I15" s="169">
        <f>'18K'!S15/'21K'!E15*1000</f>
        <v>457.92540792540791</v>
      </c>
    </row>
    <row r="16" spans="1:9">
      <c r="A16" s="260">
        <v>2011</v>
      </c>
      <c r="B16" s="129">
        <v>228322.7</v>
      </c>
      <c r="C16" s="129">
        <v>1255.8</v>
      </c>
      <c r="D16" s="129">
        <v>2201.6</v>
      </c>
      <c r="E16" s="129">
        <v>2446.5</v>
      </c>
      <c r="F16" s="169">
        <f>'18K'!L16/'21K'!B16*1000</f>
        <v>830.39969306599824</v>
      </c>
      <c r="G16" s="169">
        <f>'18K'!N16/'21K'!C16*1000</f>
        <v>1340.5000796305144</v>
      </c>
      <c r="H16" s="169">
        <f>'18K'!O16/'21K'!D16*1000</f>
        <v>1306.5497819767443</v>
      </c>
      <c r="I16" s="169">
        <f>'18K'!S16/'21K'!E16*1000</f>
        <v>504.72103004291847</v>
      </c>
    </row>
    <row r="17" spans="1:9">
      <c r="A17" s="260">
        <v>2012</v>
      </c>
      <c r="B17" s="129">
        <v>234181.7</v>
      </c>
      <c r="C17" s="129">
        <v>1200.0999999999999</v>
      </c>
      <c r="D17" s="129">
        <v>2094.8000000000002</v>
      </c>
      <c r="E17" s="129">
        <v>2385.8000000000002</v>
      </c>
      <c r="F17" s="169">
        <f>'18K'!L17/'21K'!B17*1000</f>
        <v>829.54688602909619</v>
      </c>
      <c r="G17" s="169">
        <f>'18K'!N17/'21K'!C17*1000</f>
        <v>1413.8821764852928</v>
      </c>
      <c r="H17" s="169">
        <f>'18K'!O17/'21K'!D17*1000</f>
        <v>1499.9045254916937</v>
      </c>
      <c r="I17" s="169">
        <f>'18K'!S17/'21K'!E17*1000</f>
        <v>483.23413530052812</v>
      </c>
    </row>
    <row r="18" spans="1:9">
      <c r="A18" s="260">
        <v>2013</v>
      </c>
      <c r="B18" s="129">
        <v>238682.4</v>
      </c>
      <c r="C18" s="129">
        <v>1125.7</v>
      </c>
      <c r="D18" s="129">
        <v>2029.4</v>
      </c>
      <c r="E18" s="129">
        <v>2382.3000000000002</v>
      </c>
      <c r="F18" s="169">
        <f>'18K'!L18/'21K'!B18*1000</f>
        <v>830.71772363609557</v>
      </c>
      <c r="G18" s="169">
        <f>'18K'!N18/'21K'!C18*1000</f>
        <v>1599.8933996624323</v>
      </c>
      <c r="H18" s="169">
        <f>'18K'!O18/'21K'!D18*1000</f>
        <v>1657.5342465753424</v>
      </c>
      <c r="I18" s="169">
        <f>'18K'!S18/'21K'!E18*1000</f>
        <v>456.86941191285734</v>
      </c>
    </row>
    <row r="19" spans="1:9">
      <c r="A19" s="265"/>
      <c r="B19" s="265"/>
      <c r="C19" s="265"/>
      <c r="D19" s="265"/>
      <c r="E19" s="265"/>
      <c r="F19" s="265"/>
      <c r="G19" s="265"/>
      <c r="H19" s="265"/>
      <c r="I19" s="265"/>
    </row>
    <row r="20" spans="1:9">
      <c r="A20" s="211" t="s">
        <v>11</v>
      </c>
      <c r="B20" s="265"/>
      <c r="C20" s="265"/>
      <c r="D20" s="265"/>
      <c r="E20" s="265"/>
      <c r="F20" s="265"/>
      <c r="G20" s="265"/>
      <c r="H20" s="265"/>
      <c r="I20" s="265"/>
    </row>
    <row r="21" spans="1:9" s="352" customFormat="1">
      <c r="A21" s="348" t="s">
        <v>68</v>
      </c>
      <c r="B21" s="253">
        <f>((B12/B5)^(1/7)-1)*100</f>
        <v>2.3661550533792708</v>
      </c>
      <c r="C21" s="253">
        <f t="shared" ref="C21:I21" si="0">((C12/C5)^(1/7)-1)*100</f>
        <v>-2.5561016629356614</v>
      </c>
      <c r="D21" s="253">
        <f t="shared" si="0"/>
        <v>0.96321455053511862</v>
      </c>
      <c r="E21" s="253">
        <f t="shared" si="0"/>
        <v>-5.980755242567759</v>
      </c>
      <c r="F21" s="253">
        <f t="shared" si="0"/>
        <v>0.77180790204260941</v>
      </c>
      <c r="G21" s="253">
        <f t="shared" si="0"/>
        <v>3.7815983345459658</v>
      </c>
      <c r="H21" s="253">
        <f t="shared" si="0"/>
        <v>0.86883637454127083</v>
      </c>
      <c r="I21" s="253">
        <f t="shared" si="0"/>
        <v>7.0297479333145674</v>
      </c>
    </row>
    <row r="22" spans="1:9">
      <c r="A22" s="260" t="s">
        <v>368</v>
      </c>
      <c r="B22" s="253">
        <f>((B15/B12)^(1/3)-1)*100</f>
        <v>2.5971704075471225</v>
      </c>
      <c r="C22" s="253">
        <f t="shared" ref="C22:I22" si="1">((C15/C12)^(1/3)-1)*100</f>
        <v>-6.0075121573239247</v>
      </c>
      <c r="D22" s="253">
        <f t="shared" si="1"/>
        <v>-5.5268788157698197</v>
      </c>
      <c r="E22" s="253">
        <f t="shared" si="1"/>
        <v>-7.320637844416467</v>
      </c>
      <c r="F22" s="253">
        <f t="shared" si="1"/>
        <v>-2.0085037851391263</v>
      </c>
      <c r="G22" s="253">
        <f t="shared" si="1"/>
        <v>-3.1149093022870167</v>
      </c>
      <c r="H22" s="253">
        <f t="shared" si="1"/>
        <v>-1.5810535268235171</v>
      </c>
      <c r="I22" s="253">
        <f t="shared" si="1"/>
        <v>-1.946554124491906</v>
      </c>
    </row>
    <row r="23" spans="1:9">
      <c r="A23" s="260" t="s">
        <v>392</v>
      </c>
      <c r="B23" s="253">
        <f>((B18/B15)^(1/3)-1)*100</f>
        <v>2.2773151217480025</v>
      </c>
      <c r="C23" s="253">
        <f t="shared" ref="C23:I23" si="2">((C18/C15)^(1/3)-1)*100</f>
        <v>-4.9187973003682162</v>
      </c>
      <c r="D23" s="253">
        <f t="shared" si="2"/>
        <v>-5.9725269197416058</v>
      </c>
      <c r="E23" s="253">
        <f t="shared" si="2"/>
        <v>-2.5468302729643955</v>
      </c>
      <c r="F23" s="253">
        <f t="shared" si="2"/>
        <v>0.1473842728435093</v>
      </c>
      <c r="G23" s="253">
        <f t="shared" si="2"/>
        <v>11.561280671180318</v>
      </c>
      <c r="H23" s="253">
        <f t="shared" si="2"/>
        <v>14.272416155551305</v>
      </c>
      <c r="I23" s="253">
        <f t="shared" si="2"/>
        <v>-7.6927287000294609E-2</v>
      </c>
    </row>
    <row r="24" spans="1:9">
      <c r="A24" s="285" t="s">
        <v>69</v>
      </c>
      <c r="B24" s="253">
        <f>IFERROR(((B18/B12)^(1/6)-1)*100,"n.a.")</f>
        <v>2.4371179230086248</v>
      </c>
      <c r="C24" s="253">
        <f t="shared" ref="C24:I24" si="3">IFERROR(((C18/C12)^(1/6)-1)*100,"n.a.")</f>
        <v>-5.4647219879681135</v>
      </c>
      <c r="D24" s="253">
        <f t="shared" si="3"/>
        <v>-5.7499662654798112</v>
      </c>
      <c r="E24" s="253">
        <f t="shared" si="3"/>
        <v>-4.9637037214650181</v>
      </c>
      <c r="F24" s="253">
        <f t="shared" si="3"/>
        <v>-0.93642431801402859</v>
      </c>
      <c r="G24" s="253">
        <f t="shared" si="3"/>
        <v>3.9645362427992659</v>
      </c>
      <c r="H24" s="253">
        <f t="shared" si="3"/>
        <v>6.0498505844008843</v>
      </c>
      <c r="I24" s="253">
        <f t="shared" si="3"/>
        <v>-1.0161548434363232</v>
      </c>
    </row>
    <row r="25" spans="1:9" s="352" customFormat="1">
      <c r="A25" s="355" t="s">
        <v>69</v>
      </c>
      <c r="B25" s="253">
        <f>((B18/B5)^(1/13)-1)*100</f>
        <v>2.3989010364497076</v>
      </c>
      <c r="C25" s="253">
        <f t="shared" ref="C25:I25" si="4">((C18/C5)^(1/13)-1)*100</f>
        <v>-3.9094984228190577</v>
      </c>
      <c r="D25" s="253">
        <f t="shared" si="4"/>
        <v>-2.1926175449466401</v>
      </c>
      <c r="E25" s="253">
        <f t="shared" si="4"/>
        <v>-5.5127064205508063</v>
      </c>
      <c r="F25" s="253">
        <f t="shared" si="4"/>
        <v>-2.0236805954465531E-2</v>
      </c>
      <c r="G25" s="253">
        <f t="shared" si="4"/>
        <v>3.8659911814307835</v>
      </c>
      <c r="H25" s="253">
        <f t="shared" si="4"/>
        <v>3.2278495358860626</v>
      </c>
      <c r="I25" s="253">
        <f t="shared" si="4"/>
        <v>3.2380524646430153</v>
      </c>
    </row>
    <row r="26" spans="1:9">
      <c r="A26" s="265"/>
      <c r="B26" s="265"/>
      <c r="C26" s="265"/>
      <c r="D26" s="265"/>
      <c r="E26" s="265"/>
      <c r="F26" s="265"/>
      <c r="G26" s="265"/>
      <c r="H26" s="265"/>
      <c r="I26" s="265"/>
    </row>
    <row r="27" spans="1:9">
      <c r="A27" s="472" t="s">
        <v>41</v>
      </c>
      <c r="B27" s="472"/>
      <c r="C27" s="472"/>
      <c r="D27" s="472"/>
      <c r="E27" s="472"/>
      <c r="F27" s="472"/>
      <c r="G27" s="472"/>
      <c r="H27" s="472"/>
      <c r="I27" s="472"/>
    </row>
    <row r="28" spans="1:9">
      <c r="A28" s="472" t="s">
        <v>409</v>
      </c>
      <c r="B28" s="472"/>
      <c r="C28" s="472"/>
      <c r="D28" s="472"/>
      <c r="E28" s="472"/>
      <c r="F28" s="472"/>
      <c r="G28" s="472"/>
      <c r="H28" s="472"/>
      <c r="I28" s="472"/>
    </row>
    <row r="29" spans="1:9">
      <c r="A29" s="472" t="s">
        <v>423</v>
      </c>
      <c r="B29" s="472"/>
      <c r="C29" s="472"/>
      <c r="D29" s="472"/>
      <c r="E29" s="472"/>
      <c r="F29" s="472"/>
      <c r="G29" s="472"/>
      <c r="H29" s="472"/>
      <c r="I29" s="472"/>
    </row>
    <row r="30" spans="1:9">
      <c r="A30" s="472" t="s">
        <v>55</v>
      </c>
      <c r="B30" s="472"/>
      <c r="C30" s="472"/>
      <c r="D30" s="472"/>
      <c r="E30" s="472"/>
      <c r="F30" s="472"/>
      <c r="G30" s="472"/>
      <c r="H30" s="472"/>
      <c r="I30" s="472"/>
    </row>
    <row r="31" spans="1:9">
      <c r="A31" s="494" t="s">
        <v>411</v>
      </c>
      <c r="B31" s="494"/>
      <c r="C31" s="494"/>
      <c r="D31" s="494"/>
      <c r="E31" s="494"/>
      <c r="F31" s="494"/>
      <c r="G31" s="494"/>
      <c r="H31" s="494"/>
      <c r="I31" s="494"/>
    </row>
    <row r="32" spans="1:9">
      <c r="A32" s="472" t="s">
        <v>412</v>
      </c>
      <c r="B32" s="472"/>
      <c r="C32" s="472"/>
      <c r="D32" s="472"/>
      <c r="E32" s="472"/>
      <c r="F32" s="472"/>
      <c r="G32" s="472"/>
      <c r="H32" s="472"/>
      <c r="I32" s="472"/>
    </row>
    <row r="33" spans="1:9">
      <c r="A33" s="472" t="s">
        <v>413</v>
      </c>
      <c r="B33" s="472"/>
      <c r="C33" s="472"/>
      <c r="D33" s="472"/>
      <c r="E33" s="472"/>
      <c r="F33" s="472"/>
      <c r="G33" s="472"/>
      <c r="H33" s="472"/>
      <c r="I33" s="472"/>
    </row>
  </sheetData>
  <mergeCells count="10">
    <mergeCell ref="A30:I30"/>
    <mergeCell ref="A31:I31"/>
    <mergeCell ref="A32:I32"/>
    <mergeCell ref="A33:I33"/>
    <mergeCell ref="A1:I1"/>
    <mergeCell ref="B2:E2"/>
    <mergeCell ref="F2:I2"/>
    <mergeCell ref="A27:I27"/>
    <mergeCell ref="A28:I28"/>
    <mergeCell ref="A29:I2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1.85546875" customWidth="1"/>
    <col min="4" max="4" width="15.28515625" customWidth="1"/>
    <col min="8" max="8" width="10.5703125" customWidth="1"/>
    <col min="10" max="10" width="19.7109375" customWidth="1"/>
  </cols>
  <sheetData>
    <row r="1" spans="1:10">
      <c r="A1" s="456" t="s">
        <v>207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 ht="15" customHeight="1">
      <c r="A2" s="152"/>
      <c r="B2" s="457" t="s">
        <v>194</v>
      </c>
      <c r="C2" s="456" t="s">
        <v>195</v>
      </c>
      <c r="D2" s="456"/>
      <c r="E2" s="456" t="s">
        <v>196</v>
      </c>
      <c r="F2" s="456"/>
      <c r="G2" s="456"/>
      <c r="H2" s="456"/>
      <c r="I2" s="456" t="s">
        <v>197</v>
      </c>
      <c r="J2" s="456"/>
    </row>
    <row r="3" spans="1:10" ht="135">
      <c r="A3" s="139"/>
      <c r="B3" s="457"/>
      <c r="C3" s="150" t="s">
        <v>198</v>
      </c>
      <c r="D3" s="150" t="s">
        <v>65</v>
      </c>
      <c r="E3" s="150" t="s">
        <v>199</v>
      </c>
      <c r="F3" s="150" t="s">
        <v>200</v>
      </c>
      <c r="G3" s="150" t="s">
        <v>201</v>
      </c>
      <c r="H3" s="150" t="s">
        <v>202</v>
      </c>
      <c r="I3" s="150" t="s">
        <v>203</v>
      </c>
      <c r="J3" s="150" t="s">
        <v>204</v>
      </c>
    </row>
    <row r="4" spans="1:10">
      <c r="A4" s="139"/>
      <c r="B4" s="137"/>
      <c r="C4" s="137"/>
      <c r="D4" s="137"/>
      <c r="E4" s="137"/>
      <c r="F4" s="137"/>
      <c r="G4" s="137"/>
      <c r="H4" s="137"/>
      <c r="I4" s="137"/>
      <c r="J4" s="137"/>
    </row>
    <row r="5" spans="1:10">
      <c r="A5" s="144">
        <v>2001</v>
      </c>
      <c r="B5" s="141">
        <v>31</v>
      </c>
      <c r="C5" s="141">
        <v>38.6</v>
      </c>
      <c r="D5" s="141">
        <v>38.4</v>
      </c>
      <c r="E5" s="141">
        <v>39.299999999999997</v>
      </c>
      <c r="F5" s="141">
        <v>39.5</v>
      </c>
      <c r="G5" s="141">
        <v>38.200000000000003</v>
      </c>
      <c r="H5" s="141">
        <v>39.5</v>
      </c>
      <c r="I5" s="141">
        <v>39.4</v>
      </c>
      <c r="J5" s="141">
        <v>39.5</v>
      </c>
    </row>
    <row r="6" spans="1:10">
      <c r="A6" s="144">
        <v>2002</v>
      </c>
      <c r="B6" s="141">
        <v>30.8</v>
      </c>
      <c r="C6" s="141">
        <v>37.9</v>
      </c>
      <c r="D6" s="141">
        <v>37.6</v>
      </c>
      <c r="E6" s="141">
        <v>39.1</v>
      </c>
      <c r="F6" s="141">
        <v>39</v>
      </c>
      <c r="G6" s="141">
        <v>39.4</v>
      </c>
      <c r="H6" s="141">
        <v>39.1</v>
      </c>
      <c r="I6" s="141">
        <v>39.6</v>
      </c>
      <c r="J6" s="141">
        <v>40</v>
      </c>
    </row>
    <row r="7" spans="1:10">
      <c r="A7" s="144">
        <v>2003</v>
      </c>
      <c r="B7" s="141">
        <v>31.1</v>
      </c>
      <c r="C7" s="141">
        <v>38.9</v>
      </c>
      <c r="D7" s="141">
        <v>37.9</v>
      </c>
      <c r="E7" s="141">
        <v>38.200000000000003</v>
      </c>
      <c r="F7" s="141">
        <v>37.200000000000003</v>
      </c>
      <c r="G7" s="141">
        <v>38.4</v>
      </c>
      <c r="H7" s="141">
        <v>39.299999999999997</v>
      </c>
      <c r="I7" s="141">
        <v>38.799999999999997</v>
      </c>
      <c r="J7" s="141">
        <v>38.9</v>
      </c>
    </row>
    <row r="8" spans="1:10">
      <c r="A8" s="144">
        <v>2004</v>
      </c>
      <c r="B8" s="141">
        <v>31</v>
      </c>
      <c r="C8" s="141">
        <v>37.799999999999997</v>
      </c>
      <c r="D8" s="141">
        <v>36.6</v>
      </c>
      <c r="E8" s="141">
        <v>38</v>
      </c>
      <c r="F8" s="141">
        <v>37.200000000000003</v>
      </c>
      <c r="G8" s="141">
        <v>39.1</v>
      </c>
      <c r="H8" s="141">
        <v>38.4</v>
      </c>
      <c r="I8" s="141">
        <v>39.1</v>
      </c>
      <c r="J8" s="141">
        <v>39.299999999999997</v>
      </c>
    </row>
    <row r="9" spans="1:10">
      <c r="A9" s="144">
        <v>2005</v>
      </c>
      <c r="B9" s="141">
        <v>30.7</v>
      </c>
      <c r="C9" s="141">
        <v>40.299999999999997</v>
      </c>
      <c r="D9" s="141">
        <v>38.6</v>
      </c>
      <c r="E9" s="141">
        <v>38</v>
      </c>
      <c r="F9" s="141">
        <v>38.299999999999997</v>
      </c>
      <c r="G9" s="141">
        <v>40</v>
      </c>
      <c r="H9" s="141">
        <v>36.700000000000003</v>
      </c>
      <c r="I9" s="141">
        <v>38.299999999999997</v>
      </c>
      <c r="J9" s="141">
        <v>38.5</v>
      </c>
    </row>
    <row r="10" spans="1:10">
      <c r="A10" s="144">
        <v>2006</v>
      </c>
      <c r="B10" s="141">
        <v>30.7</v>
      </c>
      <c r="C10" s="141">
        <v>40.6</v>
      </c>
      <c r="D10" s="141">
        <v>38.700000000000003</v>
      </c>
      <c r="E10" s="141">
        <v>37.4</v>
      </c>
      <c r="F10" s="141">
        <v>36.9</v>
      </c>
      <c r="G10" s="141">
        <v>38.4</v>
      </c>
      <c r="H10" s="141">
        <v>37.299999999999997</v>
      </c>
      <c r="I10" s="141">
        <v>38.700000000000003</v>
      </c>
      <c r="J10" s="141">
        <v>39</v>
      </c>
    </row>
    <row r="11" spans="1:10">
      <c r="A11" s="144">
        <v>2007</v>
      </c>
      <c r="B11" s="141">
        <v>30.2</v>
      </c>
      <c r="C11" s="141">
        <v>40.299999999999997</v>
      </c>
      <c r="D11" s="141">
        <v>38.1</v>
      </c>
      <c r="E11" s="141">
        <v>38.799999999999997</v>
      </c>
      <c r="F11" s="141">
        <v>37.700000000000003</v>
      </c>
      <c r="G11" s="141">
        <v>39.200000000000003</v>
      </c>
      <c r="H11" s="141">
        <v>39.700000000000003</v>
      </c>
      <c r="I11" s="141">
        <v>38.1</v>
      </c>
      <c r="J11" s="141">
        <v>38.4</v>
      </c>
    </row>
    <row r="12" spans="1:10">
      <c r="A12" s="144">
        <v>2008</v>
      </c>
      <c r="B12" s="141">
        <v>30</v>
      </c>
      <c r="C12" s="141">
        <v>39.299999999999997</v>
      </c>
      <c r="D12" s="141">
        <v>37.6</v>
      </c>
      <c r="E12" s="141">
        <v>37.1</v>
      </c>
      <c r="F12" s="141">
        <v>36</v>
      </c>
      <c r="G12" s="141">
        <v>38</v>
      </c>
      <c r="H12" s="141">
        <v>37.6</v>
      </c>
      <c r="I12" s="141">
        <v>37.299999999999997</v>
      </c>
      <c r="J12" s="141">
        <v>37.4</v>
      </c>
    </row>
    <row r="13" spans="1:10">
      <c r="A13" s="144">
        <v>2009</v>
      </c>
      <c r="B13" s="141">
        <v>29.9</v>
      </c>
      <c r="C13" s="141" t="s">
        <v>76</v>
      </c>
      <c r="D13" s="141" t="s">
        <v>76</v>
      </c>
      <c r="E13" s="141">
        <v>35.299999999999997</v>
      </c>
      <c r="F13" s="141">
        <v>35.1</v>
      </c>
      <c r="G13" s="141" t="s">
        <v>76</v>
      </c>
      <c r="H13" s="141">
        <v>35.5</v>
      </c>
      <c r="I13" s="141">
        <v>37.700000000000003</v>
      </c>
      <c r="J13" s="141" t="s">
        <v>76</v>
      </c>
    </row>
    <row r="14" spans="1:10">
      <c r="A14" s="144">
        <v>2010</v>
      </c>
      <c r="B14" s="141">
        <v>30.2</v>
      </c>
      <c r="C14" s="141">
        <v>37.700000000000003</v>
      </c>
      <c r="D14" s="141">
        <v>37.4</v>
      </c>
      <c r="E14" s="141">
        <v>36.299999999999997</v>
      </c>
      <c r="F14" s="141" t="s">
        <v>76</v>
      </c>
      <c r="G14" s="141" t="s">
        <v>76</v>
      </c>
      <c r="H14" s="141" t="s">
        <v>76</v>
      </c>
      <c r="I14" s="141">
        <v>38.9</v>
      </c>
      <c r="J14" s="141" t="s">
        <v>76</v>
      </c>
    </row>
    <row r="15" spans="1:10">
      <c r="A15" s="144">
        <v>2011</v>
      </c>
      <c r="B15" s="141">
        <v>30.2</v>
      </c>
      <c r="C15" s="141">
        <v>38.9</v>
      </c>
      <c r="D15" s="141">
        <v>39.1</v>
      </c>
      <c r="E15" s="141">
        <v>36.6</v>
      </c>
      <c r="F15" s="141" t="s">
        <v>76</v>
      </c>
      <c r="G15" s="141" t="s">
        <v>76</v>
      </c>
      <c r="H15" s="141">
        <v>34.299999999999997</v>
      </c>
      <c r="I15" s="141">
        <v>37.9</v>
      </c>
      <c r="J15" s="141" t="s">
        <v>76</v>
      </c>
    </row>
    <row r="16" spans="1:10">
      <c r="A16" s="144">
        <v>2012</v>
      </c>
      <c r="B16" s="141">
        <v>30.2</v>
      </c>
      <c r="C16" s="141">
        <v>37.700000000000003</v>
      </c>
      <c r="D16" s="141">
        <v>38</v>
      </c>
      <c r="E16" s="141">
        <v>36.9</v>
      </c>
      <c r="F16" s="141" t="s">
        <v>76</v>
      </c>
      <c r="G16" s="141" t="s">
        <v>76</v>
      </c>
      <c r="H16" s="141">
        <v>35.5</v>
      </c>
      <c r="I16" s="141">
        <v>39.200000000000003</v>
      </c>
      <c r="J16" s="141" t="s">
        <v>76</v>
      </c>
    </row>
    <row r="17" spans="1:10" s="149" customFormat="1">
      <c r="A17" s="144">
        <v>2013</v>
      </c>
      <c r="B17" s="141">
        <v>30.1</v>
      </c>
      <c r="C17" s="141">
        <v>39.9</v>
      </c>
      <c r="D17" s="141">
        <v>40.4</v>
      </c>
      <c r="E17" s="141" t="s">
        <v>76</v>
      </c>
      <c r="F17" s="141" t="s">
        <v>76</v>
      </c>
      <c r="G17" s="141" t="s">
        <v>76</v>
      </c>
      <c r="H17" s="141" t="s">
        <v>76</v>
      </c>
      <c r="I17" s="141">
        <v>38.9</v>
      </c>
      <c r="J17" s="141" t="s">
        <v>76</v>
      </c>
    </row>
    <row r="18" spans="1:10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>
      <c r="A19" s="456" t="s">
        <v>11</v>
      </c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>
      <c r="A20" s="161" t="s">
        <v>71</v>
      </c>
      <c r="B20" s="153">
        <f>((B11/B5)^(1/6)-1)*100</f>
        <v>-0.43480663528294716</v>
      </c>
      <c r="C20" s="153">
        <f t="shared" ref="C20:J20" si="0">((C11/C5)^(1/6)-1)*100</f>
        <v>0.72090598037140019</v>
      </c>
      <c r="D20" s="153">
        <f t="shared" si="0"/>
        <v>-0.13063422346543119</v>
      </c>
      <c r="E20" s="153">
        <f t="shared" si="0"/>
        <v>-0.21317699184313366</v>
      </c>
      <c r="F20" s="153">
        <f t="shared" si="0"/>
        <v>-0.77432946064112107</v>
      </c>
      <c r="G20" s="153">
        <f t="shared" si="0"/>
        <v>0.43161597657548345</v>
      </c>
      <c r="H20" s="153">
        <f t="shared" si="0"/>
        <v>8.4210700418196893E-2</v>
      </c>
      <c r="I20" s="153">
        <f t="shared" si="0"/>
        <v>-0.5576316666184522</v>
      </c>
      <c r="J20" s="153">
        <f t="shared" si="0"/>
        <v>-0.46961405397165645</v>
      </c>
    </row>
    <row r="21" spans="1:10">
      <c r="A21" s="161" t="s">
        <v>69</v>
      </c>
      <c r="B21" s="153">
        <f>((B17/B11)^(1/6)-1)*100</f>
        <v>-5.5263934292670847E-2</v>
      </c>
      <c r="C21" s="153">
        <f t="shared" ref="C21:I21" si="1">((C17/C11)^(1/6)-1)*100</f>
        <v>-0.16611429483660567</v>
      </c>
      <c r="D21" s="153">
        <f t="shared" si="1"/>
        <v>0.98171253734355979</v>
      </c>
      <c r="E21" s="153" t="s">
        <v>10</v>
      </c>
      <c r="F21" s="153" t="s">
        <v>10</v>
      </c>
      <c r="G21" s="153" t="s">
        <v>10</v>
      </c>
      <c r="H21" s="153" t="s">
        <v>10</v>
      </c>
      <c r="I21" s="153">
        <f t="shared" si="1"/>
        <v>0.34693323322210201</v>
      </c>
      <c r="J21" s="153" t="s">
        <v>10</v>
      </c>
    </row>
    <row r="22" spans="1:10">
      <c r="A22" s="161" t="s">
        <v>72</v>
      </c>
      <c r="B22" s="153">
        <f>((B17/B5)^(1/12)-1)*100</f>
        <v>-0.24521579308709462</v>
      </c>
      <c r="C22" s="153">
        <f t="shared" ref="C22:I22" si="2">((C17/C5)^(1/12)-1)*100</f>
        <v>0.2764150524185105</v>
      </c>
      <c r="D22" s="153">
        <f t="shared" si="2"/>
        <v>0.42399905467234156</v>
      </c>
      <c r="E22" s="153" t="s">
        <v>10</v>
      </c>
      <c r="F22" s="153" t="s">
        <v>10</v>
      </c>
      <c r="G22" s="153" t="s">
        <v>10</v>
      </c>
      <c r="H22" s="153" t="s">
        <v>10</v>
      </c>
      <c r="I22" s="153">
        <f t="shared" si="2"/>
        <v>-0.10637309766293734</v>
      </c>
      <c r="J22" s="153" t="s">
        <v>10</v>
      </c>
    </row>
    <row r="23" spans="1:10">
      <c r="A23" s="151"/>
      <c r="B23" s="153"/>
      <c r="C23" s="153"/>
      <c r="D23" s="153"/>
      <c r="E23" s="153"/>
      <c r="F23" s="153"/>
      <c r="G23" s="153"/>
      <c r="H23" s="153"/>
      <c r="I23" s="153"/>
      <c r="J23" s="153"/>
    </row>
    <row r="24" spans="1:10">
      <c r="A24" s="140" t="s">
        <v>205</v>
      </c>
      <c r="B24" s="140"/>
      <c r="C24" s="140"/>
      <c r="D24" s="140"/>
      <c r="E24" s="140"/>
      <c r="F24" s="140"/>
      <c r="G24" s="140"/>
      <c r="H24" s="140"/>
      <c r="I24" s="140"/>
      <c r="J24" s="140"/>
    </row>
    <row r="25" spans="1:10">
      <c r="A25" s="151" t="s">
        <v>206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6">
    <mergeCell ref="A1:J1"/>
    <mergeCell ref="A19:J19"/>
    <mergeCell ref="C2:D2"/>
    <mergeCell ref="B2:B3"/>
    <mergeCell ref="E2:H2"/>
    <mergeCell ref="I2:J2"/>
  </mergeCells>
  <printOptions gridLines="1"/>
  <pageMargins left="0.7" right="0.7" top="0.75" bottom="0.75" header="0.3" footer="0.3"/>
  <pageSetup scale="80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222"/>
  <sheetViews>
    <sheetView view="pageBreakPreview" topLeftCell="A151" zoomScale="70" zoomScaleNormal="100" zoomScaleSheetLayoutView="70" workbookViewId="0">
      <selection activeCell="Y162" sqref="Y162"/>
    </sheetView>
  </sheetViews>
  <sheetFormatPr defaultRowHeight="15"/>
  <cols>
    <col min="1" max="1" width="15.28515625" style="3" customWidth="1"/>
    <col min="2" max="25" width="12.7109375" style="3" customWidth="1"/>
    <col min="26" max="16384" width="9.140625" style="3"/>
  </cols>
  <sheetData>
    <row r="1" spans="1:42">
      <c r="A1" s="461" t="s">
        <v>601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</row>
    <row r="2" spans="1:42">
      <c r="A2" s="223"/>
    </row>
    <row r="3" spans="1:42">
      <c r="A3" s="475" t="s">
        <v>485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</row>
    <row r="4" spans="1:42"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7"/>
      <c r="AG4" s="297"/>
      <c r="AH4" s="297"/>
      <c r="AI4" s="297"/>
      <c r="AJ4" s="297"/>
      <c r="AK4" s="297"/>
      <c r="AL4" s="297"/>
      <c r="AM4" s="297"/>
      <c r="AN4" s="297"/>
      <c r="AO4" s="297"/>
      <c r="AP4" s="297"/>
    </row>
    <row r="5" spans="1:42">
      <c r="B5" s="461" t="s">
        <v>439</v>
      </c>
      <c r="C5" s="461"/>
      <c r="D5" s="461"/>
      <c r="E5" s="461"/>
      <c r="F5" s="461"/>
      <c r="G5" s="461"/>
      <c r="H5" s="461" t="s">
        <v>132</v>
      </c>
      <c r="I5" s="461"/>
      <c r="J5" s="461"/>
      <c r="K5" s="461"/>
      <c r="L5" s="461"/>
      <c r="M5" s="461"/>
      <c r="N5" s="461" t="s">
        <v>133</v>
      </c>
      <c r="O5" s="461"/>
      <c r="P5" s="461"/>
      <c r="Q5" s="461"/>
      <c r="R5" s="461"/>
      <c r="S5" s="461"/>
      <c r="T5" s="461" t="s">
        <v>440</v>
      </c>
      <c r="U5" s="461"/>
      <c r="V5" s="461"/>
      <c r="W5" s="461"/>
      <c r="X5" s="461"/>
      <c r="Y5" s="461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</row>
    <row r="6" spans="1:42" ht="75">
      <c r="A6" s="223"/>
      <c r="B6" s="294" t="s">
        <v>8</v>
      </c>
      <c r="C6" s="146" t="s">
        <v>441</v>
      </c>
      <c r="D6" s="146" t="s">
        <v>248</v>
      </c>
      <c r="E6" s="146" t="s">
        <v>249</v>
      </c>
      <c r="F6" s="146" t="s">
        <v>442</v>
      </c>
      <c r="G6" s="146" t="s">
        <v>443</v>
      </c>
      <c r="H6" s="294" t="s">
        <v>8</v>
      </c>
      <c r="I6" s="146" t="s">
        <v>441</v>
      </c>
      <c r="J6" s="146" t="s">
        <v>248</v>
      </c>
      <c r="K6" s="146" t="s">
        <v>249</v>
      </c>
      <c r="L6" s="146" t="s">
        <v>442</v>
      </c>
      <c r="M6" s="146" t="s">
        <v>443</v>
      </c>
      <c r="N6" s="294" t="s">
        <v>8</v>
      </c>
      <c r="O6" s="146" t="s">
        <v>441</v>
      </c>
      <c r="P6" s="146" t="s">
        <v>248</v>
      </c>
      <c r="Q6" s="146" t="s">
        <v>249</v>
      </c>
      <c r="R6" s="146" t="s">
        <v>442</v>
      </c>
      <c r="S6" s="146" t="s">
        <v>443</v>
      </c>
      <c r="T6" s="294" t="s">
        <v>8</v>
      </c>
      <c r="U6" s="146" t="s">
        <v>441</v>
      </c>
      <c r="V6" s="146" t="s">
        <v>248</v>
      </c>
      <c r="W6" s="146" t="s">
        <v>249</v>
      </c>
      <c r="X6" s="146" t="s">
        <v>442</v>
      </c>
      <c r="Y6" s="146" t="s">
        <v>443</v>
      </c>
      <c r="Z6" s="297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</row>
    <row r="7" spans="1:42">
      <c r="A7" s="223">
        <v>1997</v>
      </c>
      <c r="B7" s="190">
        <f>C7+D7+E7</f>
        <v>13866798</v>
      </c>
      <c r="C7" s="408">
        <v>2785139</v>
      </c>
      <c r="D7" s="408">
        <v>5619492</v>
      </c>
      <c r="E7" s="408">
        <v>5462167</v>
      </c>
      <c r="F7" s="408">
        <v>4019609</v>
      </c>
      <c r="G7" s="408">
        <v>1442558</v>
      </c>
      <c r="H7" s="408" t="s">
        <v>9</v>
      </c>
      <c r="I7" s="408">
        <v>526872</v>
      </c>
      <c r="J7" s="408">
        <v>1274137</v>
      </c>
      <c r="K7" s="408" t="s">
        <v>9</v>
      </c>
      <c r="L7" s="408" t="s">
        <v>9</v>
      </c>
      <c r="M7" s="408" t="s">
        <v>9</v>
      </c>
      <c r="N7" s="190">
        <f>O7+P7+Q7</f>
        <v>3261304</v>
      </c>
      <c r="O7" s="408">
        <v>448282</v>
      </c>
      <c r="P7" s="408">
        <v>1116198</v>
      </c>
      <c r="Q7" s="408">
        <v>1696824</v>
      </c>
      <c r="R7" s="408">
        <v>933092</v>
      </c>
      <c r="S7" s="408">
        <v>763731</v>
      </c>
      <c r="T7" s="190">
        <f>U7+V7+W7</f>
        <v>4386296</v>
      </c>
      <c r="U7" s="408">
        <v>1304668</v>
      </c>
      <c r="V7" s="408">
        <v>2198282</v>
      </c>
      <c r="W7" s="408">
        <v>883346</v>
      </c>
      <c r="X7" s="408">
        <v>802952</v>
      </c>
      <c r="Y7" s="408">
        <v>80394</v>
      </c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</row>
    <row r="8" spans="1:42">
      <c r="A8" s="223">
        <v>1998</v>
      </c>
      <c r="B8" s="190">
        <f t="shared" ref="B8:B23" si="0">C8+D8+E8</f>
        <v>13581253</v>
      </c>
      <c r="C8" s="408">
        <v>2609426</v>
      </c>
      <c r="D8" s="408">
        <v>5664613</v>
      </c>
      <c r="E8" s="408">
        <v>5307214</v>
      </c>
      <c r="F8" s="408">
        <v>3688499</v>
      </c>
      <c r="G8" s="408">
        <v>1618715</v>
      </c>
      <c r="H8" s="190">
        <f t="shared" ref="H8:H23" si="1">I8+J8+K8</f>
        <v>3939571</v>
      </c>
      <c r="I8" s="408">
        <v>571755</v>
      </c>
      <c r="J8" s="408">
        <v>1352655</v>
      </c>
      <c r="K8" s="408">
        <v>2015161</v>
      </c>
      <c r="L8" s="408">
        <v>1460205</v>
      </c>
      <c r="M8" s="408">
        <v>554956</v>
      </c>
      <c r="N8" s="190">
        <f t="shared" ref="N8:N23" si="2">O8+P8+Q8</f>
        <v>3283596</v>
      </c>
      <c r="O8" s="408">
        <v>407965</v>
      </c>
      <c r="P8" s="408">
        <v>1195721</v>
      </c>
      <c r="Q8" s="408">
        <v>1679910</v>
      </c>
      <c r="R8" s="408">
        <v>868556</v>
      </c>
      <c r="S8" s="408">
        <v>811353</v>
      </c>
      <c r="T8" s="190">
        <f t="shared" ref="T8:T23" si="3">U8+V8+W8</f>
        <v>3928995</v>
      </c>
      <c r="U8" s="408">
        <v>1136532</v>
      </c>
      <c r="V8" s="408">
        <v>2035183</v>
      </c>
      <c r="W8" s="408">
        <v>757280</v>
      </c>
      <c r="X8" s="408" t="s">
        <v>9</v>
      </c>
      <c r="Y8" s="408" t="s">
        <v>9</v>
      </c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</row>
    <row r="9" spans="1:42">
      <c r="A9" s="223">
        <v>1999</v>
      </c>
      <c r="B9" s="190">
        <f t="shared" si="0"/>
        <v>14555899</v>
      </c>
      <c r="C9" s="408">
        <v>2795988</v>
      </c>
      <c r="D9" s="408">
        <v>6147079</v>
      </c>
      <c r="E9" s="408">
        <v>5612832</v>
      </c>
      <c r="F9" s="408">
        <v>3901836</v>
      </c>
      <c r="G9" s="408">
        <v>1710995</v>
      </c>
      <c r="H9" s="190">
        <f t="shared" si="1"/>
        <v>4164769</v>
      </c>
      <c r="I9" s="408">
        <v>591029</v>
      </c>
      <c r="J9" s="408">
        <v>1550242</v>
      </c>
      <c r="K9" s="408">
        <v>2023498</v>
      </c>
      <c r="L9" s="408">
        <v>1444447</v>
      </c>
      <c r="M9" s="408">
        <v>579051</v>
      </c>
      <c r="N9" s="190">
        <f t="shared" si="2"/>
        <v>3524904</v>
      </c>
      <c r="O9" s="408">
        <v>429358</v>
      </c>
      <c r="P9" s="408">
        <v>1284778</v>
      </c>
      <c r="Q9" s="408">
        <v>1810768</v>
      </c>
      <c r="R9" s="408">
        <v>948448</v>
      </c>
      <c r="S9" s="408">
        <v>862320</v>
      </c>
      <c r="T9" s="190">
        <f t="shared" si="3"/>
        <v>4298329</v>
      </c>
      <c r="U9" s="408">
        <v>1277062</v>
      </c>
      <c r="V9" s="408">
        <v>2127542</v>
      </c>
      <c r="W9" s="408">
        <v>893725</v>
      </c>
      <c r="X9" s="408" t="s">
        <v>9</v>
      </c>
      <c r="Y9" s="408" t="s">
        <v>9</v>
      </c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</row>
    <row r="10" spans="1:42">
      <c r="A10" s="223">
        <v>2000</v>
      </c>
      <c r="B10" s="190">
        <f t="shared" si="0"/>
        <v>15585551</v>
      </c>
      <c r="C10" s="408">
        <v>2889209</v>
      </c>
      <c r="D10" s="408">
        <v>6832997</v>
      </c>
      <c r="E10" s="408">
        <v>5863345</v>
      </c>
      <c r="F10" s="408">
        <v>3957357</v>
      </c>
      <c r="G10" s="408">
        <v>1905988</v>
      </c>
      <c r="H10" s="190">
        <f t="shared" si="1"/>
        <v>4442642</v>
      </c>
      <c r="I10" s="408">
        <v>557456</v>
      </c>
      <c r="J10" s="408">
        <v>1815403</v>
      </c>
      <c r="K10" s="408">
        <v>2069783</v>
      </c>
      <c r="L10" s="408">
        <v>1445511</v>
      </c>
      <c r="M10" s="408">
        <v>624272</v>
      </c>
      <c r="N10" s="190">
        <f t="shared" si="2"/>
        <v>3873131</v>
      </c>
      <c r="O10" s="408">
        <v>488418</v>
      </c>
      <c r="P10" s="408">
        <v>1408479</v>
      </c>
      <c r="Q10" s="408">
        <v>1976234</v>
      </c>
      <c r="R10" s="408">
        <v>985066</v>
      </c>
      <c r="S10" s="408">
        <v>991169</v>
      </c>
      <c r="T10" s="190">
        <f t="shared" si="3"/>
        <v>4531361</v>
      </c>
      <c r="U10" s="408">
        <v>1325867</v>
      </c>
      <c r="V10" s="408">
        <v>2334324</v>
      </c>
      <c r="W10" s="408">
        <v>871170</v>
      </c>
      <c r="X10" s="408" t="s">
        <v>9</v>
      </c>
      <c r="Y10" s="408" t="s">
        <v>9</v>
      </c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</row>
    <row r="11" spans="1:42">
      <c r="A11" s="223">
        <v>2001</v>
      </c>
      <c r="B11" s="190">
        <f t="shared" si="0"/>
        <v>15469646</v>
      </c>
      <c r="C11" s="408">
        <v>2889380</v>
      </c>
      <c r="D11" s="408">
        <v>6639753</v>
      </c>
      <c r="E11" s="408">
        <v>5940513</v>
      </c>
      <c r="F11" s="408">
        <v>3891410</v>
      </c>
      <c r="G11" s="408">
        <v>2049103</v>
      </c>
      <c r="H11" s="190">
        <f t="shared" si="1"/>
        <v>4253082</v>
      </c>
      <c r="I11" s="408">
        <v>531308</v>
      </c>
      <c r="J11" s="408">
        <v>1723516</v>
      </c>
      <c r="K11" s="408">
        <v>1998258</v>
      </c>
      <c r="L11" s="408">
        <v>1374059</v>
      </c>
      <c r="M11" s="408">
        <v>624199</v>
      </c>
      <c r="N11" s="190">
        <f t="shared" si="2"/>
        <v>3959784</v>
      </c>
      <c r="O11" s="408">
        <v>434005</v>
      </c>
      <c r="P11" s="408">
        <v>1432668</v>
      </c>
      <c r="Q11" s="408">
        <v>2093111</v>
      </c>
      <c r="R11" s="408">
        <v>982742</v>
      </c>
      <c r="S11" s="408">
        <v>1110369</v>
      </c>
      <c r="T11" s="190">
        <f t="shared" si="3"/>
        <v>4418854</v>
      </c>
      <c r="U11" s="408">
        <v>1388513</v>
      </c>
      <c r="V11" s="408">
        <v>2194962</v>
      </c>
      <c r="W11" s="408">
        <v>835379</v>
      </c>
      <c r="X11" s="408" t="s">
        <v>9</v>
      </c>
      <c r="Y11" s="408" t="s">
        <v>9</v>
      </c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</row>
    <row r="12" spans="1:42">
      <c r="A12" s="223">
        <v>2002</v>
      </c>
      <c r="B12" s="190">
        <f t="shared" si="0"/>
        <v>15951991</v>
      </c>
      <c r="C12" s="408">
        <v>2996011</v>
      </c>
      <c r="D12" s="408">
        <v>6928482</v>
      </c>
      <c r="E12" s="408">
        <v>6027498</v>
      </c>
      <c r="F12" s="408">
        <v>3920934</v>
      </c>
      <c r="G12" s="408">
        <v>2106564</v>
      </c>
      <c r="H12" s="190">
        <f t="shared" si="1"/>
        <v>4465179</v>
      </c>
      <c r="I12" s="408">
        <v>551963</v>
      </c>
      <c r="J12" s="408">
        <v>1810244</v>
      </c>
      <c r="K12" s="408">
        <v>2102972</v>
      </c>
      <c r="L12" s="408">
        <v>1472461</v>
      </c>
      <c r="M12" s="408">
        <v>630511</v>
      </c>
      <c r="N12" s="190">
        <f t="shared" si="2"/>
        <v>4032876</v>
      </c>
      <c r="O12" s="408">
        <v>422930</v>
      </c>
      <c r="P12" s="408">
        <v>1491258</v>
      </c>
      <c r="Q12" s="408">
        <v>2118688</v>
      </c>
      <c r="R12" s="408">
        <v>956721</v>
      </c>
      <c r="S12" s="408">
        <v>1161968</v>
      </c>
      <c r="T12" s="190">
        <f t="shared" si="3"/>
        <v>4481422</v>
      </c>
      <c r="U12" s="408">
        <v>1466871</v>
      </c>
      <c r="V12" s="408">
        <v>2213709</v>
      </c>
      <c r="W12" s="408">
        <v>800842</v>
      </c>
      <c r="X12" s="408">
        <v>705455</v>
      </c>
      <c r="Y12" s="408">
        <v>95387</v>
      </c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</row>
    <row r="13" spans="1:42">
      <c r="A13" s="223">
        <v>2003</v>
      </c>
      <c r="B13" s="190">
        <f t="shared" si="0"/>
        <v>16157855</v>
      </c>
      <c r="C13" s="408">
        <v>2934719</v>
      </c>
      <c r="D13" s="408">
        <v>6935857</v>
      </c>
      <c r="E13" s="408">
        <v>6287279</v>
      </c>
      <c r="F13" s="408">
        <v>4091968</v>
      </c>
      <c r="G13" s="408">
        <v>2195310</v>
      </c>
      <c r="H13" s="190">
        <f t="shared" si="1"/>
        <v>4503042</v>
      </c>
      <c r="I13" s="408">
        <v>585310</v>
      </c>
      <c r="J13" s="408">
        <v>1796210</v>
      </c>
      <c r="K13" s="408">
        <v>2121522</v>
      </c>
      <c r="L13" s="408">
        <v>1506165</v>
      </c>
      <c r="M13" s="408">
        <v>615357</v>
      </c>
      <c r="N13" s="190">
        <f t="shared" si="2"/>
        <v>4066569</v>
      </c>
      <c r="O13" s="408">
        <v>408914</v>
      </c>
      <c r="P13" s="408">
        <v>1459624</v>
      </c>
      <c r="Q13" s="408">
        <v>2198031</v>
      </c>
      <c r="R13" s="408">
        <v>950338</v>
      </c>
      <c r="S13" s="408">
        <v>1247693</v>
      </c>
      <c r="T13" s="190">
        <f t="shared" si="3"/>
        <v>4589845</v>
      </c>
      <c r="U13" s="408">
        <v>1433069</v>
      </c>
      <c r="V13" s="408">
        <v>2265795</v>
      </c>
      <c r="W13" s="408">
        <v>890981</v>
      </c>
      <c r="X13" s="408">
        <v>788979</v>
      </c>
      <c r="Y13" s="408">
        <v>102002</v>
      </c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</row>
    <row r="14" spans="1:42">
      <c r="A14" s="223">
        <v>2004</v>
      </c>
      <c r="B14" s="190">
        <f t="shared" si="0"/>
        <v>17224606</v>
      </c>
      <c r="C14" s="408">
        <v>3090971</v>
      </c>
      <c r="D14" s="408">
        <v>7537975</v>
      </c>
      <c r="E14" s="408">
        <v>6595660</v>
      </c>
      <c r="F14" s="408">
        <v>4324174</v>
      </c>
      <c r="G14" s="408">
        <v>2271486</v>
      </c>
      <c r="H14" s="190">
        <f t="shared" si="1"/>
        <v>4691979</v>
      </c>
      <c r="I14" s="408">
        <v>613091</v>
      </c>
      <c r="J14" s="408">
        <v>1854890</v>
      </c>
      <c r="K14" s="408">
        <v>2223998</v>
      </c>
      <c r="L14" s="408">
        <v>1589834</v>
      </c>
      <c r="M14" s="408">
        <v>634164</v>
      </c>
      <c r="N14" s="190">
        <f t="shared" si="2"/>
        <v>4169753</v>
      </c>
      <c r="O14" s="408">
        <v>420426</v>
      </c>
      <c r="P14" s="408">
        <v>1511703</v>
      </c>
      <c r="Q14" s="408">
        <v>2237624</v>
      </c>
      <c r="R14" s="408">
        <v>952830</v>
      </c>
      <c r="S14" s="408">
        <v>1284794</v>
      </c>
      <c r="T14" s="190">
        <f t="shared" si="3"/>
        <v>5158224</v>
      </c>
      <c r="U14" s="408">
        <v>1542757</v>
      </c>
      <c r="V14" s="408">
        <v>2629939</v>
      </c>
      <c r="W14" s="408">
        <v>985528</v>
      </c>
      <c r="X14" s="408">
        <v>875338</v>
      </c>
      <c r="Y14" s="408">
        <v>110190</v>
      </c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</row>
    <row r="15" spans="1:42">
      <c r="A15" s="223">
        <v>2005</v>
      </c>
      <c r="B15" s="190">
        <f t="shared" si="0"/>
        <v>17890139</v>
      </c>
      <c r="C15" s="408">
        <v>3189501</v>
      </c>
      <c r="D15" s="408">
        <v>7799500</v>
      </c>
      <c r="E15" s="408">
        <v>6901138</v>
      </c>
      <c r="F15" s="408">
        <v>4540863</v>
      </c>
      <c r="G15" s="408">
        <v>2360275</v>
      </c>
      <c r="H15" s="190">
        <f t="shared" si="1"/>
        <v>4941978</v>
      </c>
      <c r="I15" s="408">
        <v>639871</v>
      </c>
      <c r="J15" s="408">
        <v>1873784</v>
      </c>
      <c r="K15" s="408">
        <v>2428323</v>
      </c>
      <c r="L15" s="408">
        <v>1787107</v>
      </c>
      <c r="M15" s="408">
        <v>641216</v>
      </c>
      <c r="N15" s="190">
        <f t="shared" si="2"/>
        <v>4191801</v>
      </c>
      <c r="O15" s="408">
        <v>453624</v>
      </c>
      <c r="P15" s="408">
        <v>1506746</v>
      </c>
      <c r="Q15" s="408">
        <v>2231431</v>
      </c>
      <c r="R15" s="408">
        <v>888021</v>
      </c>
      <c r="S15" s="408">
        <v>1343410</v>
      </c>
      <c r="T15" s="190">
        <f t="shared" si="3"/>
        <v>5468509</v>
      </c>
      <c r="U15" s="408">
        <v>1594981</v>
      </c>
      <c r="V15" s="408">
        <v>2771907</v>
      </c>
      <c r="W15" s="408">
        <v>1101621</v>
      </c>
      <c r="X15" s="408">
        <v>979536</v>
      </c>
      <c r="Y15" s="408">
        <v>122085</v>
      </c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</row>
    <row r="16" spans="1:42">
      <c r="A16" s="223">
        <v>2006</v>
      </c>
      <c r="B16" s="190">
        <f t="shared" si="0"/>
        <v>17145793</v>
      </c>
      <c r="C16" s="408">
        <v>2995056</v>
      </c>
      <c r="D16" s="408">
        <v>7515545</v>
      </c>
      <c r="E16" s="408">
        <v>6635192</v>
      </c>
      <c r="F16" s="408">
        <v>4324671</v>
      </c>
      <c r="G16" s="408">
        <v>2310521</v>
      </c>
      <c r="H16" s="190">
        <f t="shared" si="1"/>
        <v>4782794</v>
      </c>
      <c r="I16" s="408">
        <v>634756</v>
      </c>
      <c r="J16" s="408">
        <v>1748633</v>
      </c>
      <c r="K16" s="408">
        <v>2399405</v>
      </c>
      <c r="L16" s="408">
        <v>1792848</v>
      </c>
      <c r="M16" s="408">
        <v>606557</v>
      </c>
      <c r="N16" s="190">
        <f t="shared" si="2"/>
        <v>4050101</v>
      </c>
      <c r="O16" s="408">
        <v>428490</v>
      </c>
      <c r="P16" s="408">
        <v>1494492</v>
      </c>
      <c r="Q16" s="408">
        <v>2127119</v>
      </c>
      <c r="R16" s="408">
        <v>776849</v>
      </c>
      <c r="S16" s="408">
        <v>1350270</v>
      </c>
      <c r="T16" s="190">
        <f t="shared" si="3"/>
        <v>5126031</v>
      </c>
      <c r="U16" s="408">
        <v>1423138</v>
      </c>
      <c r="V16" s="408">
        <v>2627221</v>
      </c>
      <c r="W16" s="408">
        <v>1075672</v>
      </c>
      <c r="X16" s="408">
        <v>959778</v>
      </c>
      <c r="Y16" s="408">
        <v>115894</v>
      </c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</row>
    <row r="17" spans="1:42">
      <c r="A17" s="223">
        <v>2007</v>
      </c>
      <c r="B17" s="190">
        <f t="shared" si="0"/>
        <v>16123486</v>
      </c>
      <c r="C17" s="408">
        <v>2810530</v>
      </c>
      <c r="D17" s="408">
        <v>6806439</v>
      </c>
      <c r="E17" s="408">
        <v>6506517</v>
      </c>
      <c r="F17" s="408">
        <v>4252492</v>
      </c>
      <c r="G17" s="408">
        <v>2254025</v>
      </c>
      <c r="H17" s="190">
        <f t="shared" si="1"/>
        <v>4527095</v>
      </c>
      <c r="I17" s="408">
        <v>600856</v>
      </c>
      <c r="J17" s="408">
        <v>1571434</v>
      </c>
      <c r="K17" s="408">
        <v>2354805</v>
      </c>
      <c r="L17" s="408">
        <v>1693613</v>
      </c>
      <c r="M17" s="408">
        <v>661192</v>
      </c>
      <c r="N17" s="190">
        <f t="shared" si="2"/>
        <v>3657744</v>
      </c>
      <c r="O17" s="408">
        <v>390310</v>
      </c>
      <c r="P17" s="408">
        <v>1304981</v>
      </c>
      <c r="Q17" s="408">
        <v>1962453</v>
      </c>
      <c r="R17" s="408">
        <v>726614</v>
      </c>
      <c r="S17" s="408">
        <v>1235839</v>
      </c>
      <c r="T17" s="190">
        <f t="shared" si="3"/>
        <v>4812110</v>
      </c>
      <c r="U17" s="408">
        <v>1334135</v>
      </c>
      <c r="V17" s="408">
        <v>2359318</v>
      </c>
      <c r="W17" s="408">
        <v>1118657</v>
      </c>
      <c r="X17" s="408">
        <v>1006696</v>
      </c>
      <c r="Y17" s="408">
        <v>111961</v>
      </c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</row>
    <row r="18" spans="1:42">
      <c r="A18" s="223">
        <v>2008</v>
      </c>
      <c r="B18" s="190">
        <f t="shared" si="0"/>
        <v>14700715</v>
      </c>
      <c r="C18" s="408">
        <v>2651544</v>
      </c>
      <c r="D18" s="408">
        <v>6064900</v>
      </c>
      <c r="E18" s="408">
        <v>5984271</v>
      </c>
      <c r="F18" s="408">
        <v>3866974</v>
      </c>
      <c r="G18" s="408">
        <v>2117298</v>
      </c>
      <c r="H18" s="190">
        <f t="shared" si="1"/>
        <v>4332859</v>
      </c>
      <c r="I18" s="408">
        <v>700242</v>
      </c>
      <c r="J18" s="408">
        <v>1441833</v>
      </c>
      <c r="K18" s="408">
        <v>2190784</v>
      </c>
      <c r="L18" s="408">
        <v>1550641</v>
      </c>
      <c r="M18" s="408">
        <v>640143</v>
      </c>
      <c r="N18" s="190">
        <f t="shared" si="2"/>
        <v>3362166</v>
      </c>
      <c r="O18" s="408">
        <v>359769</v>
      </c>
      <c r="P18" s="408">
        <v>1163375</v>
      </c>
      <c r="Q18" s="408">
        <v>1839022</v>
      </c>
      <c r="R18" s="408">
        <v>685984</v>
      </c>
      <c r="S18" s="408">
        <v>1153039</v>
      </c>
      <c r="T18" s="190">
        <f t="shared" si="3"/>
        <v>4124317</v>
      </c>
      <c r="U18" s="408">
        <v>1113626</v>
      </c>
      <c r="V18" s="408">
        <v>2011968</v>
      </c>
      <c r="W18" s="408">
        <v>998723</v>
      </c>
      <c r="X18" s="408">
        <v>892389</v>
      </c>
      <c r="Y18" s="408">
        <v>106334</v>
      </c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</row>
    <row r="19" spans="1:42">
      <c r="A19" s="223">
        <v>2009</v>
      </c>
      <c r="B19" s="190">
        <f t="shared" si="0"/>
        <v>13163252</v>
      </c>
      <c r="C19" s="408">
        <v>2250987</v>
      </c>
      <c r="D19" s="408">
        <v>5248643</v>
      </c>
      <c r="E19" s="408">
        <v>5663622</v>
      </c>
      <c r="F19" s="408">
        <v>3525986</v>
      </c>
      <c r="G19" s="408">
        <v>2137636</v>
      </c>
      <c r="H19" s="190">
        <f t="shared" si="1"/>
        <v>3833099</v>
      </c>
      <c r="I19" s="408">
        <v>701735</v>
      </c>
      <c r="J19" s="408">
        <v>1264549</v>
      </c>
      <c r="K19" s="408">
        <v>1866815</v>
      </c>
      <c r="L19" s="408">
        <v>1231278</v>
      </c>
      <c r="M19" s="408">
        <v>635538</v>
      </c>
      <c r="N19" s="190">
        <f t="shared" si="2"/>
        <v>3046602</v>
      </c>
      <c r="O19" s="408">
        <v>282115</v>
      </c>
      <c r="P19" s="408">
        <v>950504</v>
      </c>
      <c r="Q19" s="408">
        <v>1813983</v>
      </c>
      <c r="R19" s="408">
        <v>637592</v>
      </c>
      <c r="S19" s="408">
        <v>1176391</v>
      </c>
      <c r="T19" s="190">
        <f t="shared" si="3"/>
        <v>3670324</v>
      </c>
      <c r="U19" s="408">
        <v>835843</v>
      </c>
      <c r="V19" s="408">
        <v>1799362</v>
      </c>
      <c r="W19" s="408">
        <v>1035119</v>
      </c>
      <c r="X19" s="408">
        <v>927062</v>
      </c>
      <c r="Y19" s="408">
        <v>108056</v>
      </c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</row>
    <row r="20" spans="1:42">
      <c r="A20" s="223">
        <v>2010</v>
      </c>
      <c r="B20" s="190">
        <f t="shared" si="0"/>
        <v>13252393</v>
      </c>
      <c r="C20" s="408">
        <v>2275991</v>
      </c>
      <c r="D20" s="408">
        <v>5483630</v>
      </c>
      <c r="E20" s="408">
        <v>5492772</v>
      </c>
      <c r="F20" s="408">
        <v>3344498</v>
      </c>
      <c r="G20" s="408">
        <v>2148275</v>
      </c>
      <c r="H20" s="190">
        <f t="shared" si="1"/>
        <v>3910989</v>
      </c>
      <c r="I20" s="408">
        <v>542175</v>
      </c>
      <c r="J20" s="408">
        <v>1476080</v>
      </c>
      <c r="K20" s="408">
        <v>1892734</v>
      </c>
      <c r="L20" s="408">
        <v>1228024</v>
      </c>
      <c r="M20" s="408">
        <v>664710</v>
      </c>
      <c r="N20" s="190">
        <f t="shared" si="2"/>
        <v>3024241</v>
      </c>
      <c r="O20" s="408">
        <v>263069</v>
      </c>
      <c r="P20" s="408">
        <v>980102</v>
      </c>
      <c r="Q20" s="408">
        <v>1781070</v>
      </c>
      <c r="R20" s="408">
        <v>601909</v>
      </c>
      <c r="S20" s="408">
        <v>1179161</v>
      </c>
      <c r="T20" s="190">
        <f t="shared" si="3"/>
        <v>3786981</v>
      </c>
      <c r="U20" s="408">
        <v>987253</v>
      </c>
      <c r="V20" s="408">
        <v>1828980</v>
      </c>
      <c r="W20" s="408">
        <v>970748</v>
      </c>
      <c r="X20" s="408">
        <v>880907</v>
      </c>
      <c r="Y20" s="408">
        <v>89842</v>
      </c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</row>
    <row r="21" spans="1:42">
      <c r="A21" s="223">
        <v>2011</v>
      </c>
      <c r="B21" s="190">
        <f t="shared" si="0"/>
        <v>13258920</v>
      </c>
      <c r="C21" s="408">
        <v>2480639</v>
      </c>
      <c r="D21" s="408">
        <v>5348895</v>
      </c>
      <c r="E21" s="408">
        <v>5429386</v>
      </c>
      <c r="F21" s="408">
        <v>3334613</v>
      </c>
      <c r="G21" s="408">
        <v>2094773</v>
      </c>
      <c r="H21" s="190">
        <f t="shared" si="1"/>
        <v>3783541</v>
      </c>
      <c r="I21" s="408">
        <v>603928</v>
      </c>
      <c r="J21" s="408">
        <v>1392055</v>
      </c>
      <c r="K21" s="408">
        <v>1787558</v>
      </c>
      <c r="L21" s="408">
        <v>1156474</v>
      </c>
      <c r="M21" s="408">
        <v>631084</v>
      </c>
      <c r="N21" s="190">
        <f t="shared" si="2"/>
        <v>2951988</v>
      </c>
      <c r="O21" s="408">
        <v>292722</v>
      </c>
      <c r="P21" s="408">
        <v>913956</v>
      </c>
      <c r="Q21" s="408">
        <v>1745310</v>
      </c>
      <c r="R21" s="408">
        <v>577115</v>
      </c>
      <c r="S21" s="408">
        <v>1168195</v>
      </c>
      <c r="T21" s="190">
        <f t="shared" si="3"/>
        <v>3913774</v>
      </c>
      <c r="U21" s="408">
        <v>1086000</v>
      </c>
      <c r="V21" s="408">
        <v>1785078</v>
      </c>
      <c r="W21" s="408">
        <v>1042696</v>
      </c>
      <c r="X21" s="408">
        <v>958517</v>
      </c>
      <c r="Y21" s="408">
        <v>84178</v>
      </c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</row>
    <row r="22" spans="1:42">
      <c r="A22" s="223">
        <v>2012</v>
      </c>
      <c r="B22" s="190">
        <f t="shared" si="0"/>
        <v>13620180</v>
      </c>
      <c r="C22" s="408">
        <v>2410129</v>
      </c>
      <c r="D22" s="408">
        <v>5803136</v>
      </c>
      <c r="E22" s="408">
        <v>5406915</v>
      </c>
      <c r="F22" s="408">
        <v>3364530</v>
      </c>
      <c r="G22" s="408">
        <v>2042385</v>
      </c>
      <c r="H22" s="190">
        <f t="shared" si="1"/>
        <v>3675441</v>
      </c>
      <c r="I22" s="408">
        <v>524070</v>
      </c>
      <c r="J22" s="408">
        <v>1338498</v>
      </c>
      <c r="K22" s="408">
        <v>1812873</v>
      </c>
      <c r="L22" s="408">
        <v>1207006</v>
      </c>
      <c r="M22" s="408">
        <v>605867</v>
      </c>
      <c r="N22" s="190">
        <f t="shared" si="2"/>
        <v>2851509</v>
      </c>
      <c r="O22" s="408">
        <v>269776</v>
      </c>
      <c r="P22" s="408">
        <v>849523</v>
      </c>
      <c r="Q22" s="408">
        <v>1732210</v>
      </c>
      <c r="R22" s="408">
        <v>595579</v>
      </c>
      <c r="S22" s="408">
        <v>1136631</v>
      </c>
      <c r="T22" s="190">
        <f t="shared" si="3"/>
        <v>4268059</v>
      </c>
      <c r="U22" s="408">
        <v>1108750</v>
      </c>
      <c r="V22" s="408">
        <v>2145599</v>
      </c>
      <c r="W22" s="408">
        <v>1013710</v>
      </c>
      <c r="X22" s="408">
        <v>927469</v>
      </c>
      <c r="Y22" s="408">
        <v>86241</v>
      </c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</row>
    <row r="23" spans="1:42">
      <c r="A23" s="223">
        <v>2013</v>
      </c>
      <c r="B23" s="190">
        <f t="shared" si="0"/>
        <v>13728724</v>
      </c>
      <c r="C23" s="408">
        <v>2476446</v>
      </c>
      <c r="D23" s="408">
        <v>5895075</v>
      </c>
      <c r="E23" s="408">
        <v>5357203</v>
      </c>
      <c r="F23" s="408">
        <v>3347923</v>
      </c>
      <c r="G23" s="408">
        <v>2009279</v>
      </c>
      <c r="H23" s="190">
        <f t="shared" si="1"/>
        <v>3557437</v>
      </c>
      <c r="I23" s="408">
        <v>480637</v>
      </c>
      <c r="J23" s="408">
        <v>1337226</v>
      </c>
      <c r="K23" s="408">
        <v>1739574</v>
      </c>
      <c r="L23" s="408">
        <v>1146259</v>
      </c>
      <c r="M23" s="408">
        <v>593314</v>
      </c>
      <c r="N23" s="190">
        <f t="shared" si="2"/>
        <v>2878210</v>
      </c>
      <c r="O23" s="408">
        <v>293842</v>
      </c>
      <c r="P23" s="408">
        <v>857454</v>
      </c>
      <c r="Q23" s="408">
        <v>1726914</v>
      </c>
      <c r="R23" s="408">
        <v>614122</v>
      </c>
      <c r="S23" s="408">
        <v>1112792</v>
      </c>
      <c r="T23" s="190">
        <f t="shared" si="3"/>
        <v>4396935</v>
      </c>
      <c r="U23" s="408">
        <v>1206040</v>
      </c>
      <c r="V23" s="408">
        <v>2169851</v>
      </c>
      <c r="W23" s="408">
        <v>1021044</v>
      </c>
      <c r="X23" s="408">
        <v>931802</v>
      </c>
      <c r="Y23" s="408">
        <v>89242</v>
      </c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</row>
    <row r="24" spans="1:42">
      <c r="A24" s="223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</row>
    <row r="25" spans="1:42">
      <c r="A25" s="223" t="s">
        <v>32</v>
      </c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</row>
    <row r="26" spans="1:42">
      <c r="A26" s="295" t="s">
        <v>444</v>
      </c>
      <c r="B26" s="296">
        <f>IFERROR(((B23/B7)^(1/16)-1)*100,"..")</f>
        <v>-6.2524629111093688E-2</v>
      </c>
      <c r="C26" s="296">
        <f t="shared" ref="C26:Y26" si="4">IFERROR(((C23/C7)^(1/16)-1)*100,"..")</f>
        <v>-0.7315194915654577</v>
      </c>
      <c r="D26" s="296">
        <f t="shared" si="4"/>
        <v>0.29967305084861451</v>
      </c>
      <c r="E26" s="296">
        <f t="shared" si="4"/>
        <v>-0.12119891309713138</v>
      </c>
      <c r="F26" s="296">
        <f t="shared" si="4"/>
        <v>-1.1362730987554914</v>
      </c>
      <c r="G26" s="296">
        <f t="shared" si="4"/>
        <v>2.0925814140388965</v>
      </c>
      <c r="H26" s="296" t="str">
        <f t="shared" si="4"/>
        <v>..</v>
      </c>
      <c r="I26" s="296">
        <f t="shared" si="4"/>
        <v>-0.57238887283774798</v>
      </c>
      <c r="J26" s="296">
        <f t="shared" si="4"/>
        <v>0.3025080869023089</v>
      </c>
      <c r="K26" s="296" t="str">
        <f t="shared" si="4"/>
        <v>..</v>
      </c>
      <c r="L26" s="296" t="str">
        <f t="shared" si="4"/>
        <v>..</v>
      </c>
      <c r="M26" s="296" t="str">
        <f t="shared" si="4"/>
        <v>..</v>
      </c>
      <c r="N26" s="296">
        <f t="shared" si="4"/>
        <v>-0.77794907917400069</v>
      </c>
      <c r="O26" s="296">
        <f t="shared" si="4"/>
        <v>-2.6053366757027741</v>
      </c>
      <c r="P26" s="296">
        <f t="shared" si="4"/>
        <v>-1.6347161742379934</v>
      </c>
      <c r="Q26" s="296">
        <f t="shared" si="4"/>
        <v>0.10992119503765441</v>
      </c>
      <c r="R26" s="296">
        <f t="shared" si="4"/>
        <v>-2.5805581869819294</v>
      </c>
      <c r="S26" s="296">
        <f t="shared" si="4"/>
        <v>2.3804651768934981</v>
      </c>
      <c r="T26" s="296">
        <f t="shared" si="4"/>
        <v>1.5142221970765313E-2</v>
      </c>
      <c r="U26" s="296">
        <f t="shared" si="4"/>
        <v>-0.49008475294505249</v>
      </c>
      <c r="V26" s="296">
        <f t="shared" si="4"/>
        <v>-8.1327190278057682E-2</v>
      </c>
      <c r="W26" s="296">
        <f t="shared" si="4"/>
        <v>0.9095107806477154</v>
      </c>
      <c r="X26" s="296">
        <f t="shared" si="4"/>
        <v>0.93449823014353228</v>
      </c>
      <c r="Y26" s="296">
        <f t="shared" si="4"/>
        <v>0.65471038358422273</v>
      </c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</row>
    <row r="27" spans="1:42">
      <c r="A27" s="295" t="s">
        <v>445</v>
      </c>
      <c r="B27" s="296">
        <f>IFERROR(((B23/B10)^(1/13)-1)*100,"..")</f>
        <v>-0.97105441940236181</v>
      </c>
      <c r="C27" s="296">
        <f t="shared" ref="C27:Y27" si="5">IFERROR(((C23/C10)^(1/13)-1)*100,"..")</f>
        <v>-1.1788297436800654</v>
      </c>
      <c r="D27" s="296">
        <f t="shared" si="5"/>
        <v>-1.1293142137812628</v>
      </c>
      <c r="E27" s="296">
        <f t="shared" si="5"/>
        <v>-0.69204235312638751</v>
      </c>
      <c r="F27" s="296">
        <f t="shared" si="5"/>
        <v>-1.2781933226948872</v>
      </c>
      <c r="G27" s="296">
        <f t="shared" si="5"/>
        <v>0.40679009195201399</v>
      </c>
      <c r="H27" s="296">
        <f t="shared" si="5"/>
        <v>-1.69477361230852</v>
      </c>
      <c r="I27" s="296">
        <f t="shared" si="5"/>
        <v>-1.1340686296325564</v>
      </c>
      <c r="J27" s="296">
        <f t="shared" si="5"/>
        <v>-2.324181608090703</v>
      </c>
      <c r="K27" s="296">
        <f t="shared" si="5"/>
        <v>-1.3280526346120758</v>
      </c>
      <c r="L27" s="296">
        <f t="shared" si="5"/>
        <v>-1.7684778622482744</v>
      </c>
      <c r="M27" s="296">
        <f t="shared" si="5"/>
        <v>-0.39048485592705351</v>
      </c>
      <c r="N27" s="296">
        <f t="shared" si="5"/>
        <v>-2.2579235805803011</v>
      </c>
      <c r="O27" s="296">
        <f t="shared" si="5"/>
        <v>-3.8332840329327489</v>
      </c>
      <c r="P27" s="296">
        <f t="shared" si="5"/>
        <v>-3.7457232789229633</v>
      </c>
      <c r="Q27" s="296">
        <f t="shared" si="5"/>
        <v>-1.0319995981945218</v>
      </c>
      <c r="R27" s="296">
        <f t="shared" si="5"/>
        <v>-3.5694678196847907</v>
      </c>
      <c r="S27" s="296">
        <f t="shared" si="5"/>
        <v>0.89430132177430455</v>
      </c>
      <c r="T27" s="296">
        <f t="shared" si="5"/>
        <v>-0.23138288530850648</v>
      </c>
      <c r="U27" s="296">
        <f t="shared" si="5"/>
        <v>-0.72600040595832693</v>
      </c>
      <c r="V27" s="296">
        <f t="shared" si="5"/>
        <v>-0.56045310801456916</v>
      </c>
      <c r="W27" s="296">
        <f t="shared" si="5"/>
        <v>1.2285919112661636</v>
      </c>
      <c r="X27" s="296" t="str">
        <f t="shared" si="5"/>
        <v>..</v>
      </c>
      <c r="Y27" s="296" t="str">
        <f t="shared" si="5"/>
        <v>..</v>
      </c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</row>
    <row r="28" spans="1:42">
      <c r="A28" s="295" t="s">
        <v>446</v>
      </c>
      <c r="B28" s="296">
        <f>IFERROR(((B17/B10)^(1/7)-1)*100,"..")</f>
        <v>0.48592968028440264</v>
      </c>
      <c r="C28" s="296">
        <f t="shared" ref="C28:Y28" si="6">IFERROR(((C17/C10)^(1/7)-1)*100,"..")</f>
        <v>-0.39364723536189361</v>
      </c>
      <c r="D28" s="296">
        <f t="shared" si="6"/>
        <v>-5.5617396990137458E-2</v>
      </c>
      <c r="E28" s="296">
        <f t="shared" si="6"/>
        <v>1.4980242883871231</v>
      </c>
      <c r="F28" s="296">
        <f t="shared" si="6"/>
        <v>1.032851549665792</v>
      </c>
      <c r="G28" s="296">
        <f t="shared" si="6"/>
        <v>2.4248907788773755</v>
      </c>
      <c r="H28" s="296">
        <f t="shared" si="6"/>
        <v>0.26937944635008204</v>
      </c>
      <c r="I28" s="296">
        <f t="shared" si="6"/>
        <v>1.0767806963660087</v>
      </c>
      <c r="J28" s="296">
        <f t="shared" si="6"/>
        <v>-2.0405909212897977</v>
      </c>
      <c r="K28" s="296">
        <f t="shared" si="6"/>
        <v>1.8601484588676387</v>
      </c>
      <c r="L28" s="296">
        <f t="shared" si="6"/>
        <v>2.2886718625627411</v>
      </c>
      <c r="M28" s="296">
        <f t="shared" si="6"/>
        <v>0.82420798573448195</v>
      </c>
      <c r="N28" s="296">
        <f t="shared" si="6"/>
        <v>-0.81404938219580281</v>
      </c>
      <c r="O28" s="296">
        <f t="shared" si="6"/>
        <v>-3.152528145952016</v>
      </c>
      <c r="P28" s="296">
        <f t="shared" si="6"/>
        <v>-1.0843907369327388</v>
      </c>
      <c r="Q28" s="296">
        <f t="shared" si="6"/>
        <v>-9.9918505670437696E-2</v>
      </c>
      <c r="R28" s="296">
        <f t="shared" si="6"/>
        <v>-4.2541903535434749</v>
      </c>
      <c r="S28" s="296">
        <f t="shared" si="6"/>
        <v>3.2019113792099985</v>
      </c>
      <c r="T28" s="296">
        <f t="shared" si="6"/>
        <v>0.86245967216560526</v>
      </c>
      <c r="U28" s="296">
        <f t="shared" si="6"/>
        <v>8.8847398787494924E-2</v>
      </c>
      <c r="V28" s="296">
        <f t="shared" si="6"/>
        <v>0.15226226591498193</v>
      </c>
      <c r="W28" s="296">
        <f t="shared" si="6"/>
        <v>3.6366660131198936</v>
      </c>
      <c r="X28" s="296" t="str">
        <f t="shared" si="6"/>
        <v>..</v>
      </c>
      <c r="Y28" s="296" t="str">
        <f t="shared" si="6"/>
        <v>..</v>
      </c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</row>
    <row r="29" spans="1:42">
      <c r="A29" s="300" t="s">
        <v>447</v>
      </c>
      <c r="B29" s="296">
        <f>IFERROR(((B23/B17)^(1/6)-1)*100,"..")</f>
        <v>-2.6441906519904301</v>
      </c>
      <c r="C29" s="296">
        <f t="shared" ref="C29:Y29" si="7">IFERROR(((C23/C17)^(1/6)-1)*100,"..")</f>
        <v>-2.0870566193766593</v>
      </c>
      <c r="D29" s="296">
        <f t="shared" si="7"/>
        <v>-2.3673906870531392</v>
      </c>
      <c r="E29" s="296">
        <f t="shared" si="7"/>
        <v>-3.1874656737082785</v>
      </c>
      <c r="F29" s="296">
        <f t="shared" si="7"/>
        <v>-3.9076843358430868</v>
      </c>
      <c r="G29" s="296">
        <f t="shared" si="7"/>
        <v>-1.897459817963465</v>
      </c>
      <c r="H29" s="296">
        <f t="shared" si="7"/>
        <v>-3.9377101130845915</v>
      </c>
      <c r="I29" s="296">
        <f t="shared" si="7"/>
        <v>-3.6523485179797976</v>
      </c>
      <c r="J29" s="296">
        <f t="shared" si="7"/>
        <v>-2.6539999364336486</v>
      </c>
      <c r="K29" s="296">
        <f t="shared" si="7"/>
        <v>-4.9217178400145167</v>
      </c>
      <c r="L29" s="296">
        <f t="shared" si="7"/>
        <v>-6.2988840272180653</v>
      </c>
      <c r="M29" s="296">
        <f t="shared" si="7"/>
        <v>-1.7891429492171596</v>
      </c>
      <c r="N29" s="296">
        <f t="shared" si="7"/>
        <v>-3.9158995621080939</v>
      </c>
      <c r="O29" s="296">
        <f t="shared" si="7"/>
        <v>-4.6214537160968128</v>
      </c>
      <c r="P29" s="296">
        <f t="shared" si="7"/>
        <v>-6.7602485783525239</v>
      </c>
      <c r="Q29" s="296">
        <f t="shared" si="7"/>
        <v>-2.1084419127088361</v>
      </c>
      <c r="R29" s="296">
        <f t="shared" si="7"/>
        <v>-2.7644334385079183</v>
      </c>
      <c r="S29" s="296">
        <f t="shared" si="7"/>
        <v>-1.7327770290359812</v>
      </c>
      <c r="T29" s="296">
        <f t="shared" si="7"/>
        <v>-1.4925485744579081</v>
      </c>
      <c r="U29" s="296">
        <f t="shared" si="7"/>
        <v>-1.6682754954039702</v>
      </c>
      <c r="V29" s="296">
        <f t="shared" si="7"/>
        <v>-1.3855465857123717</v>
      </c>
      <c r="W29" s="296">
        <f t="shared" si="7"/>
        <v>-1.510200764473868</v>
      </c>
      <c r="X29" s="296">
        <f t="shared" si="7"/>
        <v>-1.2802115830470751</v>
      </c>
      <c r="Y29" s="296">
        <f t="shared" si="7"/>
        <v>-3.7094307184438957</v>
      </c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</row>
    <row r="30" spans="1:42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</row>
    <row r="31" spans="1:42">
      <c r="A31" s="448" t="s">
        <v>617</v>
      </c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</row>
    <row r="32" spans="1:42">
      <c r="A32" s="297" t="s">
        <v>448</v>
      </c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</row>
    <row r="33" spans="1:42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</row>
    <row r="34" spans="1:42">
      <c r="A34" s="475" t="s">
        <v>486</v>
      </c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  <c r="X34" s="475"/>
      <c r="Y34" s="475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</row>
    <row r="35" spans="1:42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</row>
    <row r="36" spans="1:42">
      <c r="B36" s="461" t="s">
        <v>439</v>
      </c>
      <c r="C36" s="461"/>
      <c r="D36" s="461"/>
      <c r="E36" s="461"/>
      <c r="F36" s="461"/>
      <c r="G36" s="461"/>
      <c r="H36" s="461" t="s">
        <v>132</v>
      </c>
      <c r="I36" s="461"/>
      <c r="J36" s="461"/>
      <c r="K36" s="461"/>
      <c r="L36" s="461"/>
      <c r="M36" s="461"/>
      <c r="N36" s="461" t="s">
        <v>133</v>
      </c>
      <c r="O36" s="461"/>
      <c r="P36" s="461"/>
      <c r="Q36" s="461"/>
      <c r="R36" s="461"/>
      <c r="S36" s="461"/>
      <c r="T36" s="461" t="s">
        <v>440</v>
      </c>
      <c r="U36" s="461"/>
      <c r="V36" s="461"/>
      <c r="W36" s="461"/>
      <c r="X36" s="461"/>
      <c r="Y36" s="461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</row>
    <row r="37" spans="1:42" ht="75">
      <c r="B37" s="294" t="s">
        <v>8</v>
      </c>
      <c r="C37" s="146" t="s">
        <v>441</v>
      </c>
      <c r="D37" s="146" t="s">
        <v>248</v>
      </c>
      <c r="E37" s="146" t="s">
        <v>249</v>
      </c>
      <c r="F37" s="146" t="s">
        <v>442</v>
      </c>
      <c r="G37" s="146" t="s">
        <v>443</v>
      </c>
      <c r="H37" s="294" t="s">
        <v>8</v>
      </c>
      <c r="I37" s="146" t="s">
        <v>441</v>
      </c>
      <c r="J37" s="146" t="s">
        <v>248</v>
      </c>
      <c r="K37" s="146" t="s">
        <v>249</v>
      </c>
      <c r="L37" s="146" t="s">
        <v>442</v>
      </c>
      <c r="M37" s="146" t="s">
        <v>443</v>
      </c>
      <c r="N37" s="294" t="s">
        <v>8</v>
      </c>
      <c r="O37" s="146" t="s">
        <v>441</v>
      </c>
      <c r="P37" s="146" t="s">
        <v>248</v>
      </c>
      <c r="Q37" s="146" t="s">
        <v>249</v>
      </c>
      <c r="R37" s="146" t="s">
        <v>442</v>
      </c>
      <c r="S37" s="146" t="s">
        <v>443</v>
      </c>
      <c r="T37" s="294" t="s">
        <v>8</v>
      </c>
      <c r="U37" s="146" t="s">
        <v>441</v>
      </c>
      <c r="V37" s="146" t="s">
        <v>248</v>
      </c>
      <c r="W37" s="146" t="s">
        <v>249</v>
      </c>
      <c r="X37" s="146" t="s">
        <v>442</v>
      </c>
      <c r="Y37" s="146" t="s">
        <v>443</v>
      </c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</row>
    <row r="38" spans="1:42">
      <c r="A38" s="223">
        <v>1997</v>
      </c>
      <c r="B38" s="190">
        <f>C38+D38+E38</f>
        <v>604572</v>
      </c>
      <c r="C38" s="408">
        <v>135801</v>
      </c>
      <c r="D38" s="408">
        <v>276224</v>
      </c>
      <c r="E38" s="408">
        <v>192547</v>
      </c>
      <c r="F38" s="408">
        <v>128078</v>
      </c>
      <c r="G38" s="408">
        <v>64470</v>
      </c>
      <c r="H38" s="408" t="s">
        <v>9</v>
      </c>
      <c r="I38" s="408">
        <v>29362</v>
      </c>
      <c r="J38" s="408">
        <v>69217</v>
      </c>
      <c r="K38" s="408" t="s">
        <v>9</v>
      </c>
      <c r="L38" s="408" t="s">
        <v>9</v>
      </c>
      <c r="M38" s="408" t="s">
        <v>9</v>
      </c>
      <c r="N38" s="190">
        <f>O38+P38+Q38</f>
        <v>144205</v>
      </c>
      <c r="O38" s="408">
        <v>20363</v>
      </c>
      <c r="P38" s="408">
        <v>58713</v>
      </c>
      <c r="Q38" s="408">
        <v>65129</v>
      </c>
      <c r="R38" s="408">
        <v>32417</v>
      </c>
      <c r="S38" s="408">
        <v>32712</v>
      </c>
      <c r="T38" s="190">
        <f>U38+V38+W38</f>
        <v>175164</v>
      </c>
      <c r="U38" s="408">
        <v>54673</v>
      </c>
      <c r="V38" s="408">
        <v>89488</v>
      </c>
      <c r="W38" s="408">
        <v>31003</v>
      </c>
      <c r="X38" s="408">
        <v>27149</v>
      </c>
      <c r="Y38" s="408">
        <v>3854</v>
      </c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</row>
    <row r="39" spans="1:42">
      <c r="A39" s="223">
        <v>1998</v>
      </c>
      <c r="B39" s="190">
        <f t="shared" ref="B39:B54" si="8">C39+D39+E39</f>
        <v>571352</v>
      </c>
      <c r="C39" s="408">
        <v>127361</v>
      </c>
      <c r="D39" s="408">
        <v>264766</v>
      </c>
      <c r="E39" s="408">
        <v>179225</v>
      </c>
      <c r="F39" s="408">
        <v>113292</v>
      </c>
      <c r="G39" s="408">
        <v>65933</v>
      </c>
      <c r="H39" s="190">
        <f t="shared" ref="H39:H54" si="9">I39+J39+K39</f>
        <v>165510</v>
      </c>
      <c r="I39" s="408">
        <v>32994</v>
      </c>
      <c r="J39" s="408">
        <v>69418</v>
      </c>
      <c r="K39" s="408">
        <v>63098</v>
      </c>
      <c r="L39" s="408">
        <v>41043</v>
      </c>
      <c r="M39" s="408">
        <v>22055</v>
      </c>
      <c r="N39" s="190">
        <f t="shared" ref="N39:N54" si="10">O39+P39+Q39</f>
        <v>140862</v>
      </c>
      <c r="O39" s="408">
        <v>18022</v>
      </c>
      <c r="P39" s="408">
        <v>61271</v>
      </c>
      <c r="Q39" s="408">
        <v>61569</v>
      </c>
      <c r="R39" s="408">
        <v>28408</v>
      </c>
      <c r="S39" s="408">
        <v>33161</v>
      </c>
      <c r="T39" s="190">
        <f t="shared" ref="T39:T54" si="11">U39+V39+W39</f>
        <v>147347</v>
      </c>
      <c r="U39" s="408">
        <v>45101</v>
      </c>
      <c r="V39" s="408">
        <v>76307</v>
      </c>
      <c r="W39" s="408">
        <v>25939</v>
      </c>
      <c r="X39" s="408" t="s">
        <v>9</v>
      </c>
      <c r="Y39" s="408" t="s">
        <v>9</v>
      </c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</row>
    <row r="40" spans="1:42">
      <c r="A40" s="223">
        <v>1999</v>
      </c>
      <c r="B40" s="190">
        <f t="shared" si="8"/>
        <v>599304</v>
      </c>
      <c r="C40" s="408">
        <v>132214</v>
      </c>
      <c r="D40" s="408">
        <v>278721</v>
      </c>
      <c r="E40" s="408">
        <v>188369</v>
      </c>
      <c r="F40" s="408">
        <v>119547</v>
      </c>
      <c r="G40" s="408">
        <v>68823</v>
      </c>
      <c r="H40" s="190">
        <f t="shared" si="9"/>
        <v>170295</v>
      </c>
      <c r="I40" s="408">
        <v>34853</v>
      </c>
      <c r="J40" s="408">
        <v>73822</v>
      </c>
      <c r="K40" s="408">
        <v>61620</v>
      </c>
      <c r="L40" s="408">
        <v>39230</v>
      </c>
      <c r="M40" s="408">
        <v>22390</v>
      </c>
      <c r="N40" s="190">
        <f t="shared" si="10"/>
        <v>147655</v>
      </c>
      <c r="O40" s="408">
        <v>18530</v>
      </c>
      <c r="P40" s="408">
        <v>63432</v>
      </c>
      <c r="Q40" s="408">
        <v>65693</v>
      </c>
      <c r="R40" s="408">
        <v>31251</v>
      </c>
      <c r="S40" s="408">
        <v>34442</v>
      </c>
      <c r="T40" s="190">
        <f t="shared" si="11"/>
        <v>161543</v>
      </c>
      <c r="U40" s="408">
        <v>49484</v>
      </c>
      <c r="V40" s="408">
        <v>81620</v>
      </c>
      <c r="W40" s="408">
        <v>30439</v>
      </c>
      <c r="X40" s="408" t="s">
        <v>9</v>
      </c>
      <c r="Y40" s="408" t="s">
        <v>9</v>
      </c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</row>
    <row r="41" spans="1:42">
      <c r="A41" s="223">
        <v>2000</v>
      </c>
      <c r="B41" s="190">
        <f t="shared" si="8"/>
        <v>601166</v>
      </c>
      <c r="C41" s="408">
        <v>128135</v>
      </c>
      <c r="D41" s="408">
        <v>285378</v>
      </c>
      <c r="E41" s="408">
        <v>187653</v>
      </c>
      <c r="F41" s="408">
        <v>117644</v>
      </c>
      <c r="G41" s="408">
        <v>70010</v>
      </c>
      <c r="H41" s="190">
        <f t="shared" si="9"/>
        <v>175860</v>
      </c>
      <c r="I41" s="408">
        <v>31719</v>
      </c>
      <c r="J41" s="408">
        <v>81364</v>
      </c>
      <c r="K41" s="408">
        <v>62777</v>
      </c>
      <c r="L41" s="408">
        <v>40434</v>
      </c>
      <c r="M41" s="408">
        <v>22343</v>
      </c>
      <c r="N41" s="190">
        <f t="shared" si="10"/>
        <v>145895</v>
      </c>
      <c r="O41" s="408">
        <v>20560</v>
      </c>
      <c r="P41" s="408">
        <v>61088</v>
      </c>
      <c r="Q41" s="408">
        <v>64247</v>
      </c>
      <c r="R41" s="408">
        <v>28253</v>
      </c>
      <c r="S41" s="408">
        <v>35994</v>
      </c>
      <c r="T41" s="190">
        <f t="shared" si="11"/>
        <v>159465</v>
      </c>
      <c r="U41" s="408">
        <v>46585</v>
      </c>
      <c r="V41" s="408">
        <v>83504</v>
      </c>
      <c r="W41" s="408">
        <v>29376</v>
      </c>
      <c r="X41" s="408" t="s">
        <v>9</v>
      </c>
      <c r="Y41" s="408" t="s">
        <v>9</v>
      </c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</row>
    <row r="42" spans="1:42">
      <c r="A42" s="223">
        <v>2001</v>
      </c>
      <c r="B42" s="190">
        <f t="shared" si="8"/>
        <v>575430</v>
      </c>
      <c r="C42" s="408">
        <v>118887</v>
      </c>
      <c r="D42" s="408">
        <v>273057</v>
      </c>
      <c r="E42" s="408">
        <v>183486</v>
      </c>
      <c r="F42" s="408">
        <v>111420</v>
      </c>
      <c r="G42" s="408">
        <v>72065</v>
      </c>
      <c r="H42" s="190">
        <f t="shared" si="9"/>
        <v>164149</v>
      </c>
      <c r="I42" s="408">
        <v>27756</v>
      </c>
      <c r="J42" s="408">
        <v>77455</v>
      </c>
      <c r="K42" s="408">
        <v>58938</v>
      </c>
      <c r="L42" s="408">
        <v>37742</v>
      </c>
      <c r="M42" s="408">
        <v>21196</v>
      </c>
      <c r="N42" s="190">
        <f t="shared" si="10"/>
        <v>146317</v>
      </c>
      <c r="O42" s="408">
        <v>17813</v>
      </c>
      <c r="P42" s="408">
        <v>61998</v>
      </c>
      <c r="Q42" s="408">
        <v>66506</v>
      </c>
      <c r="R42" s="408">
        <v>27632</v>
      </c>
      <c r="S42" s="408">
        <v>38874</v>
      </c>
      <c r="T42" s="190">
        <f t="shared" si="11"/>
        <v>147171</v>
      </c>
      <c r="U42" s="408">
        <v>44859</v>
      </c>
      <c r="V42" s="408">
        <v>74754</v>
      </c>
      <c r="W42" s="408">
        <v>27558</v>
      </c>
      <c r="X42" s="408" t="s">
        <v>9</v>
      </c>
      <c r="Y42" s="408" t="s">
        <v>9</v>
      </c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</row>
    <row r="43" spans="1:42">
      <c r="A43" s="223">
        <v>2002</v>
      </c>
      <c r="B43" s="190">
        <f t="shared" si="8"/>
        <v>569883</v>
      </c>
      <c r="C43" s="408">
        <v>122041</v>
      </c>
      <c r="D43" s="408">
        <v>274462</v>
      </c>
      <c r="E43" s="408">
        <v>173380</v>
      </c>
      <c r="F43" s="408">
        <v>101338</v>
      </c>
      <c r="G43" s="408">
        <v>72042</v>
      </c>
      <c r="H43" s="190">
        <f t="shared" si="9"/>
        <v>160178</v>
      </c>
      <c r="I43" s="408">
        <v>26752</v>
      </c>
      <c r="J43" s="408">
        <v>78199</v>
      </c>
      <c r="K43" s="408">
        <v>55227</v>
      </c>
      <c r="L43" s="408">
        <v>34668</v>
      </c>
      <c r="M43" s="408">
        <v>20559</v>
      </c>
      <c r="N43" s="190">
        <f t="shared" si="10"/>
        <v>147138</v>
      </c>
      <c r="O43" s="408">
        <v>17279</v>
      </c>
      <c r="P43" s="408">
        <v>62332</v>
      </c>
      <c r="Q43" s="408">
        <v>67527</v>
      </c>
      <c r="R43" s="408">
        <v>27326</v>
      </c>
      <c r="S43" s="408">
        <v>40202</v>
      </c>
      <c r="T43" s="190">
        <f t="shared" si="11"/>
        <v>143554</v>
      </c>
      <c r="U43" s="408">
        <v>48840</v>
      </c>
      <c r="V43" s="408">
        <v>72981</v>
      </c>
      <c r="W43" s="408">
        <v>21733</v>
      </c>
      <c r="X43" s="408">
        <v>18638</v>
      </c>
      <c r="Y43" s="408">
        <v>3094</v>
      </c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</row>
    <row r="44" spans="1:42">
      <c r="A44" s="223">
        <v>2003</v>
      </c>
      <c r="B44" s="190">
        <f t="shared" si="8"/>
        <v>557103</v>
      </c>
      <c r="C44" s="408">
        <v>116995</v>
      </c>
      <c r="D44" s="408">
        <v>265945</v>
      </c>
      <c r="E44" s="408">
        <v>174163</v>
      </c>
      <c r="F44" s="408">
        <v>102204</v>
      </c>
      <c r="G44" s="408">
        <v>71960</v>
      </c>
      <c r="H44" s="190">
        <f t="shared" si="9"/>
        <v>158534</v>
      </c>
      <c r="I44" s="408">
        <v>27466</v>
      </c>
      <c r="J44" s="408">
        <v>77789</v>
      </c>
      <c r="K44" s="408">
        <v>53279</v>
      </c>
      <c r="L44" s="408">
        <v>33737</v>
      </c>
      <c r="M44" s="408">
        <v>19541</v>
      </c>
      <c r="N44" s="190">
        <f t="shared" si="10"/>
        <v>143043</v>
      </c>
      <c r="O44" s="408">
        <v>17365</v>
      </c>
      <c r="P44" s="408">
        <v>60068</v>
      </c>
      <c r="Q44" s="408">
        <v>65610</v>
      </c>
      <c r="R44" s="408">
        <v>24967</v>
      </c>
      <c r="S44" s="408">
        <v>40643</v>
      </c>
      <c r="T44" s="190">
        <f t="shared" si="11"/>
        <v>141689</v>
      </c>
      <c r="U44" s="408">
        <v>45950</v>
      </c>
      <c r="V44" s="408">
        <v>69705</v>
      </c>
      <c r="W44" s="408">
        <v>26034</v>
      </c>
      <c r="X44" s="408">
        <v>22622</v>
      </c>
      <c r="Y44" s="408">
        <v>3412</v>
      </c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</row>
    <row r="45" spans="1:42">
      <c r="A45" s="223">
        <v>2004</v>
      </c>
      <c r="B45" s="190">
        <f t="shared" si="8"/>
        <v>563835</v>
      </c>
      <c r="C45" s="408">
        <v>117369</v>
      </c>
      <c r="D45" s="408">
        <v>269472</v>
      </c>
      <c r="E45" s="408">
        <v>176994</v>
      </c>
      <c r="F45" s="408">
        <v>104540</v>
      </c>
      <c r="G45" s="408">
        <v>72454</v>
      </c>
      <c r="H45" s="190">
        <f t="shared" si="9"/>
        <v>153493</v>
      </c>
      <c r="I45" s="408">
        <v>27670</v>
      </c>
      <c r="J45" s="408">
        <v>72226</v>
      </c>
      <c r="K45" s="408">
        <v>53597</v>
      </c>
      <c r="L45" s="408">
        <v>34064</v>
      </c>
      <c r="M45" s="408">
        <v>19534</v>
      </c>
      <c r="N45" s="190">
        <f t="shared" si="10"/>
        <v>142852</v>
      </c>
      <c r="O45" s="408">
        <v>16327</v>
      </c>
      <c r="P45" s="408">
        <v>60337</v>
      </c>
      <c r="Q45" s="408">
        <v>66188</v>
      </c>
      <c r="R45" s="408">
        <v>25647</v>
      </c>
      <c r="S45" s="408">
        <v>40540</v>
      </c>
      <c r="T45" s="190">
        <f t="shared" si="11"/>
        <v>149737</v>
      </c>
      <c r="U45" s="408">
        <v>48619</v>
      </c>
      <c r="V45" s="408">
        <v>75255</v>
      </c>
      <c r="W45" s="408">
        <v>25863</v>
      </c>
      <c r="X45" s="408">
        <v>22246</v>
      </c>
      <c r="Y45" s="408">
        <v>3616</v>
      </c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</row>
    <row r="46" spans="1:42">
      <c r="A46" s="223">
        <v>2005</v>
      </c>
      <c r="B46" s="190">
        <f t="shared" si="8"/>
        <v>548777</v>
      </c>
      <c r="C46" s="408">
        <v>113747</v>
      </c>
      <c r="D46" s="408">
        <v>263099</v>
      </c>
      <c r="E46" s="408">
        <v>171931</v>
      </c>
      <c r="F46" s="408">
        <v>99905</v>
      </c>
      <c r="G46" s="408">
        <v>72026</v>
      </c>
      <c r="H46" s="190">
        <f t="shared" si="9"/>
        <v>154205</v>
      </c>
      <c r="I46" s="408">
        <v>27328</v>
      </c>
      <c r="J46" s="408">
        <v>69440</v>
      </c>
      <c r="K46" s="408">
        <v>57437</v>
      </c>
      <c r="L46" s="408">
        <v>38462</v>
      </c>
      <c r="M46" s="408">
        <v>18975</v>
      </c>
      <c r="N46" s="190">
        <f t="shared" si="10"/>
        <v>134405</v>
      </c>
      <c r="O46" s="408">
        <v>15930</v>
      </c>
      <c r="P46" s="408">
        <v>56871</v>
      </c>
      <c r="Q46" s="408">
        <v>61604</v>
      </c>
      <c r="R46" s="408">
        <v>20744</v>
      </c>
      <c r="S46" s="408">
        <v>40860</v>
      </c>
      <c r="T46" s="190">
        <f t="shared" si="11"/>
        <v>149530</v>
      </c>
      <c r="U46" s="408">
        <v>46972</v>
      </c>
      <c r="V46" s="408">
        <v>78565</v>
      </c>
      <c r="W46" s="408">
        <v>23993</v>
      </c>
      <c r="X46" s="408">
        <v>20332</v>
      </c>
      <c r="Y46" s="408">
        <v>3662</v>
      </c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</row>
    <row r="47" spans="1:42">
      <c r="A47" s="223">
        <v>2006</v>
      </c>
      <c r="B47" s="190">
        <f t="shared" si="8"/>
        <v>508761</v>
      </c>
      <c r="C47" s="408">
        <v>104173</v>
      </c>
      <c r="D47" s="408">
        <v>242459</v>
      </c>
      <c r="E47" s="408">
        <v>162129</v>
      </c>
      <c r="F47" s="408">
        <v>93871</v>
      </c>
      <c r="G47" s="408">
        <v>68258</v>
      </c>
      <c r="H47" s="190">
        <f t="shared" si="9"/>
        <v>145504</v>
      </c>
      <c r="I47" s="408">
        <v>26948</v>
      </c>
      <c r="J47" s="408">
        <v>63264</v>
      </c>
      <c r="K47" s="408">
        <v>55292</v>
      </c>
      <c r="L47" s="408">
        <v>37581</v>
      </c>
      <c r="M47" s="408">
        <v>17711</v>
      </c>
      <c r="N47" s="190">
        <f t="shared" si="10"/>
        <v>129446</v>
      </c>
      <c r="O47" s="408">
        <v>15286</v>
      </c>
      <c r="P47" s="408">
        <v>55818</v>
      </c>
      <c r="Q47" s="408">
        <v>58342</v>
      </c>
      <c r="R47" s="408">
        <v>18901</v>
      </c>
      <c r="S47" s="408">
        <v>39441</v>
      </c>
      <c r="T47" s="190">
        <f t="shared" si="11"/>
        <v>129337</v>
      </c>
      <c r="U47" s="408">
        <v>39031</v>
      </c>
      <c r="V47" s="408">
        <v>66659</v>
      </c>
      <c r="W47" s="408">
        <v>23647</v>
      </c>
      <c r="X47" s="408">
        <v>20253</v>
      </c>
      <c r="Y47" s="408">
        <v>3394</v>
      </c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</row>
    <row r="48" spans="1:42">
      <c r="A48" s="223">
        <v>2007</v>
      </c>
      <c r="B48" s="190">
        <f t="shared" si="8"/>
        <v>479328</v>
      </c>
      <c r="C48" s="408">
        <v>96941</v>
      </c>
      <c r="D48" s="408">
        <v>223284</v>
      </c>
      <c r="E48" s="408">
        <v>159103</v>
      </c>
      <c r="F48" s="408">
        <v>91729</v>
      </c>
      <c r="G48" s="408">
        <v>67373</v>
      </c>
      <c r="H48" s="190">
        <f t="shared" si="9"/>
        <v>133913</v>
      </c>
      <c r="I48" s="408">
        <v>24271</v>
      </c>
      <c r="J48" s="408">
        <v>56283</v>
      </c>
      <c r="K48" s="408">
        <v>53359</v>
      </c>
      <c r="L48" s="408">
        <v>33219</v>
      </c>
      <c r="M48" s="408">
        <v>20140</v>
      </c>
      <c r="N48" s="190">
        <f t="shared" si="10"/>
        <v>114312</v>
      </c>
      <c r="O48" s="408">
        <v>12759</v>
      </c>
      <c r="P48" s="408">
        <v>48595</v>
      </c>
      <c r="Q48" s="408">
        <v>52958</v>
      </c>
      <c r="R48" s="408">
        <v>17006</v>
      </c>
      <c r="S48" s="408">
        <v>35952</v>
      </c>
      <c r="T48" s="190">
        <f t="shared" si="11"/>
        <v>130943</v>
      </c>
      <c r="U48" s="408">
        <v>39499</v>
      </c>
      <c r="V48" s="408">
        <v>64796</v>
      </c>
      <c r="W48" s="408">
        <v>26648</v>
      </c>
      <c r="X48" s="408">
        <v>23194</v>
      </c>
      <c r="Y48" s="408">
        <v>3455</v>
      </c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</row>
    <row r="49" spans="1:42">
      <c r="A49" s="223">
        <v>2008</v>
      </c>
      <c r="B49" s="190">
        <f t="shared" si="8"/>
        <v>423211</v>
      </c>
      <c r="C49" s="408">
        <v>86286</v>
      </c>
      <c r="D49" s="408">
        <v>194282</v>
      </c>
      <c r="E49" s="408">
        <v>142643</v>
      </c>
      <c r="F49" s="408">
        <v>78906</v>
      </c>
      <c r="G49" s="408">
        <v>63738</v>
      </c>
      <c r="H49" s="190">
        <f t="shared" si="9"/>
        <v>125184</v>
      </c>
      <c r="I49" s="408">
        <v>25163</v>
      </c>
      <c r="J49" s="408">
        <v>51263</v>
      </c>
      <c r="K49" s="408">
        <v>48758</v>
      </c>
      <c r="L49" s="408">
        <v>29863</v>
      </c>
      <c r="M49" s="408">
        <v>18895</v>
      </c>
      <c r="N49" s="190">
        <f t="shared" si="10"/>
        <v>104652</v>
      </c>
      <c r="O49" s="408">
        <v>11785</v>
      </c>
      <c r="P49" s="408">
        <v>43235</v>
      </c>
      <c r="Q49" s="408">
        <v>49632</v>
      </c>
      <c r="R49" s="408">
        <v>14699</v>
      </c>
      <c r="S49" s="408">
        <v>34933</v>
      </c>
      <c r="T49" s="190">
        <f t="shared" si="11"/>
        <v>104562</v>
      </c>
      <c r="U49" s="408">
        <v>31012</v>
      </c>
      <c r="V49" s="408">
        <v>51537</v>
      </c>
      <c r="W49" s="408">
        <v>22013</v>
      </c>
      <c r="X49" s="408">
        <v>19015</v>
      </c>
      <c r="Y49" s="408">
        <v>2999</v>
      </c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</row>
    <row r="50" spans="1:42">
      <c r="A50" s="223">
        <v>2009</v>
      </c>
      <c r="B50" s="190">
        <f t="shared" si="8"/>
        <v>368530</v>
      </c>
      <c r="C50" s="408">
        <v>72803</v>
      </c>
      <c r="D50" s="408">
        <v>167316</v>
      </c>
      <c r="E50" s="408">
        <v>128411</v>
      </c>
      <c r="F50" s="408">
        <v>70083</v>
      </c>
      <c r="G50" s="408">
        <v>58328</v>
      </c>
      <c r="H50" s="190">
        <f t="shared" si="9"/>
        <v>113642</v>
      </c>
      <c r="I50" s="408">
        <v>24264</v>
      </c>
      <c r="J50" s="408">
        <v>46998</v>
      </c>
      <c r="K50" s="408">
        <v>42380</v>
      </c>
      <c r="L50" s="408">
        <v>24996</v>
      </c>
      <c r="M50" s="408">
        <v>17383</v>
      </c>
      <c r="N50" s="190">
        <f t="shared" si="10"/>
        <v>85899</v>
      </c>
      <c r="O50" s="408">
        <v>8748</v>
      </c>
      <c r="P50" s="408">
        <v>33429</v>
      </c>
      <c r="Q50" s="408">
        <v>43722</v>
      </c>
      <c r="R50" s="408">
        <v>12404</v>
      </c>
      <c r="S50" s="408">
        <v>31318</v>
      </c>
      <c r="T50" s="190">
        <f t="shared" si="11"/>
        <v>89174</v>
      </c>
      <c r="U50" s="408">
        <v>23144</v>
      </c>
      <c r="V50" s="408">
        <v>43956</v>
      </c>
      <c r="W50" s="408">
        <v>22074</v>
      </c>
      <c r="X50" s="408">
        <v>19291</v>
      </c>
      <c r="Y50" s="408">
        <v>2782</v>
      </c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</row>
    <row r="51" spans="1:42">
      <c r="A51" s="223">
        <v>2010</v>
      </c>
      <c r="B51" s="190">
        <f t="shared" si="8"/>
        <v>374196</v>
      </c>
      <c r="C51" s="408">
        <v>72136</v>
      </c>
      <c r="D51" s="408">
        <v>178494</v>
      </c>
      <c r="E51" s="408">
        <v>123566</v>
      </c>
      <c r="F51" s="408">
        <v>65979</v>
      </c>
      <c r="G51" s="408">
        <v>57587</v>
      </c>
      <c r="H51" s="190">
        <f t="shared" si="9"/>
        <v>113770</v>
      </c>
      <c r="I51" s="408">
        <v>17152</v>
      </c>
      <c r="J51" s="408">
        <v>51951</v>
      </c>
      <c r="K51" s="408">
        <v>44667</v>
      </c>
      <c r="L51" s="408">
        <v>25245</v>
      </c>
      <c r="M51" s="408">
        <v>19423</v>
      </c>
      <c r="N51" s="190">
        <f t="shared" si="10"/>
        <v>84534</v>
      </c>
      <c r="O51" s="408">
        <v>8657</v>
      </c>
      <c r="P51" s="408">
        <v>35124</v>
      </c>
      <c r="Q51" s="408">
        <v>40753</v>
      </c>
      <c r="R51" s="408">
        <v>11622</v>
      </c>
      <c r="S51" s="408">
        <v>29131</v>
      </c>
      <c r="T51" s="190">
        <f t="shared" si="11"/>
        <v>96073</v>
      </c>
      <c r="U51" s="408">
        <v>29153</v>
      </c>
      <c r="V51" s="408">
        <v>48892</v>
      </c>
      <c r="W51" s="408">
        <v>18028</v>
      </c>
      <c r="X51" s="408">
        <v>15527</v>
      </c>
      <c r="Y51" s="408">
        <v>2502</v>
      </c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</row>
    <row r="52" spans="1:42">
      <c r="A52" s="223">
        <v>2011</v>
      </c>
      <c r="B52" s="190">
        <f t="shared" si="8"/>
        <v>362981</v>
      </c>
      <c r="C52" s="408">
        <v>76491</v>
      </c>
      <c r="D52" s="408">
        <v>169582</v>
      </c>
      <c r="E52" s="408">
        <v>116908</v>
      </c>
      <c r="F52" s="408">
        <v>62988</v>
      </c>
      <c r="G52" s="408">
        <v>53921</v>
      </c>
      <c r="H52" s="190">
        <f t="shared" si="9"/>
        <v>108654</v>
      </c>
      <c r="I52" s="408">
        <v>22402</v>
      </c>
      <c r="J52" s="408">
        <v>48788</v>
      </c>
      <c r="K52" s="408">
        <v>37464</v>
      </c>
      <c r="L52" s="408">
        <v>21554</v>
      </c>
      <c r="M52" s="408">
        <v>15910</v>
      </c>
      <c r="N52" s="190">
        <f t="shared" si="10"/>
        <v>85378</v>
      </c>
      <c r="O52" s="408">
        <v>9974</v>
      </c>
      <c r="P52" s="408">
        <v>33616</v>
      </c>
      <c r="Q52" s="408">
        <v>41788</v>
      </c>
      <c r="R52" s="408">
        <v>12101</v>
      </c>
      <c r="S52" s="408">
        <v>29687</v>
      </c>
      <c r="T52" s="190">
        <f t="shared" si="11"/>
        <v>92150</v>
      </c>
      <c r="U52" s="408">
        <v>27309</v>
      </c>
      <c r="V52" s="408">
        <v>45598</v>
      </c>
      <c r="W52" s="408">
        <v>19243</v>
      </c>
      <c r="X52" s="408">
        <v>16881</v>
      </c>
      <c r="Y52" s="408">
        <v>2362</v>
      </c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</row>
    <row r="53" spans="1:42">
      <c r="A53" s="223">
        <v>2012</v>
      </c>
      <c r="B53" s="190">
        <f t="shared" si="8"/>
        <v>354381</v>
      </c>
      <c r="C53" s="408">
        <v>69174</v>
      </c>
      <c r="D53" s="408">
        <v>172857</v>
      </c>
      <c r="E53" s="408">
        <v>112350</v>
      </c>
      <c r="F53" s="408">
        <v>61084</v>
      </c>
      <c r="G53" s="408">
        <v>51267</v>
      </c>
      <c r="H53" s="190">
        <f t="shared" si="9"/>
        <v>98117</v>
      </c>
      <c r="I53" s="408">
        <v>16983</v>
      </c>
      <c r="J53" s="408">
        <v>43768</v>
      </c>
      <c r="K53" s="408">
        <v>37366</v>
      </c>
      <c r="L53" s="408">
        <v>22021</v>
      </c>
      <c r="M53" s="408">
        <v>15345</v>
      </c>
      <c r="N53" s="190">
        <f t="shared" si="10"/>
        <v>77062</v>
      </c>
      <c r="O53" s="408">
        <v>8610</v>
      </c>
      <c r="P53" s="408">
        <v>30246</v>
      </c>
      <c r="Q53" s="408">
        <v>38206</v>
      </c>
      <c r="R53" s="408">
        <v>11198</v>
      </c>
      <c r="S53" s="408">
        <v>27008</v>
      </c>
      <c r="T53" s="190">
        <f t="shared" si="11"/>
        <v>97994</v>
      </c>
      <c r="U53" s="408">
        <v>27545</v>
      </c>
      <c r="V53" s="408">
        <v>52074</v>
      </c>
      <c r="W53" s="408">
        <v>18375</v>
      </c>
      <c r="X53" s="408">
        <v>15905</v>
      </c>
      <c r="Y53" s="408">
        <v>2468</v>
      </c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</row>
    <row r="54" spans="1:42">
      <c r="A54" s="223">
        <v>2013</v>
      </c>
      <c r="B54" s="190">
        <f t="shared" si="8"/>
        <v>351234</v>
      </c>
      <c r="C54" s="408">
        <v>67630</v>
      </c>
      <c r="D54" s="408">
        <v>173387</v>
      </c>
      <c r="E54" s="408">
        <v>110217</v>
      </c>
      <c r="F54" s="408">
        <v>60593</v>
      </c>
      <c r="G54" s="408">
        <v>49624</v>
      </c>
      <c r="H54" s="190">
        <f t="shared" si="9"/>
        <v>95221</v>
      </c>
      <c r="I54" s="408">
        <v>14439</v>
      </c>
      <c r="J54" s="408">
        <v>44764</v>
      </c>
      <c r="K54" s="408">
        <v>36018</v>
      </c>
      <c r="L54" s="408">
        <v>21017</v>
      </c>
      <c r="M54" s="408">
        <v>15001</v>
      </c>
      <c r="N54" s="190">
        <f t="shared" si="10"/>
        <v>77997</v>
      </c>
      <c r="O54" s="408">
        <v>8720</v>
      </c>
      <c r="P54" s="408">
        <v>31680</v>
      </c>
      <c r="Q54" s="408">
        <v>37597</v>
      </c>
      <c r="R54" s="408">
        <v>11583</v>
      </c>
      <c r="S54" s="408">
        <v>26014</v>
      </c>
      <c r="T54" s="190">
        <f t="shared" si="11"/>
        <v>100511</v>
      </c>
      <c r="U54" s="408">
        <v>30366</v>
      </c>
      <c r="V54" s="408">
        <v>51496</v>
      </c>
      <c r="W54" s="408">
        <v>18649</v>
      </c>
      <c r="X54" s="408">
        <v>16224</v>
      </c>
      <c r="Y54" s="408">
        <v>2425</v>
      </c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</row>
    <row r="55" spans="1:42">
      <c r="A55" s="223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</row>
    <row r="56" spans="1:42">
      <c r="A56" s="223" t="s">
        <v>32</v>
      </c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</row>
    <row r="57" spans="1:42">
      <c r="A57" s="295" t="s">
        <v>444</v>
      </c>
      <c r="B57" s="296">
        <f>IFERROR(((B54/B38)^(1/16)-1)*100,"..")</f>
        <v>-3.3372197073782139</v>
      </c>
      <c r="C57" s="296">
        <f t="shared" ref="C57:Y57" si="12">IFERROR(((C54/C38)^(1/16)-1)*100,"..")</f>
        <v>-4.2635595165189883</v>
      </c>
      <c r="D57" s="296">
        <f t="shared" si="12"/>
        <v>-2.8685895601905931</v>
      </c>
      <c r="E57" s="296">
        <f t="shared" si="12"/>
        <v>-3.4267183618247321</v>
      </c>
      <c r="F57" s="296">
        <f t="shared" si="12"/>
        <v>-4.5701491899627129</v>
      </c>
      <c r="G57" s="296">
        <f t="shared" si="12"/>
        <v>-1.6224775320928253</v>
      </c>
      <c r="H57" s="296" t="str">
        <f t="shared" si="12"/>
        <v>..</v>
      </c>
      <c r="I57" s="296">
        <f t="shared" si="12"/>
        <v>-4.3390988699052224</v>
      </c>
      <c r="J57" s="296">
        <f t="shared" si="12"/>
        <v>-2.6872474125196444</v>
      </c>
      <c r="K57" s="296" t="str">
        <f t="shared" si="12"/>
        <v>..</v>
      </c>
      <c r="L57" s="296" t="str">
        <f t="shared" si="12"/>
        <v>..</v>
      </c>
      <c r="M57" s="296" t="str">
        <f t="shared" si="12"/>
        <v>..</v>
      </c>
      <c r="N57" s="296">
        <f t="shared" si="12"/>
        <v>-3.7682023345497195</v>
      </c>
      <c r="O57" s="296">
        <f t="shared" si="12"/>
        <v>-5.1625932101915906</v>
      </c>
      <c r="P57" s="296">
        <f t="shared" si="12"/>
        <v>-3.7826965576393756</v>
      </c>
      <c r="Q57" s="296">
        <f t="shared" si="12"/>
        <v>-3.3757415533632873</v>
      </c>
      <c r="R57" s="296">
        <f t="shared" si="12"/>
        <v>-6.2296548185081901</v>
      </c>
      <c r="S57" s="296">
        <f t="shared" si="12"/>
        <v>-1.4217163432445501</v>
      </c>
      <c r="T57" s="296">
        <f t="shared" si="12"/>
        <v>-3.4120282898640331</v>
      </c>
      <c r="U57" s="296">
        <f t="shared" si="12"/>
        <v>-3.6085712339887888</v>
      </c>
      <c r="V57" s="296">
        <f t="shared" si="12"/>
        <v>-3.3947912299270966</v>
      </c>
      <c r="W57" s="296">
        <f t="shared" si="12"/>
        <v>-3.1268907128045198</v>
      </c>
      <c r="X57" s="296">
        <f t="shared" si="12"/>
        <v>-3.1665832208237932</v>
      </c>
      <c r="Y57" s="296">
        <f t="shared" si="12"/>
        <v>-2.8539823577747425</v>
      </c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</row>
    <row r="58" spans="1:42">
      <c r="A58" s="295" t="s">
        <v>445</v>
      </c>
      <c r="B58" s="296">
        <f>IFERROR(((B54/B41)^(1/13)-1)*100,"..")</f>
        <v>-4.0497040953830776</v>
      </c>
      <c r="C58" s="296">
        <f t="shared" ref="C58:Y58" si="13">IFERROR(((C54/C41)^(1/13)-1)*100,"..")</f>
        <v>-4.7967744929106271</v>
      </c>
      <c r="D58" s="296">
        <f t="shared" si="13"/>
        <v>-3.7604592911677948</v>
      </c>
      <c r="E58" s="296">
        <f t="shared" si="13"/>
        <v>-4.0107619870463846</v>
      </c>
      <c r="F58" s="296">
        <f t="shared" si="13"/>
        <v>-4.9756689431613594</v>
      </c>
      <c r="G58" s="296">
        <f t="shared" si="13"/>
        <v>-2.6126748254916343</v>
      </c>
      <c r="H58" s="296">
        <f t="shared" si="13"/>
        <v>-4.6095161912709575</v>
      </c>
      <c r="I58" s="296">
        <f t="shared" si="13"/>
        <v>-5.8741202395248271</v>
      </c>
      <c r="J58" s="296">
        <f t="shared" si="13"/>
        <v>-4.4923411017426362</v>
      </c>
      <c r="K58" s="296">
        <f t="shared" si="13"/>
        <v>-4.1835831729424839</v>
      </c>
      <c r="L58" s="296">
        <f t="shared" si="13"/>
        <v>-4.9088041513876579</v>
      </c>
      <c r="M58" s="296">
        <f t="shared" si="13"/>
        <v>-3.0181038084284961</v>
      </c>
      <c r="N58" s="296">
        <f t="shared" si="13"/>
        <v>-4.702873187315304</v>
      </c>
      <c r="O58" s="296">
        <f t="shared" si="13"/>
        <v>-6.3849563359691501</v>
      </c>
      <c r="P58" s="296">
        <f t="shared" si="13"/>
        <v>-4.925557008698922</v>
      </c>
      <c r="Q58" s="296">
        <f t="shared" si="13"/>
        <v>-4.0378375235581743</v>
      </c>
      <c r="R58" s="296">
        <f t="shared" si="13"/>
        <v>-6.6289941216900017</v>
      </c>
      <c r="S58" s="296">
        <f t="shared" si="13"/>
        <v>-2.4668886248600974</v>
      </c>
      <c r="T58" s="296">
        <f t="shared" si="13"/>
        <v>-3.4881518845879533</v>
      </c>
      <c r="U58" s="296">
        <f t="shared" si="13"/>
        <v>-3.2383665005713658</v>
      </c>
      <c r="V58" s="296">
        <f t="shared" si="13"/>
        <v>-3.6501046174434615</v>
      </c>
      <c r="W58" s="296">
        <f t="shared" si="13"/>
        <v>-3.4348938427903208</v>
      </c>
      <c r="X58" s="296" t="str">
        <f t="shared" si="13"/>
        <v>..</v>
      </c>
      <c r="Y58" s="296" t="str">
        <f t="shared" si="13"/>
        <v>..</v>
      </c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</row>
    <row r="59" spans="1:42">
      <c r="A59" s="295" t="s">
        <v>446</v>
      </c>
      <c r="B59" s="296">
        <f>IFERROR(((B48/B41)^(1/7)-1)*100,"..")</f>
        <v>-3.1837312242601556</v>
      </c>
      <c r="C59" s="296">
        <f t="shared" ref="C59:Y59" si="14">IFERROR(((C48/C41)^(1/7)-1)*100,"..")</f>
        <v>-3.9070803805854148</v>
      </c>
      <c r="D59" s="296">
        <f t="shared" si="14"/>
        <v>-3.4445637190670508</v>
      </c>
      <c r="E59" s="296">
        <f t="shared" si="14"/>
        <v>-2.33017532769485</v>
      </c>
      <c r="F59" s="296">
        <f t="shared" si="14"/>
        <v>-3.492201020031882</v>
      </c>
      <c r="G59" s="296">
        <f t="shared" si="14"/>
        <v>-0.54698065195176726</v>
      </c>
      <c r="H59" s="296">
        <f t="shared" si="14"/>
        <v>-3.81803018069653</v>
      </c>
      <c r="I59" s="296">
        <f t="shared" si="14"/>
        <v>-3.7511709243974289</v>
      </c>
      <c r="J59" s="296">
        <f t="shared" si="14"/>
        <v>-5.1286692481944174</v>
      </c>
      <c r="K59" s="296">
        <f t="shared" si="14"/>
        <v>-2.2953342247502895</v>
      </c>
      <c r="L59" s="296">
        <f t="shared" si="14"/>
        <v>-2.7687895156675579</v>
      </c>
      <c r="M59" s="296">
        <f t="shared" si="14"/>
        <v>-1.471989948523722</v>
      </c>
      <c r="N59" s="296">
        <f t="shared" si="14"/>
        <v>-3.4250509181431799</v>
      </c>
      <c r="O59" s="296">
        <f t="shared" si="14"/>
        <v>-6.5887733174673446</v>
      </c>
      <c r="P59" s="296">
        <f t="shared" si="14"/>
        <v>-3.2156590462793733</v>
      </c>
      <c r="Q59" s="296">
        <f t="shared" si="14"/>
        <v>-2.7227586705017459</v>
      </c>
      <c r="R59" s="296">
        <f t="shared" si="14"/>
        <v>-6.9951980712968602</v>
      </c>
      <c r="S59" s="296">
        <f t="shared" si="14"/>
        <v>-1.6677787045837889E-2</v>
      </c>
      <c r="T59" s="296">
        <f t="shared" si="14"/>
        <v>-2.7759195604955988</v>
      </c>
      <c r="U59" s="296">
        <f t="shared" si="14"/>
        <v>-2.3296245288767503</v>
      </c>
      <c r="V59" s="296">
        <f t="shared" si="14"/>
        <v>-3.5587150402731749</v>
      </c>
      <c r="W59" s="296">
        <f t="shared" si="14"/>
        <v>-1.3826933768851801</v>
      </c>
      <c r="X59" s="296" t="str">
        <f t="shared" si="14"/>
        <v>..</v>
      </c>
      <c r="Y59" s="296" t="str">
        <f t="shared" si="14"/>
        <v>..</v>
      </c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</row>
    <row r="60" spans="1:42">
      <c r="A60" s="300" t="s">
        <v>447</v>
      </c>
      <c r="B60" s="296">
        <f>IFERROR(((B54/B48)^(1/6)-1)*100,"..")</f>
        <v>-5.0502209578642159</v>
      </c>
      <c r="C60" s="296">
        <f t="shared" ref="C60:Y60" si="15">IFERROR(((C54/C48)^(1/6)-1)*100,"..")</f>
        <v>-5.8243451671866957</v>
      </c>
      <c r="D60" s="296">
        <f t="shared" si="15"/>
        <v>-4.1276981341033974</v>
      </c>
      <c r="E60" s="296">
        <f t="shared" si="15"/>
        <v>-5.9349329235944381</v>
      </c>
      <c r="F60" s="296">
        <f t="shared" si="15"/>
        <v>-6.6775856254866266</v>
      </c>
      <c r="G60" s="296">
        <f t="shared" si="15"/>
        <v>-4.968486285601581</v>
      </c>
      <c r="H60" s="296">
        <f t="shared" si="15"/>
        <v>-5.5246883759227261</v>
      </c>
      <c r="I60" s="296">
        <f t="shared" si="15"/>
        <v>-8.2917848813006785</v>
      </c>
      <c r="J60" s="296">
        <f t="shared" si="15"/>
        <v>-3.7445619436016875</v>
      </c>
      <c r="K60" s="296">
        <f t="shared" si="15"/>
        <v>-6.3404675793389149</v>
      </c>
      <c r="L60" s="296">
        <f t="shared" si="15"/>
        <v>-7.3460309094066423</v>
      </c>
      <c r="M60" s="296">
        <f t="shared" si="15"/>
        <v>-4.7912658974083477</v>
      </c>
      <c r="N60" s="296">
        <f t="shared" si="15"/>
        <v>-6.1723125313041578</v>
      </c>
      <c r="O60" s="296">
        <f t="shared" si="15"/>
        <v>-6.1466077192637076</v>
      </c>
      <c r="P60" s="296">
        <f t="shared" si="15"/>
        <v>-6.8822948517230476</v>
      </c>
      <c r="Q60" s="296">
        <f t="shared" si="15"/>
        <v>-5.5496432041109545</v>
      </c>
      <c r="R60" s="296">
        <f t="shared" si="15"/>
        <v>-6.1999333575451061</v>
      </c>
      <c r="S60" s="296">
        <f t="shared" si="15"/>
        <v>-5.2496811443645814</v>
      </c>
      <c r="T60" s="296">
        <f t="shared" si="15"/>
        <v>-4.3124978365132964</v>
      </c>
      <c r="U60" s="296">
        <f t="shared" si="15"/>
        <v>-4.2878847056955323</v>
      </c>
      <c r="V60" s="296">
        <f t="shared" si="15"/>
        <v>-3.7566163406553166</v>
      </c>
      <c r="W60" s="296">
        <f t="shared" si="15"/>
        <v>-5.7752150609787556</v>
      </c>
      <c r="X60" s="296">
        <f t="shared" si="15"/>
        <v>-5.7827593623378526</v>
      </c>
      <c r="Y60" s="296">
        <f t="shared" si="15"/>
        <v>-5.7291806228097153</v>
      </c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</row>
    <row r="61" spans="1:42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</row>
    <row r="62" spans="1:42">
      <c r="A62" s="448" t="s">
        <v>617</v>
      </c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</row>
    <row r="63" spans="1:42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</row>
    <row r="64" spans="1:42">
      <c r="A64" s="475" t="s">
        <v>487</v>
      </c>
      <c r="B64" s="475"/>
      <c r="C64" s="475"/>
      <c r="D64" s="475"/>
      <c r="E64" s="475"/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  <c r="V64" s="475"/>
      <c r="W64" s="475"/>
      <c r="X64" s="475"/>
      <c r="Y64" s="475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</row>
    <row r="65" spans="1:42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</row>
    <row r="66" spans="1:42">
      <c r="B66" s="461" t="s">
        <v>439</v>
      </c>
      <c r="C66" s="461"/>
      <c r="D66" s="461"/>
      <c r="E66" s="461"/>
      <c r="F66" s="461"/>
      <c r="G66" s="461"/>
      <c r="H66" s="461" t="s">
        <v>132</v>
      </c>
      <c r="I66" s="461"/>
      <c r="J66" s="461"/>
      <c r="K66" s="461"/>
      <c r="L66" s="461"/>
      <c r="M66" s="461"/>
      <c r="N66" s="461" t="s">
        <v>133</v>
      </c>
      <c r="O66" s="461"/>
      <c r="P66" s="461"/>
      <c r="Q66" s="461"/>
      <c r="R66" s="461"/>
      <c r="S66" s="461"/>
      <c r="T66" s="461" t="s">
        <v>440</v>
      </c>
      <c r="U66" s="461"/>
      <c r="V66" s="461"/>
      <c r="W66" s="461"/>
      <c r="X66" s="461"/>
      <c r="Y66" s="461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</row>
    <row r="67" spans="1:42" ht="75">
      <c r="B67" s="294" t="s">
        <v>8</v>
      </c>
      <c r="C67" s="146" t="s">
        <v>441</v>
      </c>
      <c r="D67" s="146" t="s">
        <v>248</v>
      </c>
      <c r="E67" s="146" t="s">
        <v>249</v>
      </c>
      <c r="F67" s="146" t="s">
        <v>442</v>
      </c>
      <c r="G67" s="146" t="s">
        <v>443</v>
      </c>
      <c r="H67" s="301" t="s">
        <v>8</v>
      </c>
      <c r="I67" s="146" t="s">
        <v>441</v>
      </c>
      <c r="J67" s="146" t="s">
        <v>248</v>
      </c>
      <c r="K67" s="146" t="s">
        <v>249</v>
      </c>
      <c r="L67" s="146" t="s">
        <v>442</v>
      </c>
      <c r="M67" s="146" t="s">
        <v>443</v>
      </c>
      <c r="N67" s="294" t="s">
        <v>8</v>
      </c>
      <c r="O67" s="146" t="s">
        <v>441</v>
      </c>
      <c r="P67" s="146" t="s">
        <v>248</v>
      </c>
      <c r="Q67" s="146" t="s">
        <v>249</v>
      </c>
      <c r="R67" s="146" t="s">
        <v>442</v>
      </c>
      <c r="S67" s="146" t="s">
        <v>443</v>
      </c>
      <c r="T67" s="294" t="s">
        <v>8</v>
      </c>
      <c r="U67" s="146" t="s">
        <v>441</v>
      </c>
      <c r="V67" s="146" t="s">
        <v>248</v>
      </c>
      <c r="W67" s="146" t="s">
        <v>249</v>
      </c>
      <c r="X67" s="146" t="s">
        <v>442</v>
      </c>
      <c r="Y67" s="146" t="s">
        <v>443</v>
      </c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</row>
    <row r="68" spans="1:42">
      <c r="A68" s="223">
        <v>1997</v>
      </c>
      <c r="B68" s="190" t="str">
        <f>IFERROR(C68+D68+E68,"..")</f>
        <v>..</v>
      </c>
      <c r="C68" s="190" t="s">
        <v>10</v>
      </c>
      <c r="D68" s="190" t="s">
        <v>10</v>
      </c>
      <c r="E68" s="190" t="s">
        <v>10</v>
      </c>
      <c r="F68" s="190" t="s">
        <v>10</v>
      </c>
      <c r="G68" s="190" t="s">
        <v>10</v>
      </c>
      <c r="H68" s="302" t="s">
        <v>10</v>
      </c>
      <c r="I68" s="302">
        <v>534.4</v>
      </c>
      <c r="J68" s="302">
        <v>2001</v>
      </c>
      <c r="K68" s="302" t="s">
        <v>10</v>
      </c>
      <c r="L68" s="302" t="s">
        <v>10</v>
      </c>
      <c r="M68" s="302" t="s">
        <v>10</v>
      </c>
      <c r="N68" s="190">
        <v>5433.3</v>
      </c>
      <c r="O68" s="302">
        <v>624.29999999999995</v>
      </c>
      <c r="P68" s="302">
        <v>1228</v>
      </c>
      <c r="Q68" s="302">
        <v>3581</v>
      </c>
      <c r="R68" s="302">
        <v>1561.2</v>
      </c>
      <c r="S68" s="302">
        <v>1971</v>
      </c>
      <c r="T68" s="190">
        <v>5818.5999999999995</v>
      </c>
      <c r="U68" s="302">
        <v>2058.1999999999998</v>
      </c>
      <c r="V68" s="302">
        <v>2432.1</v>
      </c>
      <c r="W68" s="302">
        <v>1328.3</v>
      </c>
      <c r="X68" s="302">
        <v>1155.3</v>
      </c>
      <c r="Y68" s="302">
        <v>191.8</v>
      </c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</row>
    <row r="69" spans="1:42">
      <c r="A69" s="223">
        <v>1998</v>
      </c>
      <c r="B69" s="190" t="str">
        <f t="shared" ref="B69:B84" si="16">IFERROR(C69+D69+E69,"..")</f>
        <v>..</v>
      </c>
      <c r="C69" s="190" t="s">
        <v>10</v>
      </c>
      <c r="D69" s="190" t="s">
        <v>10</v>
      </c>
      <c r="E69" s="190" t="s">
        <v>10</v>
      </c>
      <c r="F69" s="190" t="s">
        <v>10</v>
      </c>
      <c r="G69" s="190" t="s">
        <v>10</v>
      </c>
      <c r="H69" s="302">
        <v>5975.4</v>
      </c>
      <c r="I69" s="302">
        <v>613.79999999999995</v>
      </c>
      <c r="J69" s="302">
        <v>2155.6999999999998</v>
      </c>
      <c r="K69" s="302">
        <v>3205.9</v>
      </c>
      <c r="L69" s="302">
        <v>2051.1</v>
      </c>
      <c r="M69" s="302">
        <v>1214.4000000000001</v>
      </c>
      <c r="N69" s="190">
        <v>5414.9</v>
      </c>
      <c r="O69" s="302">
        <v>622.6</v>
      </c>
      <c r="P69" s="302">
        <v>1339.5</v>
      </c>
      <c r="Q69" s="302">
        <v>3452.8</v>
      </c>
      <c r="R69" s="302">
        <v>1528.8</v>
      </c>
      <c r="S69" s="302">
        <v>1858.7</v>
      </c>
      <c r="T69" s="190">
        <v>5561.4</v>
      </c>
      <c r="U69" s="302">
        <v>2066.8000000000002</v>
      </c>
      <c r="V69" s="302">
        <v>2396</v>
      </c>
      <c r="W69" s="302">
        <v>1098.5999999999999</v>
      </c>
      <c r="X69" s="302" t="s">
        <v>10</v>
      </c>
      <c r="Y69" s="302" t="s">
        <v>10</v>
      </c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</row>
    <row r="70" spans="1:42">
      <c r="A70" s="223">
        <v>1999</v>
      </c>
      <c r="B70" s="190" t="str">
        <f t="shared" si="16"/>
        <v>..</v>
      </c>
      <c r="C70" s="190" t="s">
        <v>10</v>
      </c>
      <c r="D70" s="190" t="s">
        <v>10</v>
      </c>
      <c r="E70" s="190" t="s">
        <v>10</v>
      </c>
      <c r="F70" s="190" t="s">
        <v>10</v>
      </c>
      <c r="G70" s="190" t="s">
        <v>10</v>
      </c>
      <c r="H70" s="302">
        <v>6239.5999999999995</v>
      </c>
      <c r="I70" s="302">
        <v>682.7</v>
      </c>
      <c r="J70" s="302">
        <v>2242.6999999999998</v>
      </c>
      <c r="K70" s="302">
        <v>3314.2</v>
      </c>
      <c r="L70" s="302">
        <v>2085.1</v>
      </c>
      <c r="M70" s="302">
        <v>1320.8</v>
      </c>
      <c r="N70" s="190">
        <v>5370.9</v>
      </c>
      <c r="O70" s="302">
        <v>665.6</v>
      </c>
      <c r="P70" s="302">
        <v>1332.2</v>
      </c>
      <c r="Q70" s="302">
        <v>3373.1</v>
      </c>
      <c r="R70" s="302">
        <v>1559.6</v>
      </c>
      <c r="S70" s="302">
        <v>1714.8</v>
      </c>
      <c r="T70" s="190">
        <v>6190.1</v>
      </c>
      <c r="U70" s="302">
        <v>1953.4</v>
      </c>
      <c r="V70" s="302">
        <v>2692.4</v>
      </c>
      <c r="W70" s="302">
        <v>1544.3</v>
      </c>
      <c r="X70" s="302" t="s">
        <v>10</v>
      </c>
      <c r="Y70" s="302" t="s">
        <v>10</v>
      </c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</row>
    <row r="71" spans="1:42">
      <c r="A71" s="223">
        <v>2000</v>
      </c>
      <c r="B71" s="190" t="str">
        <f t="shared" si="16"/>
        <v>..</v>
      </c>
      <c r="C71" s="190" t="s">
        <v>10</v>
      </c>
      <c r="D71" s="190" t="s">
        <v>10</v>
      </c>
      <c r="E71" s="190" t="s">
        <v>10</v>
      </c>
      <c r="F71" s="190" t="s">
        <v>10</v>
      </c>
      <c r="G71" s="190" t="s">
        <v>10</v>
      </c>
      <c r="H71" s="302">
        <v>6668.6</v>
      </c>
      <c r="I71" s="302">
        <v>866.7</v>
      </c>
      <c r="J71" s="302">
        <v>2417.8000000000002</v>
      </c>
      <c r="K71" s="302">
        <v>3384.1</v>
      </c>
      <c r="L71" s="302">
        <v>2275.8000000000002</v>
      </c>
      <c r="M71" s="302">
        <v>1073.3</v>
      </c>
      <c r="N71" s="190">
        <v>6232.6</v>
      </c>
      <c r="O71" s="302">
        <v>822.4</v>
      </c>
      <c r="P71" s="302">
        <v>1587.9</v>
      </c>
      <c r="Q71" s="302">
        <v>3822.3</v>
      </c>
      <c r="R71" s="302">
        <v>1810.1</v>
      </c>
      <c r="S71" s="302">
        <v>1872</v>
      </c>
      <c r="T71" s="190">
        <v>6319.5999999999995</v>
      </c>
      <c r="U71" s="302">
        <v>1847.2</v>
      </c>
      <c r="V71" s="302">
        <v>2969.2</v>
      </c>
      <c r="W71" s="302">
        <v>1503.2</v>
      </c>
      <c r="X71" s="302" t="s">
        <v>10</v>
      </c>
      <c r="Y71" s="302" t="s">
        <v>10</v>
      </c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</row>
    <row r="72" spans="1:42">
      <c r="A72" s="223">
        <v>2001</v>
      </c>
      <c r="B72" s="190" t="str">
        <f t="shared" si="16"/>
        <v>..</v>
      </c>
      <c r="C72" s="190" t="s">
        <v>10</v>
      </c>
      <c r="D72" s="190" t="s">
        <v>10</v>
      </c>
      <c r="E72" s="190" t="s">
        <v>10</v>
      </c>
      <c r="F72" s="190" t="s">
        <v>10</v>
      </c>
      <c r="G72" s="190" t="s">
        <v>10</v>
      </c>
      <c r="H72" s="302">
        <v>6869.1</v>
      </c>
      <c r="I72" s="302">
        <v>893.3</v>
      </c>
      <c r="J72" s="302">
        <v>2612.9</v>
      </c>
      <c r="K72" s="302">
        <v>3362.9</v>
      </c>
      <c r="L72" s="302">
        <v>2242.9</v>
      </c>
      <c r="M72" s="302">
        <v>1101.4000000000001</v>
      </c>
      <c r="N72" s="190">
        <v>6148.1</v>
      </c>
      <c r="O72" s="302">
        <v>759.4</v>
      </c>
      <c r="P72" s="302">
        <v>1596.9</v>
      </c>
      <c r="Q72" s="302">
        <v>3791.8</v>
      </c>
      <c r="R72" s="302">
        <v>1589.6</v>
      </c>
      <c r="S72" s="302">
        <v>2200.6</v>
      </c>
      <c r="T72" s="190">
        <v>5556.2999999999993</v>
      </c>
      <c r="U72" s="302">
        <v>1852.7</v>
      </c>
      <c r="V72" s="302">
        <v>2437.5</v>
      </c>
      <c r="W72" s="302">
        <v>1266.0999999999999</v>
      </c>
      <c r="X72" s="302" t="s">
        <v>10</v>
      </c>
      <c r="Y72" s="302" t="s">
        <v>10</v>
      </c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</row>
    <row r="73" spans="1:42">
      <c r="A73" s="223">
        <v>2002</v>
      </c>
      <c r="B73" s="190" t="str">
        <f t="shared" si="16"/>
        <v>..</v>
      </c>
      <c r="C73" s="190" t="s">
        <v>10</v>
      </c>
      <c r="D73" s="190" t="s">
        <v>10</v>
      </c>
      <c r="E73" s="190" t="s">
        <v>10</v>
      </c>
      <c r="F73" s="190" t="s">
        <v>10</v>
      </c>
      <c r="G73" s="190" t="s">
        <v>10</v>
      </c>
      <c r="H73" s="302">
        <v>7271.6</v>
      </c>
      <c r="I73" s="302">
        <v>909</v>
      </c>
      <c r="J73" s="302">
        <v>2857.2</v>
      </c>
      <c r="K73" s="302">
        <v>3505.4</v>
      </c>
      <c r="L73" s="302">
        <v>2298.5</v>
      </c>
      <c r="M73" s="302">
        <v>1213.4000000000001</v>
      </c>
      <c r="N73" s="190">
        <v>6464.1</v>
      </c>
      <c r="O73" s="302">
        <v>778.3</v>
      </c>
      <c r="P73" s="302">
        <v>1748</v>
      </c>
      <c r="Q73" s="302">
        <v>3937.8</v>
      </c>
      <c r="R73" s="302">
        <v>1669.5</v>
      </c>
      <c r="S73" s="302">
        <v>2257.8000000000002</v>
      </c>
      <c r="T73" s="190">
        <v>6081.3</v>
      </c>
      <c r="U73" s="302">
        <v>1898.1</v>
      </c>
      <c r="V73" s="302">
        <v>2825</v>
      </c>
      <c r="W73" s="302">
        <v>1358.2</v>
      </c>
      <c r="X73" s="302">
        <v>1197.4000000000001</v>
      </c>
      <c r="Y73" s="302">
        <v>169</v>
      </c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</row>
    <row r="74" spans="1:42">
      <c r="A74" s="223">
        <v>2003</v>
      </c>
      <c r="B74" s="190" t="str">
        <f t="shared" si="16"/>
        <v>..</v>
      </c>
      <c r="C74" s="190" t="s">
        <v>10</v>
      </c>
      <c r="D74" s="190" t="s">
        <v>10</v>
      </c>
      <c r="E74" s="190" t="s">
        <v>10</v>
      </c>
      <c r="F74" s="190" t="s">
        <v>10</v>
      </c>
      <c r="G74" s="190" t="s">
        <v>10</v>
      </c>
      <c r="H74" s="302">
        <v>6968.5</v>
      </c>
      <c r="I74" s="302">
        <v>846.3</v>
      </c>
      <c r="J74" s="302">
        <v>2769.7</v>
      </c>
      <c r="K74" s="302">
        <v>3352.5</v>
      </c>
      <c r="L74" s="302">
        <v>2197.1</v>
      </c>
      <c r="M74" s="302">
        <v>1162.5999999999999</v>
      </c>
      <c r="N74" s="190">
        <v>6576.9</v>
      </c>
      <c r="O74" s="302">
        <v>733.6</v>
      </c>
      <c r="P74" s="302">
        <v>1786.1</v>
      </c>
      <c r="Q74" s="302">
        <v>4057.2</v>
      </c>
      <c r="R74" s="302">
        <v>1639</v>
      </c>
      <c r="S74" s="302">
        <v>2429.9</v>
      </c>
      <c r="T74" s="190">
        <v>6196.7</v>
      </c>
      <c r="U74" s="302">
        <v>1931.1</v>
      </c>
      <c r="V74" s="302">
        <v>2894.4</v>
      </c>
      <c r="W74" s="302">
        <v>1371.2</v>
      </c>
      <c r="X74" s="302">
        <v>1218.4000000000001</v>
      </c>
      <c r="Y74" s="302">
        <v>158.80000000000001</v>
      </c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  <c r="AP74" s="297"/>
    </row>
    <row r="75" spans="1:42">
      <c r="A75" s="223">
        <v>2004</v>
      </c>
      <c r="B75" s="190" t="str">
        <f t="shared" si="16"/>
        <v>..</v>
      </c>
      <c r="C75" s="190" t="s">
        <v>10</v>
      </c>
      <c r="D75" s="190" t="s">
        <v>10</v>
      </c>
      <c r="E75" s="190" t="s">
        <v>10</v>
      </c>
      <c r="F75" s="190" t="s">
        <v>10</v>
      </c>
      <c r="G75" s="190" t="s">
        <v>10</v>
      </c>
      <c r="H75" s="302">
        <v>6685.4</v>
      </c>
      <c r="I75" s="302">
        <v>963.7</v>
      </c>
      <c r="J75" s="302">
        <v>2594.1999999999998</v>
      </c>
      <c r="K75" s="302">
        <v>3127.5</v>
      </c>
      <c r="L75" s="302">
        <v>1956.2</v>
      </c>
      <c r="M75" s="302">
        <v>1198.3</v>
      </c>
      <c r="N75" s="190">
        <v>6501.4</v>
      </c>
      <c r="O75" s="302">
        <v>688.7</v>
      </c>
      <c r="P75" s="302">
        <v>1779.5</v>
      </c>
      <c r="Q75" s="302">
        <v>4033.2</v>
      </c>
      <c r="R75" s="302">
        <v>1756.1</v>
      </c>
      <c r="S75" s="302">
        <v>2272.5</v>
      </c>
      <c r="T75" s="190">
        <v>6908.2</v>
      </c>
      <c r="U75" s="302">
        <v>2187.3000000000002</v>
      </c>
      <c r="V75" s="302">
        <v>3255.7</v>
      </c>
      <c r="W75" s="302">
        <v>1465.2</v>
      </c>
      <c r="X75" s="302">
        <v>1301.2</v>
      </c>
      <c r="Y75" s="302">
        <v>170.5</v>
      </c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</row>
    <row r="76" spans="1:42">
      <c r="A76" s="223">
        <v>2005</v>
      </c>
      <c r="B76" s="190" t="str">
        <f t="shared" si="16"/>
        <v>..</v>
      </c>
      <c r="C76" s="190" t="s">
        <v>10</v>
      </c>
      <c r="D76" s="190" t="s">
        <v>10</v>
      </c>
      <c r="E76" s="190" t="s">
        <v>10</v>
      </c>
      <c r="F76" s="190" t="s">
        <v>10</v>
      </c>
      <c r="G76" s="190" t="s">
        <v>10</v>
      </c>
      <c r="H76" s="302">
        <v>7214.2</v>
      </c>
      <c r="I76" s="302">
        <v>1039.7</v>
      </c>
      <c r="J76" s="302">
        <v>2857.8</v>
      </c>
      <c r="K76" s="302">
        <v>3316.7</v>
      </c>
      <c r="L76" s="302">
        <v>2200.6</v>
      </c>
      <c r="M76" s="302">
        <v>1117.3</v>
      </c>
      <c r="N76" s="190">
        <v>6363.1</v>
      </c>
      <c r="O76" s="302">
        <v>721.4</v>
      </c>
      <c r="P76" s="302">
        <v>1812.5</v>
      </c>
      <c r="Q76" s="302">
        <v>3829.2</v>
      </c>
      <c r="R76" s="302">
        <v>1572.6</v>
      </c>
      <c r="S76" s="302">
        <v>2254.5</v>
      </c>
      <c r="T76" s="190">
        <v>7326.5</v>
      </c>
      <c r="U76" s="302">
        <v>2167.6999999999998</v>
      </c>
      <c r="V76" s="302">
        <v>3595.4</v>
      </c>
      <c r="W76" s="302">
        <v>1563.4</v>
      </c>
      <c r="X76" s="302">
        <v>1391.1</v>
      </c>
      <c r="Y76" s="302">
        <v>178.6</v>
      </c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</row>
    <row r="77" spans="1:42">
      <c r="A77" s="223">
        <v>2006</v>
      </c>
      <c r="B77" s="190" t="str">
        <f t="shared" si="16"/>
        <v>..</v>
      </c>
      <c r="C77" s="190" t="s">
        <v>10</v>
      </c>
      <c r="D77" s="190" t="s">
        <v>10</v>
      </c>
      <c r="E77" s="190" t="s">
        <v>10</v>
      </c>
      <c r="F77" s="190" t="s">
        <v>10</v>
      </c>
      <c r="G77" s="190" t="s">
        <v>10</v>
      </c>
      <c r="H77" s="302">
        <v>6998.4000000000005</v>
      </c>
      <c r="I77" s="302">
        <v>979.3</v>
      </c>
      <c r="J77" s="302">
        <v>2855.8</v>
      </c>
      <c r="K77" s="302">
        <v>3163.3</v>
      </c>
      <c r="L77" s="302">
        <v>2117.9</v>
      </c>
      <c r="M77" s="302">
        <v>1042</v>
      </c>
      <c r="N77" s="190">
        <v>5750.2000000000007</v>
      </c>
      <c r="O77" s="302">
        <v>614.79999999999995</v>
      </c>
      <c r="P77" s="302">
        <v>1835.5</v>
      </c>
      <c r="Q77" s="302">
        <v>3299.9</v>
      </c>
      <c r="R77" s="302">
        <v>1248.9000000000001</v>
      </c>
      <c r="S77" s="302">
        <v>2052.4</v>
      </c>
      <c r="T77" s="190">
        <v>7256.9</v>
      </c>
      <c r="U77" s="302">
        <v>2112.5</v>
      </c>
      <c r="V77" s="302">
        <v>3610.9</v>
      </c>
      <c r="W77" s="302">
        <v>1533.5</v>
      </c>
      <c r="X77" s="302">
        <v>1376</v>
      </c>
      <c r="Y77" s="302">
        <v>160.30000000000001</v>
      </c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</row>
    <row r="78" spans="1:42">
      <c r="A78" s="223">
        <v>2007</v>
      </c>
      <c r="B78" s="190" t="str">
        <f t="shared" si="16"/>
        <v>..</v>
      </c>
      <c r="C78" s="190" t="s">
        <v>10</v>
      </c>
      <c r="D78" s="190" t="s">
        <v>10</v>
      </c>
      <c r="E78" s="190" t="s">
        <v>10</v>
      </c>
      <c r="F78" s="190" t="s">
        <v>10</v>
      </c>
      <c r="G78" s="190" t="s">
        <v>10</v>
      </c>
      <c r="H78" s="302">
        <v>6550.6</v>
      </c>
      <c r="I78" s="302">
        <v>870.5</v>
      </c>
      <c r="J78" s="302">
        <v>2562.9</v>
      </c>
      <c r="K78" s="302">
        <v>3117.2</v>
      </c>
      <c r="L78" s="302">
        <v>2066.3000000000002</v>
      </c>
      <c r="M78" s="302">
        <v>1050.9000000000001</v>
      </c>
      <c r="N78" s="190">
        <v>5294.8</v>
      </c>
      <c r="O78" s="302">
        <v>530.4</v>
      </c>
      <c r="P78" s="302">
        <v>1640.6</v>
      </c>
      <c r="Q78" s="302">
        <v>3123.8</v>
      </c>
      <c r="R78" s="302">
        <v>1227.0999999999999</v>
      </c>
      <c r="S78" s="302">
        <v>1896.7</v>
      </c>
      <c r="T78" s="190">
        <v>6942.2999999999993</v>
      </c>
      <c r="U78" s="302">
        <v>1998.2</v>
      </c>
      <c r="V78" s="302">
        <v>3373.5</v>
      </c>
      <c r="W78" s="302">
        <v>1570.6</v>
      </c>
      <c r="X78" s="302">
        <v>1421.7</v>
      </c>
      <c r="Y78" s="302">
        <v>149</v>
      </c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</row>
    <row r="79" spans="1:42">
      <c r="A79" s="223">
        <v>2008</v>
      </c>
      <c r="B79" s="190" t="str">
        <f t="shared" si="16"/>
        <v>..</v>
      </c>
      <c r="C79" s="190" t="s">
        <v>10</v>
      </c>
      <c r="D79" s="190" t="s">
        <v>10</v>
      </c>
      <c r="E79" s="190" t="s">
        <v>10</v>
      </c>
      <c r="F79" s="190" t="s">
        <v>10</v>
      </c>
      <c r="G79" s="190" t="s">
        <v>10</v>
      </c>
      <c r="H79" s="302">
        <v>6239</v>
      </c>
      <c r="I79" s="302">
        <v>864.6</v>
      </c>
      <c r="J79" s="302">
        <v>2444.9</v>
      </c>
      <c r="K79" s="302">
        <v>2929.5</v>
      </c>
      <c r="L79" s="302">
        <v>1873.9</v>
      </c>
      <c r="M79" s="302">
        <v>1055.3</v>
      </c>
      <c r="N79" s="190">
        <v>4869.1000000000004</v>
      </c>
      <c r="O79" s="302">
        <v>498</v>
      </c>
      <c r="P79" s="302">
        <v>1449.5</v>
      </c>
      <c r="Q79" s="302">
        <v>2921.6</v>
      </c>
      <c r="R79" s="302">
        <v>1158.5</v>
      </c>
      <c r="S79" s="302">
        <v>1763.4</v>
      </c>
      <c r="T79" s="190">
        <v>6078.4</v>
      </c>
      <c r="U79" s="302">
        <v>1775.6</v>
      </c>
      <c r="V79" s="302">
        <v>2883.9</v>
      </c>
      <c r="W79" s="302">
        <v>1418.9</v>
      </c>
      <c r="X79" s="302">
        <v>1277.4000000000001</v>
      </c>
      <c r="Y79" s="302">
        <v>141.4</v>
      </c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</row>
    <row r="80" spans="1:42">
      <c r="A80" s="223">
        <v>2009</v>
      </c>
      <c r="B80" s="190" t="str">
        <f t="shared" si="16"/>
        <v>..</v>
      </c>
      <c r="C80" s="190" t="s">
        <v>10</v>
      </c>
      <c r="D80" s="190" t="s">
        <v>10</v>
      </c>
      <c r="E80" s="190" t="s">
        <v>10</v>
      </c>
      <c r="F80" s="190" t="s">
        <v>10</v>
      </c>
      <c r="G80" s="190" t="s">
        <v>10</v>
      </c>
      <c r="H80" s="302">
        <v>5567.1</v>
      </c>
      <c r="I80" s="302">
        <v>790</v>
      </c>
      <c r="J80" s="302">
        <v>2132.4</v>
      </c>
      <c r="K80" s="302">
        <v>2644.7</v>
      </c>
      <c r="L80" s="302">
        <v>1606.4</v>
      </c>
      <c r="M80" s="302">
        <v>1042.9000000000001</v>
      </c>
      <c r="N80" s="190">
        <v>3775.3</v>
      </c>
      <c r="O80" s="302">
        <v>388.3</v>
      </c>
      <c r="P80" s="302">
        <v>1049.5</v>
      </c>
      <c r="Q80" s="302">
        <v>2337.5</v>
      </c>
      <c r="R80" s="302">
        <v>753.3</v>
      </c>
      <c r="S80" s="302">
        <v>1592</v>
      </c>
      <c r="T80" s="190">
        <v>4669.7</v>
      </c>
      <c r="U80" s="302">
        <v>1212.3</v>
      </c>
      <c r="V80" s="302">
        <v>2468.1999999999998</v>
      </c>
      <c r="W80" s="302">
        <v>989.2</v>
      </c>
      <c r="X80" s="302">
        <v>874.4</v>
      </c>
      <c r="Y80" s="302">
        <v>116.1</v>
      </c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  <c r="AP80" s="297"/>
    </row>
    <row r="81" spans="1:42">
      <c r="A81" s="223">
        <v>2010</v>
      </c>
      <c r="B81" s="190" t="str">
        <f t="shared" si="16"/>
        <v>..</v>
      </c>
      <c r="C81" s="190" t="s">
        <v>10</v>
      </c>
      <c r="D81" s="190" t="s">
        <v>10</v>
      </c>
      <c r="E81" s="190" t="s">
        <v>10</v>
      </c>
      <c r="F81" s="190" t="s">
        <v>10</v>
      </c>
      <c r="G81" s="190" t="s">
        <v>10</v>
      </c>
      <c r="H81" s="302">
        <v>5831.7</v>
      </c>
      <c r="I81" s="302">
        <v>871.2</v>
      </c>
      <c r="J81" s="302">
        <v>2219.5</v>
      </c>
      <c r="K81" s="302">
        <v>2741</v>
      </c>
      <c r="L81" s="302">
        <v>1747.5</v>
      </c>
      <c r="M81" s="302">
        <v>991.8</v>
      </c>
      <c r="N81" s="190">
        <v>3986.3</v>
      </c>
      <c r="O81" s="302">
        <v>400.4</v>
      </c>
      <c r="P81" s="302">
        <v>1092.5</v>
      </c>
      <c r="Q81" s="302">
        <v>2493.4</v>
      </c>
      <c r="R81" s="302">
        <v>855.5</v>
      </c>
      <c r="S81" s="302">
        <v>1636.9</v>
      </c>
      <c r="T81" s="190">
        <v>5399.4</v>
      </c>
      <c r="U81" s="302">
        <v>1509</v>
      </c>
      <c r="V81" s="302">
        <v>2711.7</v>
      </c>
      <c r="W81" s="302">
        <v>1178.7</v>
      </c>
      <c r="X81" s="302">
        <v>1077.4000000000001</v>
      </c>
      <c r="Y81" s="302">
        <v>97.4</v>
      </c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  <c r="AP81" s="297"/>
    </row>
    <row r="82" spans="1:42">
      <c r="A82" s="223">
        <v>2011</v>
      </c>
      <c r="B82" s="190" t="str">
        <f t="shared" si="16"/>
        <v>..</v>
      </c>
      <c r="C82" s="190" t="s">
        <v>10</v>
      </c>
      <c r="D82" s="190" t="s">
        <v>10</v>
      </c>
      <c r="E82" s="190" t="s">
        <v>10</v>
      </c>
      <c r="F82" s="190" t="s">
        <v>10</v>
      </c>
      <c r="G82" s="190" t="s">
        <v>10</v>
      </c>
      <c r="H82" s="302">
        <v>5771.7000000000007</v>
      </c>
      <c r="I82" s="302">
        <v>900.9</v>
      </c>
      <c r="J82" s="302">
        <v>2228.3000000000002</v>
      </c>
      <c r="K82" s="302">
        <v>2642.5</v>
      </c>
      <c r="L82" s="302">
        <v>1726.6</v>
      </c>
      <c r="M82" s="302">
        <v>912.8</v>
      </c>
      <c r="N82" s="190">
        <v>3853.8</v>
      </c>
      <c r="O82" s="302">
        <v>393</v>
      </c>
      <c r="P82" s="302">
        <v>1035.8</v>
      </c>
      <c r="Q82" s="302">
        <v>2425</v>
      </c>
      <c r="R82" s="302">
        <v>800.3</v>
      </c>
      <c r="S82" s="302">
        <v>1629.8</v>
      </c>
      <c r="T82" s="190">
        <v>5794.7</v>
      </c>
      <c r="U82" s="302">
        <v>1683.4</v>
      </c>
      <c r="V82" s="302">
        <v>2876.5</v>
      </c>
      <c r="W82" s="302">
        <v>1234.8</v>
      </c>
      <c r="X82" s="302">
        <v>1135.5999999999999</v>
      </c>
      <c r="Y82" s="302">
        <v>94.6</v>
      </c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  <c r="AP82" s="297"/>
    </row>
    <row r="83" spans="1:42">
      <c r="A83" s="223">
        <v>2012</v>
      </c>
      <c r="B83" s="190" t="str">
        <f t="shared" si="16"/>
        <v>..</v>
      </c>
      <c r="C83" s="190" t="s">
        <v>10</v>
      </c>
      <c r="D83" s="190" t="s">
        <v>10</v>
      </c>
      <c r="E83" s="190" t="s">
        <v>10</v>
      </c>
      <c r="F83" s="190" t="s">
        <v>10</v>
      </c>
      <c r="G83" s="190" t="s">
        <v>10</v>
      </c>
      <c r="H83" s="302">
        <f t="shared" ref="H83:H84" si="17">I83+J83+K83</f>
        <v>5624.6</v>
      </c>
      <c r="I83" s="302">
        <v>901.6</v>
      </c>
      <c r="J83" s="302">
        <v>2258.4</v>
      </c>
      <c r="K83" s="302">
        <v>2464.6</v>
      </c>
      <c r="L83" s="302">
        <v>1629.5</v>
      </c>
      <c r="M83" s="302">
        <v>832.1</v>
      </c>
      <c r="N83" s="302">
        <f>O83+P83+Q83</f>
        <v>3781.2000000000003</v>
      </c>
      <c r="O83" s="302">
        <v>339</v>
      </c>
      <c r="P83" s="302">
        <v>1100.9000000000001</v>
      </c>
      <c r="Q83" s="302">
        <v>2341.3000000000002</v>
      </c>
      <c r="R83" s="302">
        <v>666</v>
      </c>
      <c r="S83" s="302">
        <v>1695.3</v>
      </c>
      <c r="T83" s="302">
        <f t="shared" ref="T83:T84" si="18">U83+V83+W83</f>
        <v>5991.7000000000007</v>
      </c>
      <c r="U83" s="302">
        <v>1696.8</v>
      </c>
      <c r="V83" s="302">
        <v>3142</v>
      </c>
      <c r="W83" s="302">
        <v>1152.9000000000001</v>
      </c>
      <c r="X83" s="302">
        <v>1051.8</v>
      </c>
      <c r="Y83" s="302">
        <v>97.6</v>
      </c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</row>
    <row r="84" spans="1:42">
      <c r="A84" s="223">
        <v>2013</v>
      </c>
      <c r="B84" s="190" t="str">
        <f t="shared" si="16"/>
        <v>..</v>
      </c>
      <c r="C84" s="190" t="s">
        <v>10</v>
      </c>
      <c r="D84" s="190" t="s">
        <v>10</v>
      </c>
      <c r="E84" s="190" t="s">
        <v>10</v>
      </c>
      <c r="F84" s="190" t="s">
        <v>10</v>
      </c>
      <c r="G84" s="190" t="s">
        <v>10</v>
      </c>
      <c r="H84" s="302">
        <f t="shared" si="17"/>
        <v>5809.1</v>
      </c>
      <c r="I84" s="302">
        <v>917.1</v>
      </c>
      <c r="J84" s="302">
        <v>2436.1999999999998</v>
      </c>
      <c r="K84" s="302">
        <v>2455.8000000000002</v>
      </c>
      <c r="L84" s="302">
        <v>1629.1</v>
      </c>
      <c r="M84" s="302">
        <v>823.7</v>
      </c>
      <c r="N84" s="302">
        <f t="shared" ref="N84" si="19">O84+P84+Q84</f>
        <v>3771.7</v>
      </c>
      <c r="O84" s="302">
        <v>376.6</v>
      </c>
      <c r="P84" s="302">
        <v>1150.5</v>
      </c>
      <c r="Q84" s="302">
        <v>2244.6</v>
      </c>
      <c r="R84" s="302">
        <v>690.8</v>
      </c>
      <c r="S84" s="302">
        <v>1566</v>
      </c>
      <c r="T84" s="302">
        <f t="shared" si="18"/>
        <v>6253.2000000000007</v>
      </c>
      <c r="U84" s="302">
        <v>1801</v>
      </c>
      <c r="V84" s="302">
        <v>3363.8</v>
      </c>
      <c r="W84" s="302">
        <v>1088.4000000000001</v>
      </c>
      <c r="X84" s="302">
        <v>1000.9</v>
      </c>
      <c r="Y84" s="302">
        <v>83.5</v>
      </c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  <c r="AP84" s="297"/>
    </row>
    <row r="85" spans="1:42">
      <c r="A85" s="223"/>
      <c r="B85" s="190"/>
      <c r="C85" s="190"/>
      <c r="D85" s="190"/>
      <c r="E85" s="190"/>
      <c r="F85" s="190"/>
      <c r="G85" s="190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  <c r="AP85" s="297"/>
    </row>
    <row r="86" spans="1:42">
      <c r="A86" s="223" t="s">
        <v>32</v>
      </c>
      <c r="B86" s="190"/>
      <c r="C86" s="190"/>
      <c r="D86" s="190"/>
      <c r="E86" s="190"/>
      <c r="F86" s="190"/>
      <c r="G86" s="190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  <c r="AP86" s="297"/>
    </row>
    <row r="87" spans="1:42">
      <c r="A87" s="295" t="s">
        <v>444</v>
      </c>
      <c r="B87" s="296" t="str">
        <f>IFERROR(((B84/B68)^(1/16)-1)*100,"..")</f>
        <v>..</v>
      </c>
      <c r="C87" s="296" t="str">
        <f t="shared" ref="C87:Y87" si="20">IFERROR(((C84/C68)^(1/16)-1)*100,"..")</f>
        <v>..</v>
      </c>
      <c r="D87" s="296" t="str">
        <f t="shared" si="20"/>
        <v>..</v>
      </c>
      <c r="E87" s="296" t="str">
        <f t="shared" si="20"/>
        <v>..</v>
      </c>
      <c r="F87" s="296" t="str">
        <f t="shared" si="20"/>
        <v>..</v>
      </c>
      <c r="G87" s="296" t="str">
        <f t="shared" si="20"/>
        <v>..</v>
      </c>
      <c r="H87" s="296" t="str">
        <f t="shared" si="20"/>
        <v>..</v>
      </c>
      <c r="I87" s="296">
        <f t="shared" si="20"/>
        <v>3.4330640616295316</v>
      </c>
      <c r="J87" s="296">
        <f t="shared" si="20"/>
        <v>1.2375474759052985</v>
      </c>
      <c r="K87" s="296" t="str">
        <f t="shared" si="20"/>
        <v>..</v>
      </c>
      <c r="L87" s="296" t="str">
        <f t="shared" si="20"/>
        <v>..</v>
      </c>
      <c r="M87" s="296" t="str">
        <f t="shared" si="20"/>
        <v>..</v>
      </c>
      <c r="N87" s="296">
        <f t="shared" si="20"/>
        <v>-2.2555536428270018</v>
      </c>
      <c r="O87" s="296">
        <f t="shared" si="20"/>
        <v>-3.1096697279857866</v>
      </c>
      <c r="P87" s="296">
        <f t="shared" si="20"/>
        <v>-0.4066098396853457</v>
      </c>
      <c r="Q87" s="296">
        <f t="shared" si="20"/>
        <v>-2.8772625163764887</v>
      </c>
      <c r="R87" s="296">
        <f t="shared" si="20"/>
        <v>-4.9683299090753641</v>
      </c>
      <c r="S87" s="296">
        <f t="shared" si="20"/>
        <v>-1.4273185245748055</v>
      </c>
      <c r="T87" s="296">
        <f t="shared" si="20"/>
        <v>0.45122528010523855</v>
      </c>
      <c r="U87" s="296">
        <f t="shared" si="20"/>
        <v>-0.83084021169413935</v>
      </c>
      <c r="V87" s="296">
        <f t="shared" si="20"/>
        <v>2.0476589574209836</v>
      </c>
      <c r="W87" s="296">
        <f t="shared" si="20"/>
        <v>-1.2372276262387127</v>
      </c>
      <c r="X87" s="296">
        <f t="shared" si="20"/>
        <v>-0.8926201249912169</v>
      </c>
      <c r="Y87" s="296">
        <f t="shared" si="20"/>
        <v>-5.0647787128379917</v>
      </c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  <c r="AP87" s="297"/>
    </row>
    <row r="88" spans="1:42">
      <c r="A88" s="295" t="s">
        <v>445</v>
      </c>
      <c r="B88" s="296" t="str">
        <f>IFERROR(((B84/B71)^(1/13)-1)*100,"..")</f>
        <v>..</v>
      </c>
      <c r="C88" s="296" t="str">
        <f t="shared" ref="C88:Y88" si="21">IFERROR(((C84/C71)^(1/13)-1)*100,"..")</f>
        <v>..</v>
      </c>
      <c r="D88" s="296" t="str">
        <f t="shared" si="21"/>
        <v>..</v>
      </c>
      <c r="E88" s="296" t="str">
        <f t="shared" si="21"/>
        <v>..</v>
      </c>
      <c r="F88" s="296" t="str">
        <f t="shared" si="21"/>
        <v>..</v>
      </c>
      <c r="G88" s="296" t="str">
        <f t="shared" si="21"/>
        <v>..</v>
      </c>
      <c r="H88" s="296">
        <f t="shared" si="21"/>
        <v>-1.0558044506406739</v>
      </c>
      <c r="I88" s="296">
        <f t="shared" si="21"/>
        <v>0.4357437018724708</v>
      </c>
      <c r="J88" s="296">
        <f t="shared" si="21"/>
        <v>5.8335566253742144E-2</v>
      </c>
      <c r="K88" s="296">
        <f t="shared" si="21"/>
        <v>-2.4362585327697306</v>
      </c>
      <c r="L88" s="296">
        <f t="shared" si="21"/>
        <v>-2.5387854339564808</v>
      </c>
      <c r="M88" s="296">
        <f t="shared" si="21"/>
        <v>-2.015465534661165</v>
      </c>
      <c r="N88" s="296">
        <f t="shared" si="21"/>
        <v>-3.7899131594418267</v>
      </c>
      <c r="O88" s="296">
        <f t="shared" si="21"/>
        <v>-5.8311042050008695</v>
      </c>
      <c r="P88" s="296">
        <f t="shared" si="21"/>
        <v>-2.4481181081041581</v>
      </c>
      <c r="Q88" s="296">
        <f t="shared" si="21"/>
        <v>-4.0121031777337723</v>
      </c>
      <c r="R88" s="296">
        <f t="shared" si="21"/>
        <v>-7.1420241897041103</v>
      </c>
      <c r="S88" s="296">
        <f t="shared" si="21"/>
        <v>-1.3635625679184638</v>
      </c>
      <c r="T88" s="296">
        <f t="shared" si="21"/>
        <v>-8.1217633653651866E-2</v>
      </c>
      <c r="U88" s="296">
        <f t="shared" si="21"/>
        <v>-0.19464810565263946</v>
      </c>
      <c r="V88" s="296">
        <f t="shared" si="21"/>
        <v>0.9644575956911039</v>
      </c>
      <c r="W88" s="296">
        <f t="shared" si="21"/>
        <v>-2.4531582820269793</v>
      </c>
      <c r="X88" s="296" t="str">
        <f t="shared" si="21"/>
        <v>..</v>
      </c>
      <c r="Y88" s="296" t="str">
        <f t="shared" si="21"/>
        <v>..</v>
      </c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</row>
    <row r="89" spans="1:42">
      <c r="A89" s="295" t="s">
        <v>446</v>
      </c>
      <c r="B89" s="296" t="str">
        <f>IFERROR(((B78/B71)^(1/7)-1)*100,"..")</f>
        <v>..</v>
      </c>
      <c r="C89" s="296" t="str">
        <f t="shared" ref="C89:Y89" si="22">IFERROR(((C78/C71)^(1/7)-1)*100,"..")</f>
        <v>..</v>
      </c>
      <c r="D89" s="296" t="str">
        <f t="shared" si="22"/>
        <v>..</v>
      </c>
      <c r="E89" s="296" t="str">
        <f t="shared" si="22"/>
        <v>..</v>
      </c>
      <c r="F89" s="296" t="str">
        <f t="shared" si="22"/>
        <v>..</v>
      </c>
      <c r="G89" s="296" t="str">
        <f t="shared" si="22"/>
        <v>..</v>
      </c>
      <c r="H89" s="296">
        <f t="shared" si="22"/>
        <v>-0.2547220932956118</v>
      </c>
      <c r="I89" s="296">
        <f t="shared" si="22"/>
        <v>6.2517577924459111E-2</v>
      </c>
      <c r="J89" s="296">
        <f t="shared" si="22"/>
        <v>0.83606702478753459</v>
      </c>
      <c r="K89" s="296">
        <f t="shared" si="22"/>
        <v>-1.1667518838158975</v>
      </c>
      <c r="L89" s="296">
        <f t="shared" si="22"/>
        <v>-1.370128127303949</v>
      </c>
      <c r="M89" s="296">
        <f t="shared" si="22"/>
        <v>-0.30084760981717862</v>
      </c>
      <c r="N89" s="296">
        <f t="shared" si="22"/>
        <v>-2.3026237091520962</v>
      </c>
      <c r="O89" s="296">
        <f t="shared" si="22"/>
        <v>-6.0733937900415036</v>
      </c>
      <c r="P89" s="296">
        <f t="shared" si="22"/>
        <v>0.46751287632411653</v>
      </c>
      <c r="Q89" s="296">
        <f t="shared" si="22"/>
        <v>-2.8417287837709915</v>
      </c>
      <c r="R89" s="296">
        <f t="shared" si="22"/>
        <v>-5.4018846951091604</v>
      </c>
      <c r="S89" s="296">
        <f t="shared" si="22"/>
        <v>0.18743481060519152</v>
      </c>
      <c r="T89" s="296">
        <f t="shared" si="22"/>
        <v>1.3515840887236452</v>
      </c>
      <c r="U89" s="296">
        <f t="shared" si="22"/>
        <v>1.1288351736954416</v>
      </c>
      <c r="V89" s="296">
        <f t="shared" si="22"/>
        <v>1.840419683456318</v>
      </c>
      <c r="W89" s="296">
        <f t="shared" si="22"/>
        <v>0.62856067268579618</v>
      </c>
      <c r="X89" s="296" t="str">
        <f t="shared" si="22"/>
        <v>..</v>
      </c>
      <c r="Y89" s="296" t="str">
        <f t="shared" si="22"/>
        <v>..</v>
      </c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</row>
    <row r="90" spans="1:42">
      <c r="A90" s="300" t="s">
        <v>447</v>
      </c>
      <c r="B90" s="296" t="str">
        <f>IFERROR(((B84/B78)^(1/6)-1)*100,"..")</f>
        <v>..</v>
      </c>
      <c r="C90" s="296" t="str">
        <f t="shared" ref="C90:Y90" si="23">IFERROR(((C84/C78)^(1/6)-1)*100,"..")</f>
        <v>..</v>
      </c>
      <c r="D90" s="296" t="str">
        <f t="shared" si="23"/>
        <v>..</v>
      </c>
      <c r="E90" s="296" t="str">
        <f t="shared" si="23"/>
        <v>..</v>
      </c>
      <c r="F90" s="296" t="str">
        <f t="shared" si="23"/>
        <v>..</v>
      </c>
      <c r="G90" s="296" t="str">
        <f t="shared" si="23"/>
        <v>..</v>
      </c>
      <c r="H90" s="296">
        <f t="shared" si="23"/>
        <v>-1.9822726643278776</v>
      </c>
      <c r="I90" s="296">
        <f t="shared" si="23"/>
        <v>0.87293401279902039</v>
      </c>
      <c r="J90" s="296">
        <f t="shared" si="23"/>
        <v>-0.84143960489473368</v>
      </c>
      <c r="K90" s="296">
        <f t="shared" si="23"/>
        <v>-3.8967544747670391</v>
      </c>
      <c r="L90" s="296">
        <f t="shared" si="23"/>
        <v>-3.8847290273695045</v>
      </c>
      <c r="M90" s="296">
        <f t="shared" si="23"/>
        <v>-3.9786194723289148</v>
      </c>
      <c r="N90" s="296">
        <f t="shared" si="23"/>
        <v>-5.49649193302304</v>
      </c>
      <c r="O90" s="296">
        <f t="shared" si="23"/>
        <v>-5.5476429772184037</v>
      </c>
      <c r="P90" s="296">
        <f t="shared" si="23"/>
        <v>-5.7429190477814256</v>
      </c>
      <c r="Q90" s="296">
        <f t="shared" si="23"/>
        <v>-5.3597331137780202</v>
      </c>
      <c r="R90" s="296">
        <f t="shared" si="23"/>
        <v>-9.1317713574580406</v>
      </c>
      <c r="S90" s="296">
        <f t="shared" si="23"/>
        <v>-3.1427385544740449</v>
      </c>
      <c r="T90" s="296">
        <f t="shared" si="23"/>
        <v>-1.7272391853609625</v>
      </c>
      <c r="U90" s="296">
        <f t="shared" si="23"/>
        <v>-1.7168366289500692</v>
      </c>
      <c r="V90" s="296">
        <f t="shared" si="23"/>
        <v>-4.7980048793916374E-2</v>
      </c>
      <c r="W90" s="296">
        <f t="shared" si="23"/>
        <v>-5.9294196491218365</v>
      </c>
      <c r="X90" s="296">
        <f t="shared" si="23"/>
        <v>-5.6814488205160334</v>
      </c>
      <c r="Y90" s="296">
        <f t="shared" si="23"/>
        <v>-9.2005186451463707</v>
      </c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</row>
    <row r="91" spans="1:42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  <c r="AP91" s="297"/>
    </row>
    <row r="92" spans="1:42">
      <c r="A92" s="297" t="s">
        <v>449</v>
      </c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  <c r="AP92" s="297"/>
    </row>
    <row r="93" spans="1:42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  <c r="AP93" s="297"/>
    </row>
    <row r="94" spans="1:42">
      <c r="A94" s="475" t="s">
        <v>488</v>
      </c>
      <c r="B94" s="475"/>
      <c r="C94" s="475"/>
      <c r="D94" s="475"/>
      <c r="E94" s="475"/>
      <c r="F94" s="475"/>
      <c r="G94" s="475"/>
      <c r="H94" s="475"/>
      <c r="I94" s="475"/>
      <c r="J94" s="475"/>
      <c r="K94" s="475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  <c r="AP94" s="297"/>
    </row>
    <row r="95" spans="1:42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  <c r="AP95" s="297"/>
    </row>
    <row r="96" spans="1:42">
      <c r="B96" s="461" t="s">
        <v>439</v>
      </c>
      <c r="C96" s="461"/>
      <c r="D96" s="461"/>
      <c r="E96" s="461"/>
      <c r="F96" s="461"/>
      <c r="G96" s="461"/>
      <c r="H96" s="461" t="s">
        <v>132</v>
      </c>
      <c r="I96" s="461"/>
      <c r="J96" s="461"/>
      <c r="K96" s="461"/>
      <c r="L96" s="461"/>
      <c r="M96" s="461"/>
      <c r="N96" s="461" t="s">
        <v>133</v>
      </c>
      <c r="O96" s="461"/>
      <c r="P96" s="461"/>
      <c r="Q96" s="461"/>
      <c r="R96" s="461"/>
      <c r="S96" s="461"/>
      <c r="T96" s="461" t="s">
        <v>440</v>
      </c>
      <c r="U96" s="461"/>
      <c r="V96" s="461"/>
      <c r="W96" s="461"/>
      <c r="X96" s="461"/>
      <c r="Y96" s="461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</row>
    <row r="97" spans="1:42" ht="75">
      <c r="B97" s="294" t="s">
        <v>8</v>
      </c>
      <c r="C97" s="146" t="s">
        <v>441</v>
      </c>
      <c r="D97" s="146" t="s">
        <v>248</v>
      </c>
      <c r="E97" s="146" t="s">
        <v>249</v>
      </c>
      <c r="F97" s="146" t="s">
        <v>442</v>
      </c>
      <c r="G97" s="146" t="s">
        <v>443</v>
      </c>
      <c r="H97" s="301" t="s">
        <v>8</v>
      </c>
      <c r="I97" s="146" t="s">
        <v>441</v>
      </c>
      <c r="J97" s="146" t="s">
        <v>248</v>
      </c>
      <c r="K97" s="146" t="s">
        <v>249</v>
      </c>
      <c r="L97" s="146" t="s">
        <v>442</v>
      </c>
      <c r="M97" s="146" t="s">
        <v>443</v>
      </c>
      <c r="N97" s="294" t="s">
        <v>8</v>
      </c>
      <c r="O97" s="146" t="s">
        <v>441</v>
      </c>
      <c r="P97" s="146" t="s">
        <v>248</v>
      </c>
      <c r="Q97" s="146" t="s">
        <v>249</v>
      </c>
      <c r="R97" s="146" t="s">
        <v>442</v>
      </c>
      <c r="S97" s="146" t="s">
        <v>443</v>
      </c>
      <c r="T97" s="294" t="s">
        <v>8</v>
      </c>
      <c r="U97" s="146" t="s">
        <v>441</v>
      </c>
      <c r="V97" s="146" t="s">
        <v>248</v>
      </c>
      <c r="W97" s="146" t="s">
        <v>249</v>
      </c>
      <c r="X97" s="146" t="s">
        <v>442</v>
      </c>
      <c r="Y97" s="146" t="s">
        <v>443</v>
      </c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  <c r="AP97" s="297"/>
    </row>
    <row r="98" spans="1:42">
      <c r="A98" s="223">
        <v>1997</v>
      </c>
      <c r="B98" s="296" t="str">
        <f t="shared" ref="B98:Y98" si="24">IFERROR(B7/B68/1000,"..")</f>
        <v>..</v>
      </c>
      <c r="C98" s="296" t="str">
        <f t="shared" si="24"/>
        <v>..</v>
      </c>
      <c r="D98" s="296" t="str">
        <f t="shared" si="24"/>
        <v>..</v>
      </c>
      <c r="E98" s="296" t="str">
        <f t="shared" si="24"/>
        <v>..</v>
      </c>
      <c r="F98" s="296" t="str">
        <f t="shared" si="24"/>
        <v>..</v>
      </c>
      <c r="G98" s="296" t="str">
        <f t="shared" si="24"/>
        <v>..</v>
      </c>
      <c r="H98" s="296" t="str">
        <f t="shared" si="24"/>
        <v>..</v>
      </c>
      <c r="I98" s="296">
        <f t="shared" si="24"/>
        <v>0.98591317365269471</v>
      </c>
      <c r="J98" s="296">
        <f t="shared" si="24"/>
        <v>0.63675012493753125</v>
      </c>
      <c r="K98" s="296" t="str">
        <f t="shared" si="24"/>
        <v>..</v>
      </c>
      <c r="L98" s="296" t="str">
        <f t="shared" si="24"/>
        <v>..</v>
      </c>
      <c r="M98" s="296" t="str">
        <f t="shared" si="24"/>
        <v>..</v>
      </c>
      <c r="N98" s="296">
        <f t="shared" si="24"/>
        <v>0.60024368247657955</v>
      </c>
      <c r="O98" s="296">
        <f t="shared" si="24"/>
        <v>0.71805542207272155</v>
      </c>
      <c r="P98" s="296">
        <f t="shared" si="24"/>
        <v>0.90895602605863191</v>
      </c>
      <c r="Q98" s="296">
        <f t="shared" si="24"/>
        <v>0.47384082658475285</v>
      </c>
      <c r="R98" s="296">
        <f t="shared" si="24"/>
        <v>0.59767614655393286</v>
      </c>
      <c r="S98" s="296">
        <f t="shared" si="24"/>
        <v>0.38748401826484019</v>
      </c>
      <c r="T98" s="296">
        <f t="shared" si="24"/>
        <v>0.75384044271817974</v>
      </c>
      <c r="U98" s="296">
        <f t="shared" si="24"/>
        <v>0.63388786318142065</v>
      </c>
      <c r="V98" s="296">
        <f t="shared" si="24"/>
        <v>0.90386168331894245</v>
      </c>
      <c r="W98" s="296">
        <f t="shared" si="24"/>
        <v>0.66501995031242955</v>
      </c>
      <c r="X98" s="296">
        <f t="shared" si="24"/>
        <v>0.69501601315675587</v>
      </c>
      <c r="Y98" s="296">
        <f t="shared" si="24"/>
        <v>0.41915537017726795</v>
      </c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  <c r="AP98" s="297"/>
    </row>
    <row r="99" spans="1:42">
      <c r="A99" s="223">
        <v>1998</v>
      </c>
      <c r="B99" s="296" t="str">
        <f t="shared" ref="B99:Y99" si="25">IFERROR(B8/B69/1000,"..")</f>
        <v>..</v>
      </c>
      <c r="C99" s="296" t="str">
        <f t="shared" si="25"/>
        <v>..</v>
      </c>
      <c r="D99" s="296" t="str">
        <f t="shared" si="25"/>
        <v>..</v>
      </c>
      <c r="E99" s="296" t="str">
        <f t="shared" si="25"/>
        <v>..</v>
      </c>
      <c r="F99" s="296" t="str">
        <f t="shared" si="25"/>
        <v>..</v>
      </c>
      <c r="G99" s="296" t="str">
        <f t="shared" si="25"/>
        <v>..</v>
      </c>
      <c r="H99" s="296">
        <f t="shared" si="25"/>
        <v>0.65929828965424919</v>
      </c>
      <c r="I99" s="296">
        <f t="shared" si="25"/>
        <v>0.9315004887585534</v>
      </c>
      <c r="J99" s="296">
        <f t="shared" si="25"/>
        <v>0.62747831330890202</v>
      </c>
      <c r="K99" s="296">
        <f t="shared" si="25"/>
        <v>0.62857887020805392</v>
      </c>
      <c r="L99" s="296">
        <f t="shared" si="25"/>
        <v>0.71191311978938132</v>
      </c>
      <c r="M99" s="296">
        <f t="shared" si="25"/>
        <v>0.45697957839262182</v>
      </c>
      <c r="N99" s="296">
        <f t="shared" si="25"/>
        <v>0.60640011819239514</v>
      </c>
      <c r="O99" s="296">
        <f t="shared" si="25"/>
        <v>0.65526019916479272</v>
      </c>
      <c r="P99" s="296">
        <f t="shared" si="25"/>
        <v>0.89266218738335201</v>
      </c>
      <c r="Q99" s="296">
        <f t="shared" si="25"/>
        <v>0.48653556533827619</v>
      </c>
      <c r="R99" s="296">
        <f t="shared" si="25"/>
        <v>0.56812925170068029</v>
      </c>
      <c r="S99" s="296">
        <f t="shared" si="25"/>
        <v>0.43651638241781887</v>
      </c>
      <c r="T99" s="296">
        <f t="shared" si="25"/>
        <v>0.70647588736649047</v>
      </c>
      <c r="U99" s="296">
        <f t="shared" si="25"/>
        <v>0.54989936133152695</v>
      </c>
      <c r="V99" s="296">
        <f t="shared" si="25"/>
        <v>0.84940859766277133</v>
      </c>
      <c r="W99" s="296">
        <f t="shared" si="25"/>
        <v>0.68931367194611337</v>
      </c>
      <c r="X99" s="296" t="str">
        <f t="shared" si="25"/>
        <v>..</v>
      </c>
      <c r="Y99" s="296" t="str">
        <f t="shared" si="25"/>
        <v>..</v>
      </c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  <c r="AP99" s="297"/>
    </row>
    <row r="100" spans="1:42">
      <c r="A100" s="223">
        <v>1999</v>
      </c>
      <c r="B100" s="296" t="str">
        <f t="shared" ref="B100:Y100" si="26">IFERROR(B9/B70/1000,"..")</f>
        <v>..</v>
      </c>
      <c r="C100" s="296" t="str">
        <f t="shared" si="26"/>
        <v>..</v>
      </c>
      <c r="D100" s="296" t="str">
        <f t="shared" si="26"/>
        <v>..</v>
      </c>
      <c r="E100" s="296" t="str">
        <f t="shared" si="26"/>
        <v>..</v>
      </c>
      <c r="F100" s="296" t="str">
        <f t="shared" si="26"/>
        <v>..</v>
      </c>
      <c r="G100" s="296" t="str">
        <f t="shared" si="26"/>
        <v>..</v>
      </c>
      <c r="H100" s="296">
        <f t="shared" si="26"/>
        <v>0.66747371626386309</v>
      </c>
      <c r="I100" s="296">
        <f t="shared" si="26"/>
        <v>0.86572286509447771</v>
      </c>
      <c r="J100" s="296">
        <f t="shared" si="26"/>
        <v>0.6912391314041112</v>
      </c>
      <c r="K100" s="296">
        <f t="shared" si="26"/>
        <v>0.61055397984430637</v>
      </c>
      <c r="L100" s="296">
        <f t="shared" si="26"/>
        <v>0.6927471104503381</v>
      </c>
      <c r="M100" s="296">
        <f t="shared" si="26"/>
        <v>0.43840929739551793</v>
      </c>
      <c r="N100" s="296">
        <f t="shared" si="26"/>
        <v>0.65629671004859524</v>
      </c>
      <c r="O100" s="296">
        <f t="shared" si="26"/>
        <v>0.64506911057692307</v>
      </c>
      <c r="P100" s="296">
        <f t="shared" si="26"/>
        <v>0.96440324275634282</v>
      </c>
      <c r="Q100" s="296">
        <f t="shared" si="26"/>
        <v>0.53682606504402475</v>
      </c>
      <c r="R100" s="296">
        <f t="shared" si="26"/>
        <v>0.60813541933829185</v>
      </c>
      <c r="S100" s="296">
        <f t="shared" si="26"/>
        <v>0.50286913925822252</v>
      </c>
      <c r="T100" s="296">
        <f t="shared" si="26"/>
        <v>0.69438765124957591</v>
      </c>
      <c r="U100" s="296">
        <f t="shared" si="26"/>
        <v>0.65376369407187462</v>
      </c>
      <c r="V100" s="296">
        <f t="shared" si="26"/>
        <v>0.79020279304709551</v>
      </c>
      <c r="W100" s="296">
        <f t="shared" si="26"/>
        <v>0.57872498866800492</v>
      </c>
      <c r="X100" s="296" t="str">
        <f t="shared" si="26"/>
        <v>..</v>
      </c>
      <c r="Y100" s="296" t="str">
        <f t="shared" si="26"/>
        <v>..</v>
      </c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</row>
    <row r="101" spans="1:42">
      <c r="A101" s="223">
        <v>2000</v>
      </c>
      <c r="B101" s="296" t="str">
        <f t="shared" ref="B101:Y101" si="27">IFERROR(B10/B71/1000,"..")</f>
        <v>..</v>
      </c>
      <c r="C101" s="296" t="str">
        <f t="shared" si="27"/>
        <v>..</v>
      </c>
      <c r="D101" s="296" t="str">
        <f t="shared" si="27"/>
        <v>..</v>
      </c>
      <c r="E101" s="296" t="str">
        <f t="shared" si="27"/>
        <v>..</v>
      </c>
      <c r="F101" s="296" t="str">
        <f t="shared" si="27"/>
        <v>..</v>
      </c>
      <c r="G101" s="296" t="str">
        <f t="shared" si="27"/>
        <v>..</v>
      </c>
      <c r="H101" s="296">
        <f t="shared" si="27"/>
        <v>0.66620310110068082</v>
      </c>
      <c r="I101" s="296">
        <f t="shared" si="27"/>
        <v>0.64319372331833391</v>
      </c>
      <c r="J101" s="296">
        <f t="shared" si="27"/>
        <v>0.75084911903383234</v>
      </c>
      <c r="K101" s="296">
        <f t="shared" si="27"/>
        <v>0.61161992848911084</v>
      </c>
      <c r="L101" s="296">
        <f t="shared" si="27"/>
        <v>0.63516609543896652</v>
      </c>
      <c r="M101" s="296">
        <f t="shared" si="27"/>
        <v>0.58163793906643069</v>
      </c>
      <c r="N101" s="296">
        <f t="shared" si="27"/>
        <v>0.62143102397073446</v>
      </c>
      <c r="O101" s="296">
        <f t="shared" si="27"/>
        <v>0.59389348249027241</v>
      </c>
      <c r="P101" s="296">
        <f t="shared" si="27"/>
        <v>0.88700736822218018</v>
      </c>
      <c r="Q101" s="296">
        <f t="shared" si="27"/>
        <v>0.51702744420898405</v>
      </c>
      <c r="R101" s="296">
        <f t="shared" si="27"/>
        <v>0.54420529252527494</v>
      </c>
      <c r="S101" s="296">
        <f t="shared" si="27"/>
        <v>0.52947061965811959</v>
      </c>
      <c r="T101" s="296">
        <f t="shared" si="27"/>
        <v>0.71703288182796387</v>
      </c>
      <c r="U101" s="296">
        <f t="shared" si="27"/>
        <v>0.71777122130792559</v>
      </c>
      <c r="V101" s="296">
        <f t="shared" si="27"/>
        <v>0.78617944227401326</v>
      </c>
      <c r="W101" s="296">
        <f t="shared" si="27"/>
        <v>0.57954364023416716</v>
      </c>
      <c r="X101" s="296" t="str">
        <f t="shared" si="27"/>
        <v>..</v>
      </c>
      <c r="Y101" s="296" t="str">
        <f t="shared" si="27"/>
        <v>..</v>
      </c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  <c r="AP101" s="297"/>
    </row>
    <row r="102" spans="1:42">
      <c r="A102" s="223">
        <v>2001</v>
      </c>
      <c r="B102" s="296" t="str">
        <f t="shared" ref="B102:Y102" si="28">IFERROR(B11/B72/1000,"..")</f>
        <v>..</v>
      </c>
      <c r="C102" s="296" t="str">
        <f t="shared" si="28"/>
        <v>..</v>
      </c>
      <c r="D102" s="296" t="str">
        <f t="shared" si="28"/>
        <v>..</v>
      </c>
      <c r="E102" s="296" t="str">
        <f t="shared" si="28"/>
        <v>..</v>
      </c>
      <c r="F102" s="296" t="str">
        <f t="shared" si="28"/>
        <v>..</v>
      </c>
      <c r="G102" s="296" t="str">
        <f t="shared" si="28"/>
        <v>..</v>
      </c>
      <c r="H102" s="296">
        <f t="shared" si="28"/>
        <v>0.61916146220028823</v>
      </c>
      <c r="I102" s="296">
        <f t="shared" si="28"/>
        <v>0.59476995410276501</v>
      </c>
      <c r="J102" s="296">
        <f t="shared" si="28"/>
        <v>0.65961804891117148</v>
      </c>
      <c r="K102" s="296">
        <f t="shared" si="28"/>
        <v>0.59420678580986641</v>
      </c>
      <c r="L102" s="296">
        <f t="shared" si="28"/>
        <v>0.6126260644701057</v>
      </c>
      <c r="M102" s="296">
        <f t="shared" si="28"/>
        <v>0.56673234065734512</v>
      </c>
      <c r="N102" s="296">
        <f t="shared" si="28"/>
        <v>0.64406629690473471</v>
      </c>
      <c r="O102" s="296">
        <f t="shared" si="28"/>
        <v>0.57151040294969713</v>
      </c>
      <c r="P102" s="296">
        <f t="shared" si="28"/>
        <v>0.89715573924478664</v>
      </c>
      <c r="Q102" s="296">
        <f t="shared" si="28"/>
        <v>0.55200986338941926</v>
      </c>
      <c r="R102" s="296">
        <f t="shared" si="28"/>
        <v>0.6182322596879718</v>
      </c>
      <c r="S102" s="296">
        <f t="shared" si="28"/>
        <v>0.50457557029900935</v>
      </c>
      <c r="T102" s="296">
        <f t="shared" si="28"/>
        <v>0.79528715152169616</v>
      </c>
      <c r="U102" s="296">
        <f t="shared" si="28"/>
        <v>0.74945377017326065</v>
      </c>
      <c r="V102" s="296">
        <f t="shared" si="28"/>
        <v>0.90049723076923083</v>
      </c>
      <c r="W102" s="296">
        <f t="shared" si="28"/>
        <v>0.65980491272411346</v>
      </c>
      <c r="X102" s="296" t="str">
        <f t="shared" si="28"/>
        <v>..</v>
      </c>
      <c r="Y102" s="296" t="str">
        <f t="shared" si="28"/>
        <v>..</v>
      </c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  <c r="AP102" s="297"/>
    </row>
    <row r="103" spans="1:42">
      <c r="A103" s="223">
        <v>2002</v>
      </c>
      <c r="B103" s="296" t="str">
        <f t="shared" ref="B103:Y103" si="29">IFERROR(B12/B73/1000,"..")</f>
        <v>..</v>
      </c>
      <c r="C103" s="296" t="str">
        <f t="shared" si="29"/>
        <v>..</v>
      </c>
      <c r="D103" s="296" t="str">
        <f t="shared" si="29"/>
        <v>..</v>
      </c>
      <c r="E103" s="296" t="str">
        <f t="shared" si="29"/>
        <v>..</v>
      </c>
      <c r="F103" s="296" t="str">
        <f t="shared" si="29"/>
        <v>..</v>
      </c>
      <c r="G103" s="296" t="str">
        <f t="shared" si="29"/>
        <v>..</v>
      </c>
      <c r="H103" s="296">
        <f t="shared" si="29"/>
        <v>0.61405729138016385</v>
      </c>
      <c r="I103" s="296">
        <f t="shared" si="29"/>
        <v>0.60722002200220027</v>
      </c>
      <c r="J103" s="296">
        <f t="shared" si="29"/>
        <v>0.63357272854542923</v>
      </c>
      <c r="K103" s="296">
        <f t="shared" si="29"/>
        <v>0.59992354652821356</v>
      </c>
      <c r="L103" s="296">
        <f t="shared" si="29"/>
        <v>0.64061822927996526</v>
      </c>
      <c r="M103" s="296">
        <f t="shared" si="29"/>
        <v>0.51962337234217904</v>
      </c>
      <c r="N103" s="296">
        <f t="shared" si="29"/>
        <v>0.62388824430315115</v>
      </c>
      <c r="O103" s="296">
        <f t="shared" si="29"/>
        <v>0.54340228703584736</v>
      </c>
      <c r="P103" s="296">
        <f t="shared" si="29"/>
        <v>0.85312242562929064</v>
      </c>
      <c r="Q103" s="296">
        <f t="shared" si="29"/>
        <v>0.53803849865407072</v>
      </c>
      <c r="R103" s="296">
        <f t="shared" si="29"/>
        <v>0.57305840071877812</v>
      </c>
      <c r="S103" s="296">
        <f t="shared" si="29"/>
        <v>0.51464611568783769</v>
      </c>
      <c r="T103" s="296">
        <f t="shared" si="29"/>
        <v>0.73691842204791735</v>
      </c>
      <c r="U103" s="296">
        <f t="shared" si="29"/>
        <v>0.77281017859965229</v>
      </c>
      <c r="V103" s="296">
        <f t="shared" si="29"/>
        <v>0.78361380530973457</v>
      </c>
      <c r="W103" s="296">
        <f t="shared" si="29"/>
        <v>0.58963481077897206</v>
      </c>
      <c r="X103" s="296">
        <f t="shared" si="29"/>
        <v>0.58915567061967589</v>
      </c>
      <c r="Y103" s="296">
        <f t="shared" si="29"/>
        <v>0.56442011834319517</v>
      </c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  <c r="AP103" s="297"/>
    </row>
    <row r="104" spans="1:42">
      <c r="A104" s="223">
        <v>2003</v>
      </c>
      <c r="B104" s="296" t="str">
        <f t="shared" ref="B104:Y104" si="30">IFERROR(B13/B74/1000,"..")</f>
        <v>..</v>
      </c>
      <c r="C104" s="296" t="str">
        <f t="shared" si="30"/>
        <v>..</v>
      </c>
      <c r="D104" s="296" t="str">
        <f t="shared" si="30"/>
        <v>..</v>
      </c>
      <c r="E104" s="296" t="str">
        <f t="shared" si="30"/>
        <v>..</v>
      </c>
      <c r="F104" s="296" t="str">
        <f t="shared" si="30"/>
        <v>..</v>
      </c>
      <c r="G104" s="296" t="str">
        <f t="shared" si="30"/>
        <v>..</v>
      </c>
      <c r="H104" s="296">
        <f t="shared" si="30"/>
        <v>0.64619961254215397</v>
      </c>
      <c r="I104" s="296">
        <f t="shared" si="30"/>
        <v>0.69161053999763678</v>
      </c>
      <c r="J104" s="296">
        <f t="shared" si="30"/>
        <v>0.64852150052352253</v>
      </c>
      <c r="K104" s="296">
        <f t="shared" si="30"/>
        <v>0.63281789709172254</v>
      </c>
      <c r="L104" s="296">
        <f t="shared" si="30"/>
        <v>0.68552409994993402</v>
      </c>
      <c r="M104" s="296">
        <f t="shared" si="30"/>
        <v>0.52929382418716675</v>
      </c>
      <c r="N104" s="296">
        <f t="shared" si="30"/>
        <v>0.6183109063540575</v>
      </c>
      <c r="O104" s="296">
        <f t="shared" si="30"/>
        <v>0.55740730643402403</v>
      </c>
      <c r="P104" s="296">
        <f t="shared" si="30"/>
        <v>0.8172129220088461</v>
      </c>
      <c r="Q104" s="296">
        <f t="shared" si="30"/>
        <v>0.54176057379473541</v>
      </c>
      <c r="R104" s="296">
        <f t="shared" si="30"/>
        <v>0.57982794386821224</v>
      </c>
      <c r="S104" s="296">
        <f t="shared" si="30"/>
        <v>0.51347504012510792</v>
      </c>
      <c r="T104" s="296">
        <f t="shared" si="30"/>
        <v>0.74069181983959209</v>
      </c>
      <c r="U104" s="296">
        <f t="shared" si="30"/>
        <v>0.74209983946973224</v>
      </c>
      <c r="V104" s="296">
        <f t="shared" si="30"/>
        <v>0.78282027363184081</v>
      </c>
      <c r="W104" s="296">
        <f t="shared" si="30"/>
        <v>0.64978194282380397</v>
      </c>
      <c r="X104" s="296">
        <f t="shared" si="30"/>
        <v>0.6475533486539724</v>
      </c>
      <c r="Y104" s="296">
        <f t="shared" si="30"/>
        <v>0.642329974811083</v>
      </c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  <c r="AP104" s="297"/>
    </row>
    <row r="105" spans="1:42">
      <c r="A105" s="223">
        <v>2004</v>
      </c>
      <c r="B105" s="296" t="str">
        <f t="shared" ref="B105:Y105" si="31">IFERROR(B14/B75/1000,"..")</f>
        <v>..</v>
      </c>
      <c r="C105" s="296" t="str">
        <f t="shared" si="31"/>
        <v>..</v>
      </c>
      <c r="D105" s="296" t="str">
        <f t="shared" si="31"/>
        <v>..</v>
      </c>
      <c r="E105" s="296" t="str">
        <f t="shared" si="31"/>
        <v>..</v>
      </c>
      <c r="F105" s="296" t="str">
        <f t="shared" si="31"/>
        <v>..</v>
      </c>
      <c r="G105" s="296" t="str">
        <f t="shared" si="31"/>
        <v>..</v>
      </c>
      <c r="H105" s="296">
        <f t="shared" si="31"/>
        <v>0.70182472252969164</v>
      </c>
      <c r="I105" s="296">
        <f t="shared" si="31"/>
        <v>0.63618449725018156</v>
      </c>
      <c r="J105" s="296">
        <f t="shared" si="31"/>
        <v>0.71501426258576828</v>
      </c>
      <c r="K105" s="296">
        <f t="shared" si="31"/>
        <v>0.71111047162270191</v>
      </c>
      <c r="L105" s="296">
        <f t="shared" si="31"/>
        <v>0.81271546876597478</v>
      </c>
      <c r="M105" s="296">
        <f t="shared" si="31"/>
        <v>0.52921972794792627</v>
      </c>
      <c r="N105" s="296">
        <f t="shared" si="31"/>
        <v>0.64136232196142373</v>
      </c>
      <c r="O105" s="296">
        <f t="shared" si="31"/>
        <v>0.61046319152025541</v>
      </c>
      <c r="P105" s="296">
        <f t="shared" si="31"/>
        <v>0.84950997471199774</v>
      </c>
      <c r="Q105" s="296">
        <f t="shared" si="31"/>
        <v>0.55480115045125455</v>
      </c>
      <c r="R105" s="296">
        <f t="shared" si="31"/>
        <v>0.54258299641250507</v>
      </c>
      <c r="S105" s="296">
        <f t="shared" si="31"/>
        <v>0.56536589658965897</v>
      </c>
      <c r="T105" s="296">
        <f t="shared" si="31"/>
        <v>0.7466813352248054</v>
      </c>
      <c r="U105" s="296">
        <f t="shared" si="31"/>
        <v>0.70532482969871524</v>
      </c>
      <c r="V105" s="296">
        <f t="shared" si="31"/>
        <v>0.80779525140522779</v>
      </c>
      <c r="W105" s="296">
        <f t="shared" si="31"/>
        <v>0.67262353262353258</v>
      </c>
      <c r="X105" s="296">
        <f t="shared" si="31"/>
        <v>0.67271595450353516</v>
      </c>
      <c r="Y105" s="296">
        <f t="shared" si="31"/>
        <v>0.64627565982404689</v>
      </c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  <c r="AP105" s="297"/>
    </row>
    <row r="106" spans="1:42">
      <c r="A106" s="223">
        <v>2005</v>
      </c>
      <c r="B106" s="296" t="str">
        <f t="shared" ref="B106:Y106" si="32">IFERROR(B15/B76/1000,"..")</f>
        <v>..</v>
      </c>
      <c r="C106" s="296" t="str">
        <f t="shared" si="32"/>
        <v>..</v>
      </c>
      <c r="D106" s="296" t="str">
        <f t="shared" si="32"/>
        <v>..</v>
      </c>
      <c r="E106" s="296" t="str">
        <f t="shared" si="32"/>
        <v>..</v>
      </c>
      <c r="F106" s="296" t="str">
        <f t="shared" si="32"/>
        <v>..</v>
      </c>
      <c r="G106" s="296" t="str">
        <f t="shared" si="32"/>
        <v>..</v>
      </c>
      <c r="H106" s="296">
        <f t="shared" si="32"/>
        <v>0.68503479249258403</v>
      </c>
      <c r="I106" s="296">
        <f t="shared" si="32"/>
        <v>0.61543810714629221</v>
      </c>
      <c r="J106" s="296">
        <f t="shared" si="32"/>
        <v>0.65567359507313316</v>
      </c>
      <c r="K106" s="296">
        <f t="shared" si="32"/>
        <v>0.73215033014743569</v>
      </c>
      <c r="L106" s="296">
        <f t="shared" si="32"/>
        <v>0.81209988185040449</v>
      </c>
      <c r="M106" s="296">
        <f t="shared" si="32"/>
        <v>0.57389778931352375</v>
      </c>
      <c r="N106" s="296">
        <f t="shared" si="32"/>
        <v>0.65876711037073121</v>
      </c>
      <c r="O106" s="296">
        <f t="shared" si="32"/>
        <v>0.62881064596617697</v>
      </c>
      <c r="P106" s="296">
        <f t="shared" si="32"/>
        <v>0.83130813793103453</v>
      </c>
      <c r="Q106" s="296">
        <f t="shared" si="32"/>
        <v>0.58274078136425367</v>
      </c>
      <c r="R106" s="296">
        <f t="shared" si="32"/>
        <v>0.56468332697443724</v>
      </c>
      <c r="S106" s="296">
        <f t="shared" si="32"/>
        <v>0.59587935240629852</v>
      </c>
      <c r="T106" s="296">
        <f t="shared" si="32"/>
        <v>0.74640128301371733</v>
      </c>
      <c r="U106" s="296">
        <f t="shared" si="32"/>
        <v>0.73579415970844686</v>
      </c>
      <c r="V106" s="296">
        <f t="shared" si="32"/>
        <v>0.77095928130388824</v>
      </c>
      <c r="W106" s="296">
        <f t="shared" si="32"/>
        <v>0.70463157221440453</v>
      </c>
      <c r="X106" s="296">
        <f t="shared" si="32"/>
        <v>0.70414492128531381</v>
      </c>
      <c r="Y106" s="296">
        <f t="shared" si="32"/>
        <v>0.68356662933930568</v>
      </c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</row>
    <row r="107" spans="1:42">
      <c r="A107" s="223">
        <v>2006</v>
      </c>
      <c r="B107" s="296" t="str">
        <f t="shared" ref="B107:Y107" si="33">IFERROR(B16/B77/1000,"..")</f>
        <v>..</v>
      </c>
      <c r="C107" s="296" t="str">
        <f t="shared" si="33"/>
        <v>..</v>
      </c>
      <c r="D107" s="296" t="str">
        <f t="shared" si="33"/>
        <v>..</v>
      </c>
      <c r="E107" s="296" t="str">
        <f t="shared" si="33"/>
        <v>..</v>
      </c>
      <c r="F107" s="296" t="str">
        <f t="shared" si="33"/>
        <v>..</v>
      </c>
      <c r="G107" s="296" t="str">
        <f t="shared" si="33"/>
        <v>..</v>
      </c>
      <c r="H107" s="296">
        <f t="shared" si="33"/>
        <v>0.68341249428440776</v>
      </c>
      <c r="I107" s="296">
        <f t="shared" si="33"/>
        <v>0.64817318492800979</v>
      </c>
      <c r="J107" s="296">
        <f t="shared" si="33"/>
        <v>0.6123093353876321</v>
      </c>
      <c r="K107" s="296">
        <f t="shared" si="33"/>
        <v>0.7585132614674549</v>
      </c>
      <c r="L107" s="296">
        <f t="shared" si="33"/>
        <v>0.84652155436989474</v>
      </c>
      <c r="M107" s="296">
        <f t="shared" si="33"/>
        <v>0.58210844529750472</v>
      </c>
      <c r="N107" s="296">
        <f t="shared" si="33"/>
        <v>0.70434089249069587</v>
      </c>
      <c r="O107" s="296">
        <f t="shared" si="33"/>
        <v>0.69695836044242032</v>
      </c>
      <c r="P107" s="296">
        <f t="shared" si="33"/>
        <v>0.81421520021792426</v>
      </c>
      <c r="Q107" s="296">
        <f t="shared" si="33"/>
        <v>0.6446010485166217</v>
      </c>
      <c r="R107" s="296">
        <f t="shared" si="33"/>
        <v>0.62202658339338612</v>
      </c>
      <c r="S107" s="296">
        <f t="shared" si="33"/>
        <v>0.65789807055154936</v>
      </c>
      <c r="T107" s="296">
        <f t="shared" si="33"/>
        <v>0.70636649257947615</v>
      </c>
      <c r="U107" s="296">
        <f t="shared" si="33"/>
        <v>0.67367479289940835</v>
      </c>
      <c r="V107" s="296">
        <f t="shared" si="33"/>
        <v>0.7275806585615775</v>
      </c>
      <c r="W107" s="296">
        <f t="shared" si="33"/>
        <v>0.70144897293772424</v>
      </c>
      <c r="X107" s="296">
        <f t="shared" si="33"/>
        <v>0.69751308139534884</v>
      </c>
      <c r="Y107" s="296">
        <f t="shared" si="33"/>
        <v>0.72298190892077352</v>
      </c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</row>
    <row r="108" spans="1:42">
      <c r="A108" s="223">
        <v>2007</v>
      </c>
      <c r="B108" s="296" t="str">
        <f t="shared" ref="B108:Y108" si="34">IFERROR(B17/B78/1000,"..")</f>
        <v>..</v>
      </c>
      <c r="C108" s="296" t="str">
        <f t="shared" si="34"/>
        <v>..</v>
      </c>
      <c r="D108" s="296" t="str">
        <f t="shared" si="34"/>
        <v>..</v>
      </c>
      <c r="E108" s="296" t="str">
        <f t="shared" si="34"/>
        <v>..</v>
      </c>
      <c r="F108" s="296" t="str">
        <f t="shared" si="34"/>
        <v>..</v>
      </c>
      <c r="G108" s="296" t="str">
        <f t="shared" si="34"/>
        <v>..</v>
      </c>
      <c r="H108" s="296">
        <f t="shared" si="34"/>
        <v>0.69109623545934717</v>
      </c>
      <c r="I108" s="296">
        <f t="shared" si="34"/>
        <v>0.69024238943136129</v>
      </c>
      <c r="J108" s="296">
        <f t="shared" si="34"/>
        <v>0.61314682586132896</v>
      </c>
      <c r="K108" s="296">
        <f t="shared" si="34"/>
        <v>0.75542313614782508</v>
      </c>
      <c r="L108" s="296">
        <f t="shared" si="34"/>
        <v>0.81963558050621876</v>
      </c>
      <c r="M108" s="296">
        <f t="shared" si="34"/>
        <v>0.62916738034066033</v>
      </c>
      <c r="N108" s="296">
        <f t="shared" si="34"/>
        <v>0.69081816121477679</v>
      </c>
      <c r="O108" s="296">
        <f t="shared" si="34"/>
        <v>0.73587858220211155</v>
      </c>
      <c r="P108" s="296">
        <f t="shared" si="34"/>
        <v>0.79542911130074367</v>
      </c>
      <c r="Q108" s="296">
        <f t="shared" si="34"/>
        <v>0.62822619886036235</v>
      </c>
      <c r="R108" s="296">
        <f t="shared" si="34"/>
        <v>0.59213918996006853</v>
      </c>
      <c r="S108" s="296">
        <f t="shared" si="34"/>
        <v>0.65157325881794692</v>
      </c>
      <c r="T108" s="296">
        <f t="shared" si="34"/>
        <v>0.69315788715555371</v>
      </c>
      <c r="U108" s="296">
        <f t="shared" si="34"/>
        <v>0.66766840156140528</v>
      </c>
      <c r="V108" s="296">
        <f t="shared" si="34"/>
        <v>0.69936801541425819</v>
      </c>
      <c r="W108" s="296">
        <f t="shared" si="34"/>
        <v>0.71224818540685086</v>
      </c>
      <c r="X108" s="296">
        <f t="shared" si="34"/>
        <v>0.70809312794541746</v>
      </c>
      <c r="Y108" s="296">
        <f t="shared" si="34"/>
        <v>0.75141610738255027</v>
      </c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</row>
    <row r="109" spans="1:42">
      <c r="A109" s="223">
        <v>2008</v>
      </c>
      <c r="B109" s="296" t="str">
        <f t="shared" ref="B109:Y109" si="35">IFERROR(B18/B79/1000,"..")</f>
        <v>..</v>
      </c>
      <c r="C109" s="296" t="str">
        <f t="shared" si="35"/>
        <v>..</v>
      </c>
      <c r="D109" s="296" t="str">
        <f t="shared" si="35"/>
        <v>..</v>
      </c>
      <c r="E109" s="296" t="str">
        <f t="shared" si="35"/>
        <v>..</v>
      </c>
      <c r="F109" s="296" t="str">
        <f t="shared" si="35"/>
        <v>..</v>
      </c>
      <c r="G109" s="296" t="str">
        <f t="shared" si="35"/>
        <v>..</v>
      </c>
      <c r="H109" s="296">
        <f t="shared" si="35"/>
        <v>0.69447972431479399</v>
      </c>
      <c r="I109" s="296">
        <f t="shared" si="35"/>
        <v>0.8099028452463567</v>
      </c>
      <c r="J109" s="296">
        <f t="shared" si="35"/>
        <v>0.58973086833817334</v>
      </c>
      <c r="K109" s="296">
        <f t="shared" si="35"/>
        <v>0.74783546680320878</v>
      </c>
      <c r="L109" s="296">
        <f t="shared" si="35"/>
        <v>0.82749399647793376</v>
      </c>
      <c r="M109" s="296">
        <f t="shared" si="35"/>
        <v>0.60659812375627786</v>
      </c>
      <c r="N109" s="296">
        <f t="shared" si="35"/>
        <v>0.69051077201125466</v>
      </c>
      <c r="O109" s="296">
        <f t="shared" si="35"/>
        <v>0.72242771084337343</v>
      </c>
      <c r="P109" s="296">
        <f t="shared" si="35"/>
        <v>0.80260434632631938</v>
      </c>
      <c r="Q109" s="296">
        <f t="shared" si="35"/>
        <v>0.62945714676889375</v>
      </c>
      <c r="R109" s="296">
        <f t="shared" si="35"/>
        <v>0.59213120414328879</v>
      </c>
      <c r="S109" s="296">
        <f t="shared" si="35"/>
        <v>0.65387263241465343</v>
      </c>
      <c r="T109" s="296">
        <f t="shared" si="35"/>
        <v>0.67852016978152152</v>
      </c>
      <c r="U109" s="296">
        <f t="shared" si="35"/>
        <v>0.62718292408200049</v>
      </c>
      <c r="V109" s="296">
        <f t="shared" si="35"/>
        <v>0.69765525850410903</v>
      </c>
      <c r="W109" s="296">
        <f t="shared" si="35"/>
        <v>0.70387130876030723</v>
      </c>
      <c r="X109" s="296">
        <f t="shared" si="35"/>
        <v>0.69859793330201969</v>
      </c>
      <c r="Y109" s="296">
        <f t="shared" si="35"/>
        <v>0.75200848656294195</v>
      </c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  <c r="AP109" s="297"/>
    </row>
    <row r="110" spans="1:42">
      <c r="A110" s="223">
        <v>2009</v>
      </c>
      <c r="B110" s="296" t="str">
        <f t="shared" ref="B110:Y110" si="36">IFERROR(B19/B80/1000,"..")</f>
        <v>..</v>
      </c>
      <c r="C110" s="296" t="str">
        <f t="shared" si="36"/>
        <v>..</v>
      </c>
      <c r="D110" s="296" t="str">
        <f t="shared" si="36"/>
        <v>..</v>
      </c>
      <c r="E110" s="296" t="str">
        <f t="shared" si="36"/>
        <v>..</v>
      </c>
      <c r="F110" s="296" t="str">
        <f t="shared" si="36"/>
        <v>..</v>
      </c>
      <c r="G110" s="296" t="str">
        <f t="shared" si="36"/>
        <v>..</v>
      </c>
      <c r="H110" s="296">
        <f t="shared" si="36"/>
        <v>0.68852706076772463</v>
      </c>
      <c r="I110" s="296">
        <f t="shared" si="36"/>
        <v>0.8882721518987341</v>
      </c>
      <c r="J110" s="296">
        <f t="shared" si="36"/>
        <v>0.59301678859501028</v>
      </c>
      <c r="K110" s="296">
        <f t="shared" si="36"/>
        <v>0.70587023102809399</v>
      </c>
      <c r="L110" s="296">
        <f t="shared" si="36"/>
        <v>0.7664828187250996</v>
      </c>
      <c r="M110" s="296">
        <f t="shared" si="36"/>
        <v>0.60939495637165586</v>
      </c>
      <c r="N110" s="296">
        <f t="shared" si="36"/>
        <v>0.8069827563372447</v>
      </c>
      <c r="O110" s="296">
        <f t="shared" si="36"/>
        <v>0.72653875869173312</v>
      </c>
      <c r="P110" s="296">
        <f t="shared" si="36"/>
        <v>0.9056731777036684</v>
      </c>
      <c r="Q110" s="296">
        <f t="shared" si="36"/>
        <v>0.77603550802139032</v>
      </c>
      <c r="R110" s="296">
        <f t="shared" si="36"/>
        <v>0.84639851320854909</v>
      </c>
      <c r="S110" s="296">
        <f t="shared" si="36"/>
        <v>0.73893907035175876</v>
      </c>
      <c r="T110" s="296">
        <f t="shared" si="36"/>
        <v>0.78598710837955332</v>
      </c>
      <c r="U110" s="296">
        <f t="shared" si="36"/>
        <v>0.6894687783551926</v>
      </c>
      <c r="V110" s="296">
        <f t="shared" si="36"/>
        <v>0.72901790778705144</v>
      </c>
      <c r="W110" s="296">
        <f t="shared" si="36"/>
        <v>1.0464203396684189</v>
      </c>
      <c r="X110" s="296">
        <f t="shared" si="36"/>
        <v>1.0602264409881061</v>
      </c>
      <c r="Y110" s="296">
        <f t="shared" si="36"/>
        <v>0.93071490094745912</v>
      </c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  <c r="AP110" s="297"/>
    </row>
    <row r="111" spans="1:42">
      <c r="A111" s="223">
        <v>2010</v>
      </c>
      <c r="B111" s="296" t="str">
        <f t="shared" ref="B111:Y111" si="37">IFERROR(B20/B81/1000,"..")</f>
        <v>..</v>
      </c>
      <c r="C111" s="296" t="str">
        <f t="shared" si="37"/>
        <v>..</v>
      </c>
      <c r="D111" s="296" t="str">
        <f t="shared" si="37"/>
        <v>..</v>
      </c>
      <c r="E111" s="296" t="str">
        <f t="shared" si="37"/>
        <v>..</v>
      </c>
      <c r="F111" s="296" t="str">
        <f t="shared" si="37"/>
        <v>..</v>
      </c>
      <c r="G111" s="296" t="str">
        <f t="shared" si="37"/>
        <v>..</v>
      </c>
      <c r="H111" s="296">
        <f t="shared" si="37"/>
        <v>0.67064303719327134</v>
      </c>
      <c r="I111" s="296">
        <f t="shared" si="37"/>
        <v>0.62233126721763088</v>
      </c>
      <c r="J111" s="296">
        <f t="shared" si="37"/>
        <v>0.66505068709168735</v>
      </c>
      <c r="K111" s="296">
        <f t="shared" si="37"/>
        <v>0.69052681503101054</v>
      </c>
      <c r="L111" s="296">
        <f t="shared" si="37"/>
        <v>0.70273190271816888</v>
      </c>
      <c r="M111" s="296">
        <f t="shared" si="37"/>
        <v>0.67020568663036906</v>
      </c>
      <c r="N111" s="296">
        <f t="shared" si="37"/>
        <v>0.75865865589644532</v>
      </c>
      <c r="O111" s="296">
        <f t="shared" si="37"/>
        <v>0.65701548451548453</v>
      </c>
      <c r="P111" s="296">
        <f t="shared" si="37"/>
        <v>0.89711853546910758</v>
      </c>
      <c r="Q111" s="296">
        <f t="shared" si="37"/>
        <v>0.7143137884013796</v>
      </c>
      <c r="R111" s="296">
        <f t="shared" si="37"/>
        <v>0.70357568673290471</v>
      </c>
      <c r="S111" s="296">
        <f t="shared" si="37"/>
        <v>0.72036227014478582</v>
      </c>
      <c r="T111" s="296">
        <f t="shared" si="37"/>
        <v>0.70137070785642852</v>
      </c>
      <c r="U111" s="296">
        <f t="shared" si="37"/>
        <v>0.65424320742213393</v>
      </c>
      <c r="V111" s="296">
        <f t="shared" si="37"/>
        <v>0.67447726518420192</v>
      </c>
      <c r="W111" s="296">
        <f t="shared" si="37"/>
        <v>0.82357512513786368</v>
      </c>
      <c r="X111" s="296">
        <f t="shared" si="37"/>
        <v>0.81762298125116017</v>
      </c>
      <c r="Y111" s="296">
        <f t="shared" si="37"/>
        <v>0.92240246406570836</v>
      </c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  <c r="AP111" s="297"/>
    </row>
    <row r="112" spans="1:42">
      <c r="A112" s="223">
        <v>2011</v>
      </c>
      <c r="B112" s="190" t="str">
        <f t="shared" ref="B112:B114" si="38">IFERROR(C112+D112+E112,"..")</f>
        <v>..</v>
      </c>
      <c r="C112" s="296" t="str">
        <f t="shared" ref="C112:Y112" si="39">IFERROR(C21/C82/1000,"..")</f>
        <v>..</v>
      </c>
      <c r="D112" s="296" t="str">
        <f t="shared" si="39"/>
        <v>..</v>
      </c>
      <c r="E112" s="296" t="str">
        <f t="shared" si="39"/>
        <v>..</v>
      </c>
      <c r="F112" s="296" t="str">
        <f t="shared" si="39"/>
        <v>..</v>
      </c>
      <c r="G112" s="296" t="str">
        <f t="shared" si="39"/>
        <v>..</v>
      </c>
      <c r="H112" s="296">
        <f t="shared" si="39"/>
        <v>0.65553320512154123</v>
      </c>
      <c r="I112" s="296">
        <f t="shared" si="39"/>
        <v>0.67036075036075038</v>
      </c>
      <c r="J112" s="296">
        <f t="shared" si="39"/>
        <v>0.62471615132612301</v>
      </c>
      <c r="K112" s="296">
        <f t="shared" si="39"/>
        <v>0.67646471144749298</v>
      </c>
      <c r="L112" s="296">
        <f t="shared" si="39"/>
        <v>0.66979844781651809</v>
      </c>
      <c r="M112" s="296">
        <f t="shared" si="39"/>
        <v>0.6913716038562665</v>
      </c>
      <c r="N112" s="296">
        <f t="shared" si="39"/>
        <v>0.76599408376148215</v>
      </c>
      <c r="O112" s="296">
        <f t="shared" si="39"/>
        <v>0.74483969465648847</v>
      </c>
      <c r="P112" s="296">
        <f t="shared" si="39"/>
        <v>0.88236725236532154</v>
      </c>
      <c r="Q112" s="296">
        <f t="shared" si="39"/>
        <v>0.71971546391752572</v>
      </c>
      <c r="R112" s="296">
        <f t="shared" si="39"/>
        <v>0.72112332875171814</v>
      </c>
      <c r="S112" s="296">
        <f t="shared" si="39"/>
        <v>0.71677199656399559</v>
      </c>
      <c r="T112" s="296">
        <f t="shared" si="39"/>
        <v>0.67540580185341781</v>
      </c>
      <c r="U112" s="296">
        <f t="shared" si="39"/>
        <v>0.64512296542711178</v>
      </c>
      <c r="V112" s="296">
        <f t="shared" si="39"/>
        <v>0.62057291847731622</v>
      </c>
      <c r="W112" s="296">
        <f t="shared" si="39"/>
        <v>0.84442500809847754</v>
      </c>
      <c r="X112" s="296">
        <f t="shared" si="39"/>
        <v>0.8440621697780909</v>
      </c>
      <c r="Y112" s="296">
        <f t="shared" si="39"/>
        <v>0.88983086680761103</v>
      </c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  <c r="AP112" s="297"/>
    </row>
    <row r="113" spans="1:42">
      <c r="A113" s="223">
        <v>2012</v>
      </c>
      <c r="B113" s="190" t="str">
        <f t="shared" si="38"/>
        <v>..</v>
      </c>
      <c r="C113" s="296" t="str">
        <f t="shared" ref="C113:Y113" si="40">IFERROR(C22/C83/1000,"..")</f>
        <v>..</v>
      </c>
      <c r="D113" s="296" t="str">
        <f t="shared" si="40"/>
        <v>..</v>
      </c>
      <c r="E113" s="296" t="str">
        <f t="shared" si="40"/>
        <v>..</v>
      </c>
      <c r="F113" s="296" t="str">
        <f t="shared" si="40"/>
        <v>..</v>
      </c>
      <c r="G113" s="296" t="str">
        <f t="shared" si="40"/>
        <v>..</v>
      </c>
      <c r="H113" s="296">
        <f t="shared" si="40"/>
        <v>0.65345820147210465</v>
      </c>
      <c r="I113" s="296">
        <f t="shared" si="40"/>
        <v>0.58126663708961845</v>
      </c>
      <c r="J113" s="296">
        <f t="shared" si="40"/>
        <v>0.59267534537725819</v>
      </c>
      <c r="K113" s="296">
        <f t="shared" si="40"/>
        <v>0.73556479753306825</v>
      </c>
      <c r="L113" s="296">
        <f t="shared" si="40"/>
        <v>0.74072169377109542</v>
      </c>
      <c r="M113" s="296">
        <f t="shared" si="40"/>
        <v>0.72811801466169923</v>
      </c>
      <c r="N113" s="296">
        <f t="shared" si="40"/>
        <v>0.75412805458584564</v>
      </c>
      <c r="O113" s="296">
        <f t="shared" si="40"/>
        <v>0.7957994100294985</v>
      </c>
      <c r="P113" s="296">
        <f t="shared" si="40"/>
        <v>0.77166227631937501</v>
      </c>
      <c r="Q113" s="296">
        <f t="shared" si="40"/>
        <v>0.7398496561739204</v>
      </c>
      <c r="R113" s="296">
        <f t="shared" si="40"/>
        <v>0.89426276276276284</v>
      </c>
      <c r="S113" s="296">
        <f t="shared" si="40"/>
        <v>0.67046009555830821</v>
      </c>
      <c r="T113" s="296">
        <f t="shared" si="40"/>
        <v>0.71232855450039212</v>
      </c>
      <c r="U113" s="296">
        <f t="shared" si="40"/>
        <v>0.65343587930221603</v>
      </c>
      <c r="V113" s="296">
        <f t="shared" si="40"/>
        <v>0.68287683004455757</v>
      </c>
      <c r="W113" s="296">
        <f t="shared" si="40"/>
        <v>0.87926966779425786</v>
      </c>
      <c r="X113" s="296">
        <f t="shared" si="40"/>
        <v>0.88179216581099074</v>
      </c>
      <c r="Y113" s="296">
        <f t="shared" si="40"/>
        <v>0.88361680327868863</v>
      </c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  <c r="AP113" s="297"/>
    </row>
    <row r="114" spans="1:42">
      <c r="A114" s="223">
        <v>2013</v>
      </c>
      <c r="B114" s="190" t="str">
        <f t="shared" si="38"/>
        <v>..</v>
      </c>
      <c r="C114" s="296" t="str">
        <f t="shared" ref="C114:Y114" si="41">IFERROR(C23/C84/1000,"..")</f>
        <v>..</v>
      </c>
      <c r="D114" s="296" t="str">
        <f t="shared" si="41"/>
        <v>..</v>
      </c>
      <c r="E114" s="296" t="str">
        <f t="shared" si="41"/>
        <v>..</v>
      </c>
      <c r="F114" s="296" t="str">
        <f t="shared" si="41"/>
        <v>..</v>
      </c>
      <c r="G114" s="296" t="str">
        <f t="shared" si="41"/>
        <v>..</v>
      </c>
      <c r="H114" s="296">
        <f t="shared" si="41"/>
        <v>0.61239038749548114</v>
      </c>
      <c r="I114" s="296">
        <f t="shared" si="41"/>
        <v>0.52408352415221893</v>
      </c>
      <c r="J114" s="296">
        <f t="shared" si="41"/>
        <v>0.54889828421311881</v>
      </c>
      <c r="K114" s="296">
        <f t="shared" si="41"/>
        <v>0.70835328609821635</v>
      </c>
      <c r="L114" s="296">
        <f t="shared" si="41"/>
        <v>0.70361487938125344</v>
      </c>
      <c r="M114" s="296">
        <f t="shared" si="41"/>
        <v>0.72030350855894132</v>
      </c>
      <c r="N114" s="296">
        <f t="shared" si="41"/>
        <v>0.76310682185751788</v>
      </c>
      <c r="O114" s="296">
        <f t="shared" si="41"/>
        <v>0.78024960169941571</v>
      </c>
      <c r="P114" s="296">
        <f t="shared" si="41"/>
        <v>0.74528813559322027</v>
      </c>
      <c r="Q114" s="296">
        <f t="shared" si="41"/>
        <v>0.7693638064688586</v>
      </c>
      <c r="R114" s="296">
        <f t="shared" si="41"/>
        <v>0.88900115807759128</v>
      </c>
      <c r="S114" s="296">
        <f t="shared" si="41"/>
        <v>0.710595146871009</v>
      </c>
      <c r="T114" s="296">
        <f t="shared" si="41"/>
        <v>0.70314958741124534</v>
      </c>
      <c r="U114" s="296">
        <f t="shared" si="41"/>
        <v>0.66965019433647976</v>
      </c>
      <c r="V114" s="296">
        <f t="shared" si="41"/>
        <v>0.64505945656697783</v>
      </c>
      <c r="W114" s="296">
        <f t="shared" si="41"/>
        <v>0.93811466372657104</v>
      </c>
      <c r="X114" s="296">
        <f t="shared" si="41"/>
        <v>0.93096413228094721</v>
      </c>
      <c r="Y114" s="296">
        <f t="shared" si="41"/>
        <v>1.0687664670658683</v>
      </c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</row>
    <row r="115" spans="1:42">
      <c r="A115" s="223"/>
      <c r="B115" s="190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</row>
    <row r="116" spans="1:42">
      <c r="A116" s="223" t="s">
        <v>32</v>
      </c>
      <c r="B116" s="190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  <c r="AP116" s="297"/>
    </row>
    <row r="117" spans="1:42">
      <c r="A117" s="295" t="s">
        <v>444</v>
      </c>
      <c r="B117" s="296" t="str">
        <f>IFERROR(((B114/B98)^(1/16)-1)*100,"..")</f>
        <v>..</v>
      </c>
      <c r="C117" s="296" t="str">
        <f t="shared" ref="C117:Y117" si="42">IFERROR(((C114/C98)^(1/16)-1)*100,"..")</f>
        <v>..</v>
      </c>
      <c r="D117" s="296" t="str">
        <f t="shared" si="42"/>
        <v>..</v>
      </c>
      <c r="E117" s="296" t="str">
        <f t="shared" si="42"/>
        <v>..</v>
      </c>
      <c r="F117" s="296" t="str">
        <f t="shared" si="42"/>
        <v>..</v>
      </c>
      <c r="G117" s="296" t="str">
        <f t="shared" si="42"/>
        <v>..</v>
      </c>
      <c r="H117" s="296" t="str">
        <f t="shared" si="42"/>
        <v>..</v>
      </c>
      <c r="I117" s="296">
        <f t="shared" si="42"/>
        <v>-3.8725072787949677</v>
      </c>
      <c r="J117" s="296">
        <f t="shared" si="42"/>
        <v>-0.92360928560178968</v>
      </c>
      <c r="K117" s="296" t="str">
        <f t="shared" si="42"/>
        <v>..</v>
      </c>
      <c r="L117" s="296" t="str">
        <f t="shared" si="42"/>
        <v>..</v>
      </c>
      <c r="M117" s="296" t="str">
        <f t="shared" si="42"/>
        <v>..</v>
      </c>
      <c r="N117" s="296">
        <f t="shared" si="42"/>
        <v>1.5117018088716794</v>
      </c>
      <c r="O117" s="296">
        <f t="shared" si="42"/>
        <v>0.52051948926907787</v>
      </c>
      <c r="P117" s="296">
        <f t="shared" si="42"/>
        <v>-1.233120323121617</v>
      </c>
      <c r="Q117" s="296">
        <f t="shared" si="42"/>
        <v>3.0756790724909555</v>
      </c>
      <c r="R117" s="296">
        <f t="shared" si="42"/>
        <v>2.5126062919959891</v>
      </c>
      <c r="S117" s="296">
        <f t="shared" si="42"/>
        <v>3.8629198723964864</v>
      </c>
      <c r="T117" s="296">
        <f t="shared" si="42"/>
        <v>-0.43412418008688114</v>
      </c>
      <c r="U117" s="296">
        <f t="shared" si="42"/>
        <v>0.34361031138760989</v>
      </c>
      <c r="V117" s="296">
        <f t="shared" si="42"/>
        <v>-2.0862665243377654</v>
      </c>
      <c r="W117" s="296">
        <f t="shared" si="42"/>
        <v>2.173631172241941</v>
      </c>
      <c r="X117" s="296">
        <f t="shared" si="42"/>
        <v>1.8435744718900526</v>
      </c>
      <c r="Y117" s="296">
        <f t="shared" si="42"/>
        <v>6.0246229153685604</v>
      </c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  <c r="AP117" s="297"/>
    </row>
    <row r="118" spans="1:42">
      <c r="A118" s="295" t="s">
        <v>445</v>
      </c>
      <c r="B118" s="296" t="str">
        <f>IFERROR(((B114/B101)^(1/13)-1)*100,"..")</f>
        <v>..</v>
      </c>
      <c r="C118" s="296" t="str">
        <f t="shared" ref="C118:Y118" si="43">IFERROR(((C114/C101)^(1/13)-1)*100,"..")</f>
        <v>..</v>
      </c>
      <c r="D118" s="296" t="str">
        <f t="shared" si="43"/>
        <v>..</v>
      </c>
      <c r="E118" s="296" t="str">
        <f t="shared" si="43"/>
        <v>..</v>
      </c>
      <c r="F118" s="296" t="str">
        <f t="shared" si="43"/>
        <v>..</v>
      </c>
      <c r="G118" s="296" t="str">
        <f t="shared" si="43"/>
        <v>..</v>
      </c>
      <c r="H118" s="296">
        <f t="shared" si="43"/>
        <v>-0.6457874139257469</v>
      </c>
      <c r="I118" s="296">
        <f t="shared" si="43"/>
        <v>-1.5630016502538813</v>
      </c>
      <c r="J118" s="296">
        <f t="shared" si="43"/>
        <v>-2.3811281297667186</v>
      </c>
      <c r="K118" s="296">
        <f t="shared" si="43"/>
        <v>1.1358788434019607</v>
      </c>
      <c r="L118" s="296">
        <f t="shared" si="43"/>
        <v>0.7903734579320254</v>
      </c>
      <c r="M118" s="296">
        <f t="shared" si="43"/>
        <v>1.6584052652808712</v>
      </c>
      <c r="N118" s="296">
        <f t="shared" si="43"/>
        <v>1.5923377986347464</v>
      </c>
      <c r="O118" s="296">
        <f t="shared" si="43"/>
        <v>2.1215287226233004</v>
      </c>
      <c r="P118" s="296">
        <f t="shared" si="43"/>
        <v>-1.3301692859772563</v>
      </c>
      <c r="Q118" s="296">
        <f t="shared" si="43"/>
        <v>3.104665982063648</v>
      </c>
      <c r="R118" s="296">
        <f t="shared" si="43"/>
        <v>3.8473338868789009</v>
      </c>
      <c r="S118" s="296">
        <f t="shared" si="43"/>
        <v>2.2890768852509291</v>
      </c>
      <c r="T118" s="296">
        <f t="shared" si="43"/>
        <v>-0.1502873114528902</v>
      </c>
      <c r="U118" s="296">
        <f t="shared" si="43"/>
        <v>-0.53238858460032956</v>
      </c>
      <c r="V118" s="296">
        <f t="shared" si="43"/>
        <v>-1.5103440755479869</v>
      </c>
      <c r="W118" s="296">
        <f t="shared" si="43"/>
        <v>3.7743407458929346</v>
      </c>
      <c r="X118" s="296" t="str">
        <f t="shared" si="43"/>
        <v>..</v>
      </c>
      <c r="Y118" s="296" t="str">
        <f t="shared" si="43"/>
        <v>..</v>
      </c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</row>
    <row r="119" spans="1:42">
      <c r="A119" s="295" t="s">
        <v>446</v>
      </c>
      <c r="B119" s="296" t="str">
        <f>IFERROR(((B108/B101)^(1/7)-1)*100,"..")</f>
        <v>..</v>
      </c>
      <c r="C119" s="296" t="str">
        <f t="shared" ref="C119:Y119" si="44">IFERROR(((C108/C101)^(1/7)-1)*100,"..")</f>
        <v>..</v>
      </c>
      <c r="D119" s="296" t="str">
        <f t="shared" si="44"/>
        <v>..</v>
      </c>
      <c r="E119" s="296" t="str">
        <f t="shared" si="44"/>
        <v>..</v>
      </c>
      <c r="F119" s="296" t="str">
        <f t="shared" si="44"/>
        <v>..</v>
      </c>
      <c r="G119" s="296" t="str">
        <f t="shared" si="44"/>
        <v>..</v>
      </c>
      <c r="H119" s="296">
        <f t="shared" si="44"/>
        <v>0.52543995128861987</v>
      </c>
      <c r="I119" s="296">
        <f t="shared" si="44"/>
        <v>1.0136294218778819</v>
      </c>
      <c r="J119" s="296">
        <f t="shared" si="44"/>
        <v>-2.852806571055766</v>
      </c>
      <c r="K119" s="296">
        <f t="shared" si="44"/>
        <v>3.0626336788255992</v>
      </c>
      <c r="L119" s="296">
        <f t="shared" si="44"/>
        <v>3.7096266277109269</v>
      </c>
      <c r="M119" s="296">
        <f t="shared" si="44"/>
        <v>1.1284505119448118</v>
      </c>
      <c r="N119" s="296">
        <f t="shared" si="44"/>
        <v>1.5236584476176374</v>
      </c>
      <c r="O119" s="296">
        <f t="shared" si="44"/>
        <v>3.1097319087206587</v>
      </c>
      <c r="P119" s="296">
        <f t="shared" si="44"/>
        <v>-1.544682025887556</v>
      </c>
      <c r="Q119" s="296">
        <f t="shared" si="44"/>
        <v>2.8220039774056627</v>
      </c>
      <c r="R119" s="296">
        <f t="shared" si="44"/>
        <v>1.2132317201739573</v>
      </c>
      <c r="S119" s="296">
        <f t="shared" si="44"/>
        <v>3.0088369607460308</v>
      </c>
      <c r="T119" s="296">
        <f t="shared" si="44"/>
        <v>-0.48260164945211903</v>
      </c>
      <c r="U119" s="296">
        <f t="shared" si="44"/>
        <v>-1.028379070244112</v>
      </c>
      <c r="V119" s="296">
        <f t="shared" si="44"/>
        <v>-1.6576497060680984</v>
      </c>
      <c r="W119" s="296">
        <f t="shared" si="44"/>
        <v>2.9893156777016205</v>
      </c>
      <c r="X119" s="296" t="str">
        <f t="shared" si="44"/>
        <v>..</v>
      </c>
      <c r="Y119" s="296" t="str">
        <f t="shared" si="44"/>
        <v>..</v>
      </c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  <c r="AP119" s="297"/>
    </row>
    <row r="120" spans="1:42">
      <c r="A120" s="300" t="s">
        <v>447</v>
      </c>
      <c r="B120" s="296" t="str">
        <f>IFERROR(((B114/B108)^(1/6)-1)*100,"..")</f>
        <v>..</v>
      </c>
      <c r="C120" s="296" t="str">
        <f t="shared" ref="C120:Y120" si="45">IFERROR(((C114/C108)^(1/6)-1)*100,"..")</f>
        <v>..</v>
      </c>
      <c r="D120" s="296" t="str">
        <f t="shared" si="45"/>
        <v>..</v>
      </c>
      <c r="E120" s="296" t="str">
        <f t="shared" si="45"/>
        <v>..</v>
      </c>
      <c r="F120" s="296" t="str">
        <f t="shared" si="45"/>
        <v>..</v>
      </c>
      <c r="G120" s="296" t="str">
        <f t="shared" si="45"/>
        <v>..</v>
      </c>
      <c r="H120" s="296">
        <f t="shared" si="45"/>
        <v>-1.9949834605531125</v>
      </c>
      <c r="I120" s="296">
        <f t="shared" si="45"/>
        <v>-4.4861216490487461</v>
      </c>
      <c r="J120" s="296">
        <f t="shared" si="45"/>
        <v>-1.8279413540461142</v>
      </c>
      <c r="K120" s="296">
        <f t="shared" si="45"/>
        <v>-1.066523153974408</v>
      </c>
      <c r="L120" s="296">
        <f t="shared" si="45"/>
        <v>-2.5117288599602494</v>
      </c>
      <c r="M120" s="296">
        <f t="shared" si="45"/>
        <v>2.2801968801946071</v>
      </c>
      <c r="N120" s="296">
        <f t="shared" si="45"/>
        <v>1.6725224314368736</v>
      </c>
      <c r="O120" s="296">
        <f t="shared" si="45"/>
        <v>0.98058882839544559</v>
      </c>
      <c r="P120" s="296">
        <f t="shared" si="45"/>
        <v>-1.0793136391384794</v>
      </c>
      <c r="Q120" s="296">
        <f t="shared" si="45"/>
        <v>3.4354205752377354</v>
      </c>
      <c r="R120" s="296">
        <f t="shared" si="45"/>
        <v>7.0072213512579973</v>
      </c>
      <c r="S120" s="296">
        <f t="shared" si="45"/>
        <v>1.4557107070708009</v>
      </c>
      <c r="T120" s="296">
        <f t="shared" si="45"/>
        <v>0.23881552625322211</v>
      </c>
      <c r="U120" s="296">
        <f t="shared" si="45"/>
        <v>4.9409412436962619E-2</v>
      </c>
      <c r="V120" s="296">
        <f t="shared" si="45"/>
        <v>-1.3382086100625301</v>
      </c>
      <c r="W120" s="296">
        <f t="shared" si="45"/>
        <v>4.6977693431512035</v>
      </c>
      <c r="X120" s="296">
        <f t="shared" si="45"/>
        <v>4.6663537368100583</v>
      </c>
      <c r="Y120" s="296">
        <f t="shared" si="45"/>
        <v>6.0474882067252489</v>
      </c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  <c r="AP120" s="297"/>
    </row>
    <row r="121" spans="1:42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  <c r="AP121" s="297"/>
    </row>
    <row r="122" spans="1:42">
      <c r="A122" s="297" t="s">
        <v>450</v>
      </c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97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  <c r="AP122" s="297"/>
    </row>
    <row r="123" spans="1:42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  <c r="L123" s="297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  <c r="AP123" s="297"/>
    </row>
    <row r="124" spans="1:42">
      <c r="A124" s="475" t="s">
        <v>489</v>
      </c>
      <c r="B124" s="475"/>
      <c r="C124" s="475"/>
      <c r="D124" s="475"/>
      <c r="E124" s="475"/>
      <c r="F124" s="475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  <c r="AP124" s="297"/>
    </row>
    <row r="125" spans="1:42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297"/>
      <c r="L125" s="297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</row>
    <row r="126" spans="1:42">
      <c r="B126" s="461" t="s">
        <v>439</v>
      </c>
      <c r="C126" s="461"/>
      <c r="D126" s="461"/>
      <c r="E126" s="461"/>
      <c r="F126" s="461"/>
      <c r="G126" s="461"/>
      <c r="H126" s="461" t="s">
        <v>132</v>
      </c>
      <c r="I126" s="461"/>
      <c r="J126" s="461"/>
      <c r="K126" s="461"/>
      <c r="L126" s="461"/>
      <c r="M126" s="461"/>
      <c r="N126" s="461" t="s">
        <v>133</v>
      </c>
      <c r="O126" s="461"/>
      <c r="P126" s="461"/>
      <c r="Q126" s="461"/>
      <c r="R126" s="461"/>
      <c r="S126" s="461"/>
      <c r="T126" s="461" t="s">
        <v>440</v>
      </c>
      <c r="U126" s="461"/>
      <c r="V126" s="461"/>
      <c r="W126" s="461"/>
      <c r="X126" s="461"/>
      <c r="Y126" s="461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</row>
    <row r="127" spans="1:42" ht="75">
      <c r="B127" s="294" t="s">
        <v>8</v>
      </c>
      <c r="C127" s="146" t="s">
        <v>441</v>
      </c>
      <c r="D127" s="146" t="s">
        <v>248</v>
      </c>
      <c r="E127" s="146" t="s">
        <v>249</v>
      </c>
      <c r="F127" s="146" t="s">
        <v>442</v>
      </c>
      <c r="G127" s="146" t="s">
        <v>443</v>
      </c>
      <c r="H127" s="301" t="s">
        <v>8</v>
      </c>
      <c r="I127" s="146" t="s">
        <v>441</v>
      </c>
      <c r="J127" s="146" t="s">
        <v>248</v>
      </c>
      <c r="K127" s="146" t="s">
        <v>249</v>
      </c>
      <c r="L127" s="146" t="s">
        <v>442</v>
      </c>
      <c r="M127" s="146" t="s">
        <v>443</v>
      </c>
      <c r="N127" s="294" t="s">
        <v>8</v>
      </c>
      <c r="O127" s="146" t="s">
        <v>441</v>
      </c>
      <c r="P127" s="146" t="s">
        <v>248</v>
      </c>
      <c r="Q127" s="146" t="s">
        <v>249</v>
      </c>
      <c r="R127" s="146" t="s">
        <v>442</v>
      </c>
      <c r="S127" s="146" t="s">
        <v>443</v>
      </c>
      <c r="T127" s="294" t="s">
        <v>8</v>
      </c>
      <c r="U127" s="146" t="s">
        <v>441</v>
      </c>
      <c r="V127" s="146" t="s">
        <v>248</v>
      </c>
      <c r="W127" s="146" t="s">
        <v>249</v>
      </c>
      <c r="X127" s="146" t="s">
        <v>442</v>
      </c>
      <c r="Y127" s="146" t="s">
        <v>443</v>
      </c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</row>
    <row r="128" spans="1:42">
      <c r="A128" s="223">
        <v>1997</v>
      </c>
      <c r="B128" s="303" t="str">
        <f>IFERROR(B98/'16A'!$B4,"..")</f>
        <v>..</v>
      </c>
      <c r="C128" s="303" t="str">
        <f>IFERROR(C98/'16A'!$B4,"..")</f>
        <v>..</v>
      </c>
      <c r="D128" s="303" t="str">
        <f>IFERROR(D98/'16A'!$B4,"..")</f>
        <v>..</v>
      </c>
      <c r="E128" s="303" t="str">
        <f>IFERROR(E98/'16A'!$B4,"..")</f>
        <v>..</v>
      </c>
      <c r="F128" s="303" t="str">
        <f>IFERROR(F98/'16A'!$B4,"..")</f>
        <v>..</v>
      </c>
      <c r="G128" s="303" t="str">
        <f>IFERROR(G98/'16A'!$B4,"..")</f>
        <v>..</v>
      </c>
      <c r="H128" s="304" t="str">
        <f>IFERROR(H98/'16A'!$B4,"..")</f>
        <v>..</v>
      </c>
      <c r="I128" s="304">
        <f>IFERROR(I98/'16A'!$B4,"..")</f>
        <v>0.71205730880734486</v>
      </c>
      <c r="J128" s="304">
        <f>IFERROR(J98/'16A'!$B4,"..")</f>
        <v>0.45988084190614353</v>
      </c>
      <c r="K128" s="304" t="str">
        <f>IFERROR(K98/'16A'!$B4,"..")</f>
        <v>..</v>
      </c>
      <c r="L128" s="304" t="str">
        <f>IFERROR(L98/'16A'!$B4,"..")</f>
        <v>..</v>
      </c>
      <c r="M128" s="304" t="str">
        <f>IFERROR(M98/'16A'!$B4,"..")</f>
        <v>..</v>
      </c>
      <c r="N128" s="304">
        <f>IFERROR(N98/'16A'!$B4,"..")</f>
        <v>0.43351474814905522</v>
      </c>
      <c r="O128" s="304">
        <f>IFERROR(O98/'16A'!$B4,"..")</f>
        <v>0.5186020687007652</v>
      </c>
      <c r="P128" s="304">
        <f>IFERROR(P98/'16A'!$B4,"..")</f>
        <v>0.65647645151308831</v>
      </c>
      <c r="Q128" s="304">
        <f>IFERROR(Q98/'16A'!$B4,"..")</f>
        <v>0.34222265489257236</v>
      </c>
      <c r="R128" s="304">
        <f>IFERROR(R98/'16A'!$B4,"..")</f>
        <v>0.43166039345717844</v>
      </c>
      <c r="S128" s="304">
        <f>IFERROR(S98/'16A'!$B4,"..")</f>
        <v>0.2798530688349567</v>
      </c>
      <c r="T128" s="304">
        <f>IFERROR(T98/'16A'!$B4,"..")</f>
        <v>0.54444712907460735</v>
      </c>
      <c r="U128" s="304">
        <f>IFERROR(U98/'16A'!$B4,"..")</f>
        <v>0.45781362700565953</v>
      </c>
      <c r="V128" s="304">
        <f>IFERROR(V98/'16A'!$B4,"..")</f>
        <v>0.65279715796239346</v>
      </c>
      <c r="W128" s="304">
        <f>IFERROR(W98/'16A'!$B4,"..")</f>
        <v>0.48029819336755603</v>
      </c>
      <c r="X128" s="304">
        <f>IFERROR(X98/'16A'!$B4,"..")</f>
        <v>0.50196228748308003</v>
      </c>
      <c r="Y128" s="304">
        <f>IFERROR(Y98/'16A'!$B4,"..")</f>
        <v>0.30272710907675787</v>
      </c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  <c r="AP128" s="297"/>
    </row>
    <row r="129" spans="1:42">
      <c r="A129" s="223">
        <v>1998</v>
      </c>
      <c r="B129" s="303" t="str">
        <f>IFERROR(B99/'16A'!$B5,"..")</f>
        <v>..</v>
      </c>
      <c r="C129" s="303" t="str">
        <f>IFERROR(C99/'16A'!$B5,"..")</f>
        <v>..</v>
      </c>
      <c r="D129" s="303" t="str">
        <f>IFERROR(D99/'16A'!$B5,"..")</f>
        <v>..</v>
      </c>
      <c r="E129" s="303" t="str">
        <f>IFERROR(E99/'16A'!$B5,"..")</f>
        <v>..</v>
      </c>
      <c r="F129" s="303" t="str">
        <f>IFERROR(F99/'16A'!$B5,"..")</f>
        <v>..</v>
      </c>
      <c r="G129" s="303" t="str">
        <f>IFERROR(G99/'16A'!$B5,"..")</f>
        <v>..</v>
      </c>
      <c r="H129" s="304">
        <f>IFERROR(H99/'16A'!$B5,"..")</f>
        <v>0.44441925782660502</v>
      </c>
      <c r="I129" s="304">
        <f>IFERROR(I99/'16A'!$B5,"..")</f>
        <v>0.62790509603216904</v>
      </c>
      <c r="J129" s="304">
        <f>IFERROR(J99/'16A'!$B5,"..")</f>
        <v>0.42297007390884395</v>
      </c>
      <c r="K129" s="304">
        <f>IFERROR(K99/'16A'!$B5,"..")</f>
        <v>0.42371193641325533</v>
      </c>
      <c r="L129" s="304">
        <f>IFERROR(L99/'16A'!$B5,"..")</f>
        <v>0.47988581996737883</v>
      </c>
      <c r="M129" s="304">
        <f>IFERROR(M99/'16A'!$B5,"..")</f>
        <v>0.30804042458182185</v>
      </c>
      <c r="N129" s="304">
        <f>IFERROR(N99/'16A'!$B5,"..")</f>
        <v>0.40876170119349092</v>
      </c>
      <c r="O129" s="304">
        <f>IFERROR(O99/'16A'!$B5,"..")</f>
        <v>0.44169726505562112</v>
      </c>
      <c r="P129" s="304">
        <f>IFERROR(P99/'16A'!$B5,"..")</f>
        <v>0.60172500525495076</v>
      </c>
      <c r="Q129" s="304">
        <f>IFERROR(Q99/'16A'!$B5,"..")</f>
        <v>0.32796350035623184</v>
      </c>
      <c r="R129" s="304">
        <f>IFERROR(R99/'16A'!$B5,"..")</f>
        <v>0.38296410646357198</v>
      </c>
      <c r="S129" s="304">
        <f>IFERROR(S99/'16A'!$B5,"..")</f>
        <v>0.29424660999047575</v>
      </c>
      <c r="T129" s="304">
        <f>IFERROR(T99/'16A'!$B5,"..")</f>
        <v>0.47622069473358047</v>
      </c>
      <c r="U129" s="304">
        <f>IFERROR(U99/'16A'!$B5,"..")</f>
        <v>0.37067571670850646</v>
      </c>
      <c r="V129" s="304">
        <f>IFERROR(V99/'16A'!$B5,"..")</f>
        <v>0.57256866048111887</v>
      </c>
      <c r="W129" s="304">
        <f>IFERROR(W99/'16A'!$B5,"..")</f>
        <v>0.46465200244441313</v>
      </c>
      <c r="X129" s="304" t="str">
        <f>IFERROR(X99/'16A'!$B5,"..")</f>
        <v>..</v>
      </c>
      <c r="Y129" s="304" t="str">
        <f>IFERROR(Y99/'16A'!$B5,"..")</f>
        <v>..</v>
      </c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  <c r="AP129" s="297"/>
    </row>
    <row r="130" spans="1:42">
      <c r="A130" s="223">
        <v>1999</v>
      </c>
      <c r="B130" s="303" t="str">
        <f>IFERROR(B100/'16A'!$B6,"..")</f>
        <v>..</v>
      </c>
      <c r="C130" s="303" t="str">
        <f>IFERROR(C100/'16A'!$B6,"..")</f>
        <v>..</v>
      </c>
      <c r="D130" s="303" t="str">
        <f>IFERROR(D100/'16A'!$B6,"..")</f>
        <v>..</v>
      </c>
      <c r="E130" s="303" t="str">
        <f>IFERROR(E100/'16A'!$B6,"..")</f>
        <v>..</v>
      </c>
      <c r="F130" s="303" t="str">
        <f>IFERROR(F100/'16A'!$B6,"..")</f>
        <v>..</v>
      </c>
      <c r="G130" s="303" t="str">
        <f>IFERROR(G100/'16A'!$B6,"..")</f>
        <v>..</v>
      </c>
      <c r="H130" s="304">
        <f>IFERROR(H100/'16A'!$B6,"..")</f>
        <v>0.44926399361887209</v>
      </c>
      <c r="I130" s="304">
        <f>IFERROR(I100/'16A'!$B6,"..")</f>
        <v>0.58270176377366689</v>
      </c>
      <c r="J130" s="304">
        <f>IFERROR(J100/'16A'!$B6,"..")</f>
        <v>0.46526004717987479</v>
      </c>
      <c r="K130" s="304">
        <f>IFERROR(K100/'16A'!$B6,"..")</f>
        <v>0.41095239051527577</v>
      </c>
      <c r="L130" s="304">
        <f>IFERROR(L100/'16A'!$B6,"..")</f>
        <v>0.46627503948907556</v>
      </c>
      <c r="M130" s="304">
        <f>IFERROR(M100/'16A'!$B6,"..")</f>
        <v>0.29508504528093227</v>
      </c>
      <c r="N130" s="304">
        <f>IFERROR(N100/'16A'!$B6,"..")</f>
        <v>0.44174096113591343</v>
      </c>
      <c r="O130" s="304">
        <f>IFERROR(O100/'16A'!$B6,"..")</f>
        <v>0.43418387528445718</v>
      </c>
      <c r="P130" s="304">
        <f>IFERROR(P100/'16A'!$B6,"..")</f>
        <v>0.64912166837806373</v>
      </c>
      <c r="Q130" s="304">
        <f>IFERROR(Q100/'16A'!$B6,"..")</f>
        <v>0.36132751894764042</v>
      </c>
      <c r="R130" s="304">
        <f>IFERROR(R100/'16A'!$B6,"..")</f>
        <v>0.40932450296664991</v>
      </c>
      <c r="S130" s="304">
        <f>IFERROR(S100/'16A'!$B6,"..")</f>
        <v>0.33847175142028152</v>
      </c>
      <c r="T130" s="304">
        <f>IFERROR(T100/'16A'!$B6,"..")</f>
        <v>0.46737925661883128</v>
      </c>
      <c r="U130" s="304">
        <f>IFERROR(U100/'16A'!$B6,"..")</f>
        <v>0.44003603576451189</v>
      </c>
      <c r="V130" s="304">
        <f>IFERROR(V100/'16A'!$B6,"..")</f>
        <v>0.53187062489930947</v>
      </c>
      <c r="W130" s="304">
        <f>IFERROR(W100/'16A'!$B6,"..")</f>
        <v>0.3895288957164601</v>
      </c>
      <c r="X130" s="304" t="str">
        <f>IFERROR(X100/'16A'!$B6,"..")</f>
        <v>..</v>
      </c>
      <c r="Y130" s="304" t="str">
        <f>IFERROR(Y100/'16A'!$B6,"..")</f>
        <v>..</v>
      </c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  <c r="AP130" s="297"/>
    </row>
    <row r="131" spans="1:42">
      <c r="A131" s="223">
        <v>2000</v>
      </c>
      <c r="B131" s="303" t="str">
        <f>IFERROR(B101/'16A'!$B7,"..")</f>
        <v>..</v>
      </c>
      <c r="C131" s="303" t="str">
        <f>IFERROR(C101/'16A'!$B7,"..")</f>
        <v>..</v>
      </c>
      <c r="D131" s="303" t="str">
        <f>IFERROR(D101/'16A'!$B7,"..")</f>
        <v>..</v>
      </c>
      <c r="E131" s="303" t="str">
        <f>IFERROR(E101/'16A'!$B7,"..")</f>
        <v>..</v>
      </c>
      <c r="F131" s="303" t="str">
        <f>IFERROR(F101/'16A'!$B7,"..")</f>
        <v>..</v>
      </c>
      <c r="G131" s="303" t="str">
        <f>IFERROR(G101/'16A'!$B7,"..")</f>
        <v>..</v>
      </c>
      <c r="H131" s="304">
        <f>IFERROR(H101/'16A'!$B7,"..")</f>
        <v>0.44850256876693512</v>
      </c>
      <c r="I131" s="304">
        <f>IFERROR(I101/'16A'!$B7,"..")</f>
        <v>0.43301214996813125</v>
      </c>
      <c r="J131" s="304">
        <f>IFERROR(J101/'16A'!$B7,"..")</f>
        <v>0.50548812830003786</v>
      </c>
      <c r="K131" s="304">
        <f>IFERROR(K101/'16A'!$B7,"..")</f>
        <v>0.41175597739368591</v>
      </c>
      <c r="L131" s="304">
        <f>IFERROR(L101/'16A'!$B7,"..")</f>
        <v>0.42760777445704035</v>
      </c>
      <c r="M131" s="304">
        <f>IFERROR(M101/'16A'!$B7,"..")</f>
        <v>0.3915714432019381</v>
      </c>
      <c r="N131" s="304">
        <f>IFERROR(N101/'16A'!$B7,"..")</f>
        <v>0.41836102248977719</v>
      </c>
      <c r="O131" s="304">
        <f>IFERROR(O101/'16A'!$B7,"..")</f>
        <v>0.39982214437421776</v>
      </c>
      <c r="P131" s="304">
        <f>IFERROR(P101/'16A'!$B7,"..")</f>
        <v>0.59715285399538343</v>
      </c>
      <c r="Q131" s="304">
        <f>IFERROR(Q101/'16A'!$B7,"..")</f>
        <v>0.34807423812289967</v>
      </c>
      <c r="R131" s="304">
        <f>IFERROR(R101/'16A'!$B7,"..")</f>
        <v>0.36637096289538384</v>
      </c>
      <c r="S131" s="304">
        <f>IFERROR(S101/'16A'!$B7,"..")</f>
        <v>0.356451257298185</v>
      </c>
      <c r="T131" s="304">
        <f>IFERROR(T101/'16A'!$B7,"..")</f>
        <v>0.48272229423561203</v>
      </c>
      <c r="U131" s="304">
        <f>IFERROR(U101/'16A'!$B7,"..")</f>
        <v>0.48321936059996512</v>
      </c>
      <c r="V131" s="304">
        <f>IFERROR(V101/'16A'!$B7,"..")</f>
        <v>0.52927327835774163</v>
      </c>
      <c r="W131" s="304">
        <f>IFERROR(W101/'16A'!$B7,"..")</f>
        <v>0.39016151520177733</v>
      </c>
      <c r="X131" s="304" t="str">
        <f>IFERROR(X101/'16A'!$B7,"..")</f>
        <v>..</v>
      </c>
      <c r="Y131" s="304" t="str">
        <f>IFERROR(Y101/'16A'!$B7,"..")</f>
        <v>..</v>
      </c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  <c r="AP131" s="297"/>
    </row>
    <row r="132" spans="1:42">
      <c r="A132" s="223">
        <v>2001</v>
      </c>
      <c r="B132" s="303" t="str">
        <f>IFERROR(B102/'16A'!$B8,"..")</f>
        <v>..</v>
      </c>
      <c r="C132" s="303" t="str">
        <f>IFERROR(C102/'16A'!$B8,"..")</f>
        <v>..</v>
      </c>
      <c r="D132" s="303" t="str">
        <f>IFERROR(D102/'16A'!$B8,"..")</f>
        <v>..</v>
      </c>
      <c r="E132" s="303" t="str">
        <f>IFERROR(E102/'16A'!$B8,"..")</f>
        <v>..</v>
      </c>
      <c r="F132" s="303" t="str">
        <f>IFERROR(F102/'16A'!$B8,"..")</f>
        <v>..</v>
      </c>
      <c r="G132" s="303" t="str">
        <f>IFERROR(G102/'16A'!$B8,"..")</f>
        <v>..</v>
      </c>
      <c r="H132" s="304">
        <f>IFERROR(H102/'16A'!$B8,"..")</f>
        <v>0.39975821319879029</v>
      </c>
      <c r="I132" s="304">
        <f>IFERROR(I102/'16A'!$B8,"..")</f>
        <v>0.38400996934065507</v>
      </c>
      <c r="J132" s="304">
        <f>IFERROR(J102/'16A'!$B8,"..")</f>
        <v>0.42587878723805916</v>
      </c>
      <c r="K132" s="304">
        <f>IFERROR(K102/'16A'!$B8,"..")</f>
        <v>0.38364636281110898</v>
      </c>
      <c r="L132" s="304">
        <f>IFERROR(L102/'16A'!$B8,"..")</f>
        <v>0.39553866938242133</v>
      </c>
      <c r="M132" s="304">
        <f>IFERROR(M102/'16A'!$B8,"..")</f>
        <v>0.36590763749740846</v>
      </c>
      <c r="N132" s="304">
        <f>IFERROR(N102/'16A'!$B8,"..")</f>
        <v>0.41583788357439933</v>
      </c>
      <c r="O132" s="304">
        <f>IFERROR(O102/'16A'!$B8,"..")</f>
        <v>0.36899256729545404</v>
      </c>
      <c r="P132" s="304">
        <f>IFERROR(P102/'16A'!$B8,"..")</f>
        <v>0.57924369841597156</v>
      </c>
      <c r="Q132" s="304">
        <f>IFERROR(Q102/'16A'!$B8,"..")</f>
        <v>0.35640215053513685</v>
      </c>
      <c r="R132" s="304">
        <f>IFERROR(R102/'16A'!$B8,"..")</f>
        <v>0.39915827867653592</v>
      </c>
      <c r="S132" s="304">
        <f>IFERROR(S102/'16A'!$B8,"..")</f>
        <v>0.32577645851809067</v>
      </c>
      <c r="T132" s="304">
        <f>IFERROR(T102/'16A'!$B8,"..")</f>
        <v>0.51347280165416098</v>
      </c>
      <c r="U132" s="304">
        <f>IFERROR(U102/'16A'!$B8,"..")</f>
        <v>0.48388072955135553</v>
      </c>
      <c r="V132" s="304">
        <f>IFERROR(V102/'16A'!$B8,"..")</f>
        <v>0.58140111415125295</v>
      </c>
      <c r="W132" s="304">
        <f>IFERROR(W102/'16A'!$B8,"..")</f>
        <v>0.42599943483732633</v>
      </c>
      <c r="X132" s="304" t="str">
        <f>IFERROR(X102/'16A'!$B8,"..")</f>
        <v>..</v>
      </c>
      <c r="Y132" s="304" t="str">
        <f>IFERROR(Y102/'16A'!$B8,"..")</f>
        <v>..</v>
      </c>
      <c r="Z132" s="297"/>
      <c r="AA132" s="297"/>
      <c r="AB132" s="297"/>
      <c r="AC132" s="297"/>
      <c r="AD132" s="297"/>
      <c r="AE132" s="297"/>
      <c r="AF132" s="297"/>
      <c r="AG132" s="297"/>
      <c r="AH132" s="297"/>
      <c r="AI132" s="297"/>
      <c r="AJ132" s="297"/>
      <c r="AK132" s="297"/>
      <c r="AL132" s="297"/>
      <c r="AM132" s="297"/>
      <c r="AN132" s="297"/>
      <c r="AO132" s="297"/>
      <c r="AP132" s="297"/>
    </row>
    <row r="133" spans="1:42">
      <c r="A133" s="223">
        <v>2002</v>
      </c>
      <c r="B133" s="303" t="str">
        <f>IFERROR(B103/'16A'!$B9,"..")</f>
        <v>..</v>
      </c>
      <c r="C133" s="303" t="str">
        <f>IFERROR(C103/'16A'!$B9,"..")</f>
        <v>..</v>
      </c>
      <c r="D133" s="303" t="str">
        <f>IFERROR(D103/'16A'!$B9,"..")</f>
        <v>..</v>
      </c>
      <c r="E133" s="303" t="str">
        <f>IFERROR(E103/'16A'!$B9,"..")</f>
        <v>..</v>
      </c>
      <c r="F133" s="303" t="str">
        <f>IFERROR(F103/'16A'!$B9,"..")</f>
        <v>..</v>
      </c>
      <c r="G133" s="303" t="str">
        <f>IFERROR(G103/'16A'!$B9,"..")</f>
        <v>..</v>
      </c>
      <c r="H133" s="304">
        <f>IFERROR(H103/'16A'!$B9,"..")</f>
        <v>0.39103392446712404</v>
      </c>
      <c r="I133" s="304">
        <f>IFERROR(I103/'16A'!$B9,"..")</f>
        <v>0.38667992637112431</v>
      </c>
      <c r="J133" s="304">
        <f>IFERROR(J103/'16A'!$B9,"..")</f>
        <v>0.40346142608553703</v>
      </c>
      <c r="K133" s="304">
        <f>IFERROR(K103/'16A'!$B9,"..")</f>
        <v>0.38203350415706944</v>
      </c>
      <c r="L133" s="304">
        <f>IFERROR(L103/'16A'!$B9,"..")</f>
        <v>0.40794802666944896</v>
      </c>
      <c r="M133" s="304">
        <f>IFERROR(M103/'16A'!$B9,"..")</f>
        <v>0.33089806013883555</v>
      </c>
      <c r="N133" s="304">
        <f>IFERROR(N103/'16A'!$B9,"..")</f>
        <v>0.39729431117157454</v>
      </c>
      <c r="O133" s="304">
        <f>IFERROR(O103/'16A'!$B9,"..")</f>
        <v>0.34604055980907794</v>
      </c>
      <c r="P133" s="304">
        <f>IFERROR(P103/'16A'!$B9,"..")</f>
        <v>0.54327147454748081</v>
      </c>
      <c r="Q133" s="304">
        <f>IFERROR(Q103/'16A'!$B9,"..")</f>
        <v>0.34262487978967276</v>
      </c>
      <c r="R133" s="304">
        <f>IFERROR(R103/'16A'!$B9,"..")</f>
        <v>0.36492568124752717</v>
      </c>
      <c r="S133" s="304">
        <f>IFERROR(S103/'16A'!$B9,"..")</f>
        <v>0.32772852493430643</v>
      </c>
      <c r="T133" s="304">
        <f>IFERROR(T103/'16A'!$B9,"..")</f>
        <v>0.46927234092090142</v>
      </c>
      <c r="U133" s="304">
        <f>IFERROR(U103/'16A'!$B9,"..")</f>
        <v>0.49212834249837395</v>
      </c>
      <c r="V133" s="304">
        <f>IFERROR(V103/'16A'!$B9,"..")</f>
        <v>0.49900813142071709</v>
      </c>
      <c r="W133" s="304">
        <f>IFERROR(W103/'16A'!$B9,"..")</f>
        <v>0.37548159967794764</v>
      </c>
      <c r="X133" s="304">
        <f>IFERROR(X103/'16A'!$B9,"..")</f>
        <v>0.3751764814756407</v>
      </c>
      <c r="Y133" s="304">
        <f>IFERROR(Y103/'16A'!$B9,"..")</f>
        <v>0.3594247915009251</v>
      </c>
      <c r="Z133" s="297"/>
      <c r="AA133" s="297"/>
      <c r="AB133" s="297"/>
      <c r="AC133" s="297"/>
      <c r="AD133" s="297"/>
      <c r="AE133" s="297"/>
      <c r="AF133" s="297"/>
      <c r="AG133" s="297"/>
      <c r="AH133" s="297"/>
      <c r="AI133" s="297"/>
      <c r="AJ133" s="297"/>
      <c r="AK133" s="297"/>
      <c r="AL133" s="297"/>
      <c r="AM133" s="297"/>
      <c r="AN133" s="297"/>
      <c r="AO133" s="297"/>
      <c r="AP133" s="297"/>
    </row>
    <row r="134" spans="1:42">
      <c r="A134" s="223">
        <v>2003</v>
      </c>
      <c r="B134" s="303" t="str">
        <f>IFERROR(B104/'16A'!$B10,"..")</f>
        <v>..</v>
      </c>
      <c r="C134" s="303" t="str">
        <f>IFERROR(C104/'16A'!$B10,"..")</f>
        <v>..</v>
      </c>
      <c r="D134" s="303" t="str">
        <f>IFERROR(D104/'16A'!$B10,"..")</f>
        <v>..</v>
      </c>
      <c r="E134" s="303" t="str">
        <f>IFERROR(E104/'16A'!$B10,"..")</f>
        <v>..</v>
      </c>
      <c r="F134" s="303" t="str">
        <f>IFERROR(F104/'16A'!$B10,"..")</f>
        <v>..</v>
      </c>
      <c r="G134" s="303" t="str">
        <f>IFERROR(G104/'16A'!$B10,"..")</f>
        <v>..</v>
      </c>
      <c r="H134" s="304">
        <f>IFERROR(H104/'16A'!$B10,"..")</f>
        <v>0.46123689093710468</v>
      </c>
      <c r="I134" s="304">
        <f>IFERROR(I104/'16A'!$B10,"..")</f>
        <v>0.49364977789588627</v>
      </c>
      <c r="J134" s="304">
        <f>IFERROR(J104/'16A'!$B10,"..")</f>
        <v>0.46289418130504156</v>
      </c>
      <c r="K134" s="304">
        <f>IFERROR(K104/'16A'!$B10,"..")</f>
        <v>0.45168544474313255</v>
      </c>
      <c r="L134" s="304">
        <f>IFERROR(L104/'16A'!$B10,"..")</f>
        <v>0.4893054690631502</v>
      </c>
      <c r="M134" s="304">
        <f>IFERROR(M104/'16A'!$B10,"..")</f>
        <v>0.37779322847299573</v>
      </c>
      <c r="N134" s="304">
        <f>IFERROR(N104/'16A'!$B10,"..")</f>
        <v>0.44133081256009715</v>
      </c>
      <c r="O134" s="304">
        <f>IFERROR(O104/'16A'!$B10,"..")</f>
        <v>0.39785974490735843</v>
      </c>
      <c r="P134" s="304">
        <f>IFERROR(P104/'16A'!$B10,"..")</f>
        <v>0.58330079446836303</v>
      </c>
      <c r="Q134" s="304">
        <f>IFERROR(Q104/'16A'!$B10,"..")</f>
        <v>0.38669160092243948</v>
      </c>
      <c r="R134" s="304">
        <f>IFERROR(R104/'16A'!$B10,"..")</f>
        <v>0.41386288836683927</v>
      </c>
      <c r="S134" s="304">
        <f>IFERROR(S104/'16A'!$B10,"..")</f>
        <v>0.3665022796120298</v>
      </c>
      <c r="T134" s="304">
        <f>IFERROR(T104/'16A'!$B10,"..")</f>
        <v>0.52868244656069563</v>
      </c>
      <c r="U134" s="304">
        <f>IFERROR(U104/'16A'!$B10,"..")</f>
        <v>0.52968744653899857</v>
      </c>
      <c r="V134" s="304">
        <f>IFERROR(V104/'16A'!$B10,"..")</f>
        <v>0.55875240740558352</v>
      </c>
      <c r="W134" s="304">
        <f>IFERROR(W104/'16A'!$B10,"..")</f>
        <v>0.46379384524247469</v>
      </c>
      <c r="X134" s="304">
        <f>IFERROR(X104/'16A'!$B10,"..")</f>
        <v>0.46220314505308602</v>
      </c>
      <c r="Y134" s="304">
        <f>IFERROR(Y104/'16A'!$B10,"..")</f>
        <v>0.4584748656410656</v>
      </c>
      <c r="Z134" s="297"/>
      <c r="AA134" s="297"/>
      <c r="AB134" s="297"/>
      <c r="AC134" s="297"/>
      <c r="AD134" s="297"/>
      <c r="AE134" s="297"/>
      <c r="AF134" s="297"/>
      <c r="AG134" s="297"/>
      <c r="AH134" s="297"/>
      <c r="AI134" s="297"/>
      <c r="AJ134" s="297"/>
      <c r="AK134" s="297"/>
      <c r="AL134" s="297"/>
      <c r="AM134" s="297"/>
      <c r="AN134" s="297"/>
      <c r="AO134" s="297"/>
      <c r="AP134" s="297"/>
    </row>
    <row r="135" spans="1:42">
      <c r="A135" s="223">
        <v>2004</v>
      </c>
      <c r="B135" s="303" t="str">
        <f>IFERROR(B105/'16A'!$B11,"..")</f>
        <v>..</v>
      </c>
      <c r="C135" s="303" t="str">
        <f>IFERROR(C105/'16A'!$B11,"..")</f>
        <v>..</v>
      </c>
      <c r="D135" s="303" t="str">
        <f>IFERROR(D105/'16A'!$B11,"..")</f>
        <v>..</v>
      </c>
      <c r="E135" s="303" t="str">
        <f>IFERROR(E105/'16A'!$B11,"..")</f>
        <v>..</v>
      </c>
      <c r="F135" s="303" t="str">
        <f>IFERROR(F105/'16A'!$B11,"..")</f>
        <v>..</v>
      </c>
      <c r="G135" s="303" t="str">
        <f>IFERROR(G105/'16A'!$B11,"..")</f>
        <v>..</v>
      </c>
      <c r="H135" s="304">
        <f>IFERROR(H105/'16A'!$B11,"..")</f>
        <v>0.53933348834131267</v>
      </c>
      <c r="I135" s="304">
        <f>IFERROR(I105/'16A'!$B11,"..")</f>
        <v>0.48889073456099102</v>
      </c>
      <c r="J135" s="304">
        <f>IFERROR(J105/'16A'!$B11,"..")</f>
        <v>0.54946929635676811</v>
      </c>
      <c r="K135" s="304">
        <f>IFERROR(K105/'16A'!$B11,"..")</f>
        <v>0.54646933763448646</v>
      </c>
      <c r="L135" s="304">
        <f>IFERROR(L105/'16A'!$B11,"..")</f>
        <v>0.62455005463269986</v>
      </c>
      <c r="M135" s="304">
        <f>IFERROR(M105/'16A'!$B11,"..")</f>
        <v>0.40669117631592155</v>
      </c>
      <c r="N135" s="304">
        <f>IFERROR(N105/'16A'!$B11,"..")</f>
        <v>0.49286975407097405</v>
      </c>
      <c r="O135" s="304">
        <f>IFERROR(O105/'16A'!$B11,"..")</f>
        <v>0.46912460051257471</v>
      </c>
      <c r="P135" s="304">
        <f>IFERROR(P105/'16A'!$B11,"..")</f>
        <v>0.65282564625354667</v>
      </c>
      <c r="Q135" s="304">
        <f>IFERROR(Q105/'16A'!$B11,"..")</f>
        <v>0.42634981385397053</v>
      </c>
      <c r="R135" s="304">
        <f>IFERROR(R105/'16A'!$B11,"..")</f>
        <v>0.41696048995688956</v>
      </c>
      <c r="S135" s="304">
        <f>IFERROR(S105/'16A'!$B11,"..")</f>
        <v>0.43446853809572733</v>
      </c>
      <c r="T135" s="304">
        <f>IFERROR(T105/'16A'!$B11,"..")</f>
        <v>0.57380459291116825</v>
      </c>
      <c r="U135" s="304">
        <f>IFERROR(U105/'16A'!$B11,"..")</f>
        <v>0.54202322688776017</v>
      </c>
      <c r="V135" s="304">
        <f>IFERROR(V105/'16A'!$B11,"..")</f>
        <v>0.62076899946695374</v>
      </c>
      <c r="W135" s="304">
        <f>IFERROR(W105/'16A'!$B11,"..")</f>
        <v>0.51689315657437407</v>
      </c>
      <c r="X135" s="304">
        <f>IFERROR(X105/'16A'!$B11,"..")</f>
        <v>0.51696418031198366</v>
      </c>
      <c r="Y135" s="304">
        <f>IFERROR(Y105/'16A'!$B11,"..")</f>
        <v>0.49664552252680227</v>
      </c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  <c r="AP135" s="297"/>
    </row>
    <row r="136" spans="1:42">
      <c r="A136" s="223">
        <v>2005</v>
      </c>
      <c r="B136" s="303" t="str">
        <f>IFERROR(B106/'16A'!$B12,"..")</f>
        <v>..</v>
      </c>
      <c r="C136" s="303" t="str">
        <f>IFERROR(C106/'16A'!$B12,"..")</f>
        <v>..</v>
      </c>
      <c r="D136" s="303" t="str">
        <f>IFERROR(D106/'16A'!$B12,"..")</f>
        <v>..</v>
      </c>
      <c r="E136" s="303" t="str">
        <f>IFERROR(E106/'16A'!$B12,"..")</f>
        <v>..</v>
      </c>
      <c r="F136" s="303" t="str">
        <f>IFERROR(F106/'16A'!$B12,"..")</f>
        <v>..</v>
      </c>
      <c r="G136" s="303" t="str">
        <f>IFERROR(G106/'16A'!$B12,"..")</f>
        <v>..</v>
      </c>
      <c r="H136" s="304">
        <f>IFERROR(H106/'16A'!$B12,"..")</f>
        <v>0.56548777411350137</v>
      </c>
      <c r="I136" s="304">
        <f>IFERROR(I106/'16A'!$B12,"..")</f>
        <v>0.50803656854925505</v>
      </c>
      <c r="J136" s="304">
        <f>IFERROR(J106/'16A'!$B12,"..")</f>
        <v>0.54125046769345986</v>
      </c>
      <c r="K136" s="304">
        <f>IFERROR(K106/'16A'!$B12,"..")</f>
        <v>0.60438106947103809</v>
      </c>
      <c r="L136" s="304">
        <f>IFERROR(L106/'16A'!$B12,"..")</f>
        <v>0.67037843855265822</v>
      </c>
      <c r="M136" s="304">
        <f>IFERROR(M106/'16A'!$B12,"..")</f>
        <v>0.473745548407422</v>
      </c>
      <c r="N136" s="304">
        <f>IFERROR(N106/'16A'!$B12,"..")</f>
        <v>0.54380412642582809</v>
      </c>
      <c r="O136" s="304">
        <f>IFERROR(O106/'16A'!$B12,"..")</f>
        <v>0.51907543444975579</v>
      </c>
      <c r="P136" s="304">
        <f>IFERROR(P106/'16A'!$B12,"..")</f>
        <v>0.68623461709231282</v>
      </c>
      <c r="Q136" s="304">
        <f>IFERROR(Q106/'16A'!$B12,"..")</f>
        <v>0.48104532930333144</v>
      </c>
      <c r="R136" s="304">
        <f>IFERROR(R106/'16A'!$B12,"..")</f>
        <v>0.46613912336903368</v>
      </c>
      <c r="S136" s="304">
        <f>IFERROR(S106/'16A'!$B12,"..")</f>
        <v>0.49189105768825647</v>
      </c>
      <c r="T136" s="304">
        <f>IFERROR(T106/'16A'!$B12,"..")</f>
        <v>0.61614505533521191</v>
      </c>
      <c r="U136" s="304">
        <f>IFERROR(U106/'16A'!$B12,"..")</f>
        <v>0.60738900584198896</v>
      </c>
      <c r="V136" s="304">
        <f>IFERROR(V106/'16A'!$B12,"..")</f>
        <v>0.63641738010175619</v>
      </c>
      <c r="W136" s="304">
        <f>IFERROR(W106/'16A'!$B12,"..")</f>
        <v>0.58166467412811618</v>
      </c>
      <c r="X136" s="304">
        <f>IFERROR(X106/'16A'!$B12,"..")</f>
        <v>0.58126294978699111</v>
      </c>
      <c r="Y136" s="304">
        <f>IFERROR(Y106/'16A'!$B12,"..")</f>
        <v>0.56427582353422945</v>
      </c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  <c r="AP136" s="297"/>
    </row>
    <row r="137" spans="1:42">
      <c r="A137" s="223">
        <v>2006</v>
      </c>
      <c r="B137" s="303" t="str">
        <f>IFERROR(B107/'16A'!$B13,"..")</f>
        <v>..</v>
      </c>
      <c r="C137" s="303" t="str">
        <f>IFERROR(C107/'16A'!$B13,"..")</f>
        <v>..</v>
      </c>
      <c r="D137" s="303" t="str">
        <f>IFERROR(D107/'16A'!$B13,"..")</f>
        <v>..</v>
      </c>
      <c r="E137" s="303" t="str">
        <f>IFERROR(E107/'16A'!$B13,"..")</f>
        <v>..</v>
      </c>
      <c r="F137" s="303" t="str">
        <f>IFERROR(F107/'16A'!$B13,"..")</f>
        <v>..</v>
      </c>
      <c r="G137" s="303" t="str">
        <f>IFERROR(G107/'16A'!$B13,"..")</f>
        <v>..</v>
      </c>
      <c r="H137" s="304">
        <f>IFERROR(H107/'16A'!$B13,"..")</f>
        <v>0.6024733739401259</v>
      </c>
      <c r="I137" s="304">
        <f>IFERROR(I107/'16A'!$B13,"..")</f>
        <v>0.57140758895546684</v>
      </c>
      <c r="J137" s="304">
        <f>IFERROR(J107/'16A'!$B13,"..")</f>
        <v>0.53979123043732657</v>
      </c>
      <c r="K137" s="304">
        <f>IFERROR(K107/'16A'!$B13,"..")</f>
        <v>0.66867967389611227</v>
      </c>
      <c r="L137" s="304">
        <f>IFERROR(L107/'16A'!$B13,"..")</f>
        <v>0.74626481259797794</v>
      </c>
      <c r="M137" s="304">
        <f>IFERROR(M107/'16A'!$B13,"..")</f>
        <v>0.51316714571431321</v>
      </c>
      <c r="N137" s="304">
        <f>IFERROR(N107/'16A'!$B13,"..")</f>
        <v>0.62092314297999018</v>
      </c>
      <c r="O137" s="304">
        <f>IFERROR(O107/'16A'!$B13,"..")</f>
        <v>0.61441495205789876</v>
      </c>
      <c r="P137" s="304">
        <f>IFERROR(P107/'16A'!$B13,"..")</f>
        <v>0.71778462186628456</v>
      </c>
      <c r="Q137" s="304">
        <f>IFERROR(Q107/'16A'!$B13,"..")</f>
        <v>0.56825851413763406</v>
      </c>
      <c r="R137" s="304">
        <f>IFERROR(R107/'16A'!$B13,"..")</f>
        <v>0.54835762809672206</v>
      </c>
      <c r="S137" s="304">
        <f>IFERROR(S107/'16A'!$B13,"..")</f>
        <v>0.57998071968075537</v>
      </c>
      <c r="T137" s="304">
        <f>IFERROR(T107/'16A'!$B13,"..")</f>
        <v>0.62270884360727929</v>
      </c>
      <c r="U137" s="304">
        <f>IFERROR(U107/'16A'!$B13,"..")</f>
        <v>0.59388894527236358</v>
      </c>
      <c r="V137" s="304">
        <f>IFERROR(V107/'16A'!$B13,"..")</f>
        <v>0.64141053586701069</v>
      </c>
      <c r="W137" s="304">
        <f>IFERROR(W107/'16A'!$B13,"..")</f>
        <v>0.61837372437144311</v>
      </c>
      <c r="X137" s="304">
        <f>IFERROR(X107/'16A'!$B13,"..")</f>
        <v>0.6149039753153035</v>
      </c>
      <c r="Y137" s="304">
        <f>IFERROR(Y107/'16A'!$B13,"..")</f>
        <v>0.63735643349812998</v>
      </c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  <c r="AP137" s="297"/>
    </row>
    <row r="138" spans="1:42">
      <c r="A138" s="223">
        <v>2007</v>
      </c>
      <c r="B138" s="303" t="str">
        <f>IFERROR(B108/'16A'!$B14,"..")</f>
        <v>..</v>
      </c>
      <c r="C138" s="303" t="str">
        <f>IFERROR(C108/'16A'!$B14,"..")</f>
        <v>..</v>
      </c>
      <c r="D138" s="303" t="str">
        <f>IFERROR(D108/'16A'!$B14,"..")</f>
        <v>..</v>
      </c>
      <c r="E138" s="303" t="str">
        <f>IFERROR(E108/'16A'!$B14,"..")</f>
        <v>..</v>
      </c>
      <c r="F138" s="303" t="str">
        <f>IFERROR(F108/'16A'!$B14,"..")</f>
        <v>..</v>
      </c>
      <c r="G138" s="303" t="str">
        <f>IFERROR(G108/'16A'!$B14,"..")</f>
        <v>..</v>
      </c>
      <c r="H138" s="304">
        <f>IFERROR(H108/'16A'!$B14,"..")</f>
        <v>0.64345147195667673</v>
      </c>
      <c r="I138" s="304">
        <f>IFERROR(I108/'16A'!$B14,"..")</f>
        <v>0.64265649080160403</v>
      </c>
      <c r="J138" s="304">
        <f>IFERROR(J108/'16A'!$B14,"..")</f>
        <v>0.57087596109361816</v>
      </c>
      <c r="K138" s="304">
        <f>IFERROR(K108/'16A'!$B14,"..")</f>
        <v>0.70334362128505612</v>
      </c>
      <c r="L138" s="304">
        <f>IFERROR(L108/'16A'!$B14,"..")</f>
        <v>0.7631292050002999</v>
      </c>
      <c r="M138" s="304">
        <f>IFERROR(M108/'16A'!$B14,"..")</f>
        <v>0.58579204489262227</v>
      </c>
      <c r="N138" s="304">
        <f>IFERROR(N108/'16A'!$B14,"..")</f>
        <v>0.64319256838753325</v>
      </c>
      <c r="O138" s="304">
        <f>IFERROR(O108/'16A'!$B14,"..")</f>
        <v>0.68514648554643176</v>
      </c>
      <c r="P138" s="304">
        <f>IFERROR(P108/'16A'!$B14,"..")</f>
        <v>0.74059155041333158</v>
      </c>
      <c r="Q138" s="304">
        <f>IFERROR(Q108/'16A'!$B14,"..")</f>
        <v>0.58491574926575696</v>
      </c>
      <c r="R138" s="304">
        <f>IFERROR(R108/'16A'!$B14,"..")</f>
        <v>0.55131660951646566</v>
      </c>
      <c r="S138" s="304">
        <f>IFERROR(S108/'16A'!$B14,"..")</f>
        <v>0.60665324301086976</v>
      </c>
      <c r="T138" s="304">
        <f>IFERROR(T108/'16A'!$B14,"..")</f>
        <v>0.64537099162777489</v>
      </c>
      <c r="U138" s="304">
        <f>IFERROR(U108/'16A'!$B14,"..")</f>
        <v>0.62163877289549951</v>
      </c>
      <c r="V138" s="304">
        <f>IFERROR(V108/'16A'!$B14,"..")</f>
        <v>0.65115298835135305</v>
      </c>
      <c r="W138" s="304">
        <f>IFERROR(W108/'16A'!$B14,"..")</f>
        <v>0.66314518844672377</v>
      </c>
      <c r="X138" s="304">
        <f>IFERROR(X108/'16A'!$B14,"..")</f>
        <v>0.65927658418808988</v>
      </c>
      <c r="Y138" s="304">
        <f>IFERROR(Y108/'16A'!$B14,"..")</f>
        <v>0.69961284049810091</v>
      </c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</row>
    <row r="139" spans="1:42">
      <c r="A139" s="223">
        <v>2008</v>
      </c>
      <c r="B139" s="303" t="str">
        <f>IFERROR(B109/'16A'!$B15,"..")</f>
        <v>..</v>
      </c>
      <c r="C139" s="303" t="str">
        <f>IFERROR(C109/'16A'!$B15,"..")</f>
        <v>..</v>
      </c>
      <c r="D139" s="303" t="str">
        <f>IFERROR(D109/'16A'!$B15,"..")</f>
        <v>..</v>
      </c>
      <c r="E139" s="303" t="str">
        <f>IFERROR(E109/'16A'!$B15,"..")</f>
        <v>..</v>
      </c>
      <c r="F139" s="303" t="str">
        <f>IFERROR(F109/'16A'!$B15,"..")</f>
        <v>..</v>
      </c>
      <c r="G139" s="303" t="str">
        <f>IFERROR(G109/'16A'!$B15,"..")</f>
        <v>..</v>
      </c>
      <c r="H139" s="304">
        <f>IFERROR(H109/'16A'!$B15,"..")</f>
        <v>0.6508183275033691</v>
      </c>
      <c r="I139" s="304">
        <f>IFERROR(I109/'16A'!$B15,"..")</f>
        <v>0.75898488714485479</v>
      </c>
      <c r="J139" s="304">
        <f>IFERROR(J109/'16A'!$B15,"..")</f>
        <v>0.55265495013211796</v>
      </c>
      <c r="K139" s="304">
        <f>IFERROR(K109/'16A'!$B15,"..")</f>
        <v>0.70081963621439269</v>
      </c>
      <c r="L139" s="304">
        <f>IFERROR(L109/'16A'!$B15,"..")</f>
        <v>0.77547009646423359</v>
      </c>
      <c r="M139" s="304">
        <f>IFERROR(M109/'16A'!$B15,"..")</f>
        <v>0.56846177440134171</v>
      </c>
      <c r="N139" s="304">
        <f>IFERROR(N109/'16A'!$B15,"..")</f>
        <v>0.64709890012530025</v>
      </c>
      <c r="O139" s="304">
        <f>IFERROR(O109/'16A'!$B15,"..")</f>
        <v>0.67700924598923695</v>
      </c>
      <c r="P139" s="304">
        <f>IFERROR(P109/'16A'!$B15,"..")</f>
        <v>0.75214523914057307</v>
      </c>
      <c r="Q139" s="304">
        <f>IFERROR(Q109/'16A'!$B15,"..")</f>
        <v>0.58988366852519125</v>
      </c>
      <c r="R139" s="304">
        <f>IFERROR(R109/'16A'!$B15,"..")</f>
        <v>0.55490437870351794</v>
      </c>
      <c r="S139" s="304">
        <f>IFERROR(S109/'16A'!$B15,"..")</f>
        <v>0.61276417169442876</v>
      </c>
      <c r="T139" s="304">
        <f>IFERROR(T109/'16A'!$B15,"..")</f>
        <v>0.63586213767465771</v>
      </c>
      <c r="U139" s="304">
        <f>IFERROR(U109/'16A'!$B15,"..")</f>
        <v>0.58775242443895903</v>
      </c>
      <c r="V139" s="304">
        <f>IFERROR(V109/'16A'!$B15,"..")</f>
        <v>0.65379421834317564</v>
      </c>
      <c r="W139" s="304">
        <f>IFERROR(W109/'16A'!$B15,"..")</f>
        <v>0.65961947038405744</v>
      </c>
      <c r="X139" s="304">
        <f>IFERROR(X109/'16A'!$B15,"..")</f>
        <v>0.6546776279142198</v>
      </c>
      <c r="Y139" s="304">
        <f>IFERROR(Y109/'16A'!$B15,"..")</f>
        <v>0.7047303014873747</v>
      </c>
      <c r="Z139" s="297"/>
      <c r="AA139" s="297"/>
      <c r="AB139" s="297"/>
      <c r="AC139" s="297"/>
      <c r="AD139" s="297"/>
      <c r="AE139" s="297"/>
      <c r="AF139" s="297"/>
      <c r="AG139" s="297"/>
      <c r="AH139" s="297"/>
      <c r="AI139" s="297"/>
      <c r="AJ139" s="297"/>
      <c r="AK139" s="297"/>
      <c r="AL139" s="297"/>
      <c r="AM139" s="297"/>
      <c r="AN139" s="297"/>
      <c r="AO139" s="297"/>
      <c r="AP139" s="297"/>
    </row>
    <row r="140" spans="1:42">
      <c r="A140" s="223">
        <v>2009</v>
      </c>
      <c r="B140" s="303" t="str">
        <f>IFERROR(B110/'16A'!$B16,"..")</f>
        <v>..</v>
      </c>
      <c r="C140" s="303" t="str">
        <f>IFERROR(C110/'16A'!$B16,"..")</f>
        <v>..</v>
      </c>
      <c r="D140" s="303" t="str">
        <f>IFERROR(D110/'16A'!$B16,"..")</f>
        <v>..</v>
      </c>
      <c r="E140" s="303" t="str">
        <f>IFERROR(E110/'16A'!$B16,"..")</f>
        <v>..</v>
      </c>
      <c r="F140" s="303" t="str">
        <f>IFERROR(F110/'16A'!$B16,"..")</f>
        <v>..</v>
      </c>
      <c r="G140" s="303" t="str">
        <f>IFERROR(G110/'16A'!$B16,"..")</f>
        <v>..</v>
      </c>
      <c r="H140" s="304">
        <f>IFERROR(H110/'16A'!$B16,"..")</f>
        <v>0.60315874327629604</v>
      </c>
      <c r="I140" s="304">
        <f>IFERROR(I110/'16A'!$B16,"..")</f>
        <v>0.7781380650880676</v>
      </c>
      <c r="J140" s="304">
        <f>IFERROR(J110/'16A'!$B16,"..")</f>
        <v>0.51949049112446744</v>
      </c>
      <c r="K140" s="304">
        <f>IFERROR(K110/'16A'!$B16,"..")</f>
        <v>0.61835158808185431</v>
      </c>
      <c r="L140" s="304">
        <f>IFERROR(L110/'16A'!$B16,"..")</f>
        <v>0.67144901054377759</v>
      </c>
      <c r="M140" s="304">
        <f>IFERROR(M110/'16A'!$B16,"..")</f>
        <v>0.53383798108704783</v>
      </c>
      <c r="N140" s="304">
        <f>IFERROR(N110/'16A'!$B16,"..")</f>
        <v>0.70692748751993606</v>
      </c>
      <c r="O140" s="304">
        <f>IFERROR(O110/'16A'!$B16,"..")</f>
        <v>0.6364574896234314</v>
      </c>
      <c r="P140" s="304">
        <f>IFERROR(P110/'16A'!$B16,"..")</f>
        <v>0.79338159211011339</v>
      </c>
      <c r="Q140" s="304">
        <f>IFERROR(Q110/'16A'!$B16,"..")</f>
        <v>0.67981729176199879</v>
      </c>
      <c r="R140" s="304">
        <f>IFERROR(R110/'16A'!$B16,"..")</f>
        <v>0.74145620793547273</v>
      </c>
      <c r="S140" s="304">
        <f>IFERROR(S110/'16A'!$B16,"..")</f>
        <v>0.64732032541198536</v>
      </c>
      <c r="T140" s="304">
        <f>IFERROR(T110/'16A'!$B16,"..")</f>
        <v>0.68853502430678026</v>
      </c>
      <c r="U140" s="304">
        <f>IFERROR(U110/'16A'!$B16,"..")</f>
        <v>0.60398370024450154</v>
      </c>
      <c r="V140" s="304">
        <f>IFERROR(V110/'16A'!$B16,"..")</f>
        <v>0.63862925677381688</v>
      </c>
      <c r="W140" s="304">
        <f>IFERROR(W110/'16A'!$B16,"..")</f>
        <v>0.9166779535279298</v>
      </c>
      <c r="X140" s="304">
        <f>IFERROR(X110/'16A'!$B16,"..")</f>
        <v>0.92877227951163577</v>
      </c>
      <c r="Y140" s="304">
        <f>IFERROR(Y110/'16A'!$B16,"..")</f>
        <v>0.81531847038524774</v>
      </c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/>
      <c r="AM140" s="297"/>
      <c r="AN140" s="297"/>
      <c r="AO140" s="297"/>
      <c r="AP140" s="297"/>
    </row>
    <row r="141" spans="1:42">
      <c r="A141" s="223">
        <v>2010</v>
      </c>
      <c r="B141" s="303" t="str">
        <f>IFERROR(B111/'16A'!$B17,"..")</f>
        <v>..</v>
      </c>
      <c r="C141" s="303" t="str">
        <f>IFERROR(C111/'16A'!$B17,"..")</f>
        <v>..</v>
      </c>
      <c r="D141" s="303" t="str">
        <f>IFERROR(D111/'16A'!$B17,"..")</f>
        <v>..</v>
      </c>
      <c r="E141" s="303" t="str">
        <f>IFERROR(E111/'16A'!$B17,"..")</f>
        <v>..</v>
      </c>
      <c r="F141" s="303" t="str">
        <f>IFERROR(F111/'16A'!$B17,"..")</f>
        <v>..</v>
      </c>
      <c r="G141" s="303" t="str">
        <f>IFERROR(G111/'16A'!$B17,"..")</f>
        <v>..</v>
      </c>
      <c r="H141" s="304">
        <f>IFERROR(H111/'16A'!$B17,"..")</f>
        <v>0.65103848704203138</v>
      </c>
      <c r="I141" s="304">
        <f>IFERROR(I111/'16A'!$B17,"..")</f>
        <v>0.60413898926613896</v>
      </c>
      <c r="J141" s="304">
        <f>IFERROR(J111/'16A'!$B17,"..")</f>
        <v>0.64560961512772364</v>
      </c>
      <c r="K141" s="304">
        <f>IFERROR(K111/'16A'!$B17,"..")</f>
        <v>0.67034101300925619</v>
      </c>
      <c r="L141" s="304">
        <f>IFERROR(L111/'16A'!$B17,"..")</f>
        <v>0.682189315878869</v>
      </c>
      <c r="M141" s="304">
        <f>IFERROR(M111/'16A'!$B17,"..")</f>
        <v>0.65061392131482942</v>
      </c>
      <c r="N141" s="304">
        <f>IFERROR(N111/'16A'!$B17,"..")</f>
        <v>0.73648119211565322</v>
      </c>
      <c r="O141" s="304">
        <f>IFERROR(O111/'16A'!$B17,"..")</f>
        <v>0.63780930134204616</v>
      </c>
      <c r="P141" s="304">
        <f>IFERROR(P111/'16A'!$B17,"..")</f>
        <v>0.87089354789029449</v>
      </c>
      <c r="Q141" s="304">
        <f>IFERROR(Q111/'16A'!$B17,"..")</f>
        <v>0.69343263447626802</v>
      </c>
      <c r="R141" s="304">
        <f>IFERROR(R111/'16A'!$B17,"..")</f>
        <v>0.68300843400561928</v>
      </c>
      <c r="S141" s="304">
        <f>IFERROR(S111/'16A'!$B17,"..")</f>
        <v>0.69930430417943634</v>
      </c>
      <c r="T141" s="304">
        <f>IFERROR(T111/'16A'!$B17,"..")</f>
        <v>0.68086791210039144</v>
      </c>
      <c r="U141" s="304">
        <f>IFERROR(U111/'16A'!$B17,"..")</f>
        <v>0.63511806474609211</v>
      </c>
      <c r="V141" s="304">
        <f>IFERROR(V111/'16A'!$B17,"..")</f>
        <v>0.65476063109147487</v>
      </c>
      <c r="W141" s="304">
        <f>IFERROR(W111/'16A'!$B17,"..")</f>
        <v>0.79949999284147644</v>
      </c>
      <c r="X141" s="304">
        <f>IFERROR(X111/'16A'!$B17,"..")</f>
        <v>0.79372184480183727</v>
      </c>
      <c r="Y141" s="304">
        <f>IFERROR(Y111/'16A'!$B17,"..")</f>
        <v>0.89543836488996142</v>
      </c>
      <c r="Z141" s="297"/>
      <c r="AA141" s="297"/>
      <c r="AB141" s="297"/>
      <c r="AC141" s="297"/>
      <c r="AD141" s="297"/>
      <c r="AE141" s="297"/>
      <c r="AF141" s="297"/>
      <c r="AG141" s="297"/>
      <c r="AH141" s="297"/>
      <c r="AI141" s="297"/>
      <c r="AJ141" s="297"/>
      <c r="AK141" s="297"/>
      <c r="AL141" s="297"/>
      <c r="AM141" s="297"/>
      <c r="AN141" s="297"/>
      <c r="AO141" s="297"/>
      <c r="AP141" s="297"/>
    </row>
    <row r="142" spans="1:42">
      <c r="A142" s="223">
        <v>2011</v>
      </c>
      <c r="B142" s="190" t="str">
        <f t="shared" ref="B142:B144" si="46">IFERROR(C142+D142+E142,"..")</f>
        <v>..</v>
      </c>
      <c r="C142" s="303" t="str">
        <f>IFERROR(C112/'16A'!$B18,"..")</f>
        <v>..</v>
      </c>
      <c r="D142" s="303" t="str">
        <f>IFERROR(D112/'16A'!$B18,"..")</f>
        <v>..</v>
      </c>
      <c r="E142" s="303" t="str">
        <f>IFERROR(E112/'16A'!$B18,"..")</f>
        <v>..</v>
      </c>
      <c r="F142" s="303" t="str">
        <f>IFERROR(F112/'16A'!$B18,"..")</f>
        <v>..</v>
      </c>
      <c r="G142" s="303" t="str">
        <f>IFERROR(G112/'16A'!$B18,"..")</f>
        <v>..</v>
      </c>
      <c r="H142" s="304">
        <f>IFERROR(H112/'16A'!$B18,"..")</f>
        <v>0.66265130015882079</v>
      </c>
      <c r="I142" s="304">
        <f>IFERROR(I112/'16A'!$B18,"..")</f>
        <v>0.67763985002046201</v>
      </c>
      <c r="J142" s="304">
        <f>IFERROR(J112/'16A'!$B18,"..")</f>
        <v>0.63149961996161097</v>
      </c>
      <c r="K142" s="304">
        <f>IFERROR(K112/'16A'!$B18,"..")</f>
        <v>0.68381009085440858</v>
      </c>
      <c r="L142" s="304">
        <f>IFERROR(L112/'16A'!$B18,"..")</f>
        <v>0.67707144172457856</v>
      </c>
      <c r="M142" s="304">
        <f>IFERROR(M112/'16A'!$B18,"..")</f>
        <v>0.6988788494753696</v>
      </c>
      <c r="N142" s="304">
        <f>IFERROR(N112/'16A'!$B18,"..")</f>
        <v>0.77431161618182265</v>
      </c>
      <c r="O142" s="304">
        <f>IFERROR(O112/'16A'!$B18,"..")</f>
        <v>0.75292752253870865</v>
      </c>
      <c r="P142" s="304">
        <f>IFERROR(P112/'16A'!$B18,"..")</f>
        <v>0.89194842065862734</v>
      </c>
      <c r="Q142" s="304">
        <f>IFERROR(Q112/'16A'!$B18,"..")</f>
        <v>0.72753048081055227</v>
      </c>
      <c r="R142" s="304">
        <f>IFERROR(R112/'16A'!$B18,"..")</f>
        <v>0.72895363291869386</v>
      </c>
      <c r="S142" s="304">
        <f>IFERROR(S112/'16A'!$B18,"..")</f>
        <v>0.72455505187186087</v>
      </c>
      <c r="T142" s="304">
        <f>IFERROR(T112/'16A'!$B18,"..")</f>
        <v>0.68273968311032729</v>
      </c>
      <c r="U142" s="304">
        <f>IFERROR(U112/'16A'!$B18,"..")</f>
        <v>0.65212802107153245</v>
      </c>
      <c r="V142" s="304">
        <f>IFERROR(V112/'16A'!$B18,"..")</f>
        <v>0.62731139789647006</v>
      </c>
      <c r="W142" s="304">
        <f>IFERROR(W112/'16A'!$B18,"..")</f>
        <v>0.85359418124262987</v>
      </c>
      <c r="X142" s="304">
        <f>IFERROR(X112/'16A'!$B18,"..")</f>
        <v>0.85322740304913303</v>
      </c>
      <c r="Y142" s="304">
        <f>IFERROR(Y112/'16A'!$B18,"..")</f>
        <v>0.89949307861863148</v>
      </c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  <c r="AP142" s="297"/>
    </row>
    <row r="143" spans="1:42">
      <c r="A143" s="223">
        <v>2012</v>
      </c>
      <c r="B143" s="190" t="str">
        <f t="shared" si="46"/>
        <v>..</v>
      </c>
      <c r="C143" s="303" t="str">
        <f>IFERROR(C113/'16A'!$B19,"..")</f>
        <v>..</v>
      </c>
      <c r="D143" s="303" t="str">
        <f>IFERROR(D113/'16A'!$B19,"..")</f>
        <v>..</v>
      </c>
      <c r="E143" s="303" t="str">
        <f>IFERROR(E113/'16A'!$B19,"..")</f>
        <v>..</v>
      </c>
      <c r="F143" s="303" t="str">
        <f>IFERROR(F113/'16A'!$B19,"..")</f>
        <v>..</v>
      </c>
      <c r="G143" s="303" t="str">
        <f>IFERROR(G113/'16A'!$B19,"..")</f>
        <v>..</v>
      </c>
      <c r="H143" s="304">
        <f>IFERROR(H113/'16A'!$B19,"..")</f>
        <v>0.6538735787824298</v>
      </c>
      <c r="I143" s="304">
        <f>IFERROR(I113/'16A'!$B19,"..")</f>
        <v>0.58163612510239737</v>
      </c>
      <c r="J143" s="304">
        <f>IFERROR(J113/'16A'!$B19,"..")</f>
        <v>0.59305208545076893</v>
      </c>
      <c r="K143" s="304">
        <f>IFERROR(K113/'16A'!$B19,"..")</f>
        <v>0.73603236673103811</v>
      </c>
      <c r="L143" s="304">
        <f>IFERROR(L113/'16A'!$B19,"..")</f>
        <v>0.74119254100228016</v>
      </c>
      <c r="M143" s="304">
        <f>IFERROR(M113/'16A'!$B19,"..")</f>
        <v>0.72858085023687158</v>
      </c>
      <c r="N143" s="304">
        <f>IFERROR(N113/'16A'!$B19,"..")</f>
        <v>0.7546074237057816</v>
      </c>
      <c r="O143" s="304">
        <f>IFERROR(O113/'16A'!$B19,"..")</f>
        <v>0.79630526796769818</v>
      </c>
      <c r="P143" s="304">
        <f>IFERROR(P113/'16A'!$B19,"..")</f>
        <v>0.7721527912445757</v>
      </c>
      <c r="Q143" s="304">
        <f>IFERROR(Q113/'16A'!$B19,"..")</f>
        <v>0.74031994908559273</v>
      </c>
      <c r="R143" s="304">
        <f>IFERROR(R113/'16A'!$B19,"..")</f>
        <v>0.89483120992630516</v>
      </c>
      <c r="S143" s="304">
        <f>IFERROR(S113/'16A'!$B19,"..")</f>
        <v>0.67088628029444886</v>
      </c>
      <c r="T143" s="304">
        <f>IFERROR(T113/'16A'!$B19,"..")</f>
        <v>0.71278135334562753</v>
      </c>
      <c r="U143" s="304">
        <f>IFERROR(U113/'16A'!$B19,"..")</f>
        <v>0.65385124242322823</v>
      </c>
      <c r="V143" s="304">
        <f>IFERROR(V113/'16A'!$B19,"..")</f>
        <v>0.68331090760347146</v>
      </c>
      <c r="W143" s="304">
        <f>IFERROR(W113/'16A'!$B19,"..")</f>
        <v>0.87982858444544698</v>
      </c>
      <c r="X143" s="304">
        <f>IFERROR(X113/'16A'!$B19,"..")</f>
        <v>0.88235268591353933</v>
      </c>
      <c r="Y143" s="304">
        <f>IFERROR(Y113/'16A'!$B19,"..")</f>
        <v>0.88417848323048531</v>
      </c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</row>
    <row r="144" spans="1:42">
      <c r="A144" s="223">
        <v>2013</v>
      </c>
      <c r="B144" s="190" t="str">
        <f t="shared" si="46"/>
        <v>..</v>
      </c>
      <c r="C144" s="303" t="str">
        <f>IFERROR(C114/'16A'!$B20,"..")</f>
        <v>..</v>
      </c>
      <c r="D144" s="303" t="str">
        <f>IFERROR(D114/'16A'!$B20,"..")</f>
        <v>..</v>
      </c>
      <c r="E144" s="303" t="str">
        <f>IFERROR(E114/'16A'!$B20,"..")</f>
        <v>..</v>
      </c>
      <c r="F144" s="303" t="str">
        <f>IFERROR(F114/'16A'!$B20,"..")</f>
        <v>..</v>
      </c>
      <c r="G144" s="303" t="str">
        <f>IFERROR(G114/'16A'!$B20,"..")</f>
        <v>..</v>
      </c>
      <c r="H144" s="304">
        <f>IFERROR(H114/'16A'!$B20,"..")</f>
        <v>0.59447449347524439</v>
      </c>
      <c r="I144" s="304">
        <f>IFERROR(I114/'16A'!$B20,"..")</f>
        <v>0.50875110700755466</v>
      </c>
      <c r="J144" s="304">
        <f>IFERROR(J114/'16A'!$B20,"..")</f>
        <v>0.5328398945181555</v>
      </c>
      <c r="K144" s="304">
        <f>IFERROR(K114/'16A'!$B20,"..")</f>
        <v>0.68762993272468598</v>
      </c>
      <c r="L144" s="304">
        <f>IFERROR(L114/'16A'!$B20,"..")</f>
        <v>0.68303015129365063</v>
      </c>
      <c r="M144" s="304">
        <f>IFERROR(M114/'16A'!$B20,"..")</f>
        <v>0.69923054336344848</v>
      </c>
      <c r="N144" s="304">
        <f>IFERROR(N114/'16A'!$B20,"..")</f>
        <v>0.74078161684828703</v>
      </c>
      <c r="O144" s="304">
        <f>IFERROR(O114/'16A'!$B20,"..")</f>
        <v>0.75742287309815759</v>
      </c>
      <c r="P144" s="304">
        <f>IFERROR(P114/'16A'!$B20,"..")</f>
        <v>0.72348422827449788</v>
      </c>
      <c r="Q144" s="304">
        <f>IFERROR(Q114/'16A'!$B20,"..")</f>
        <v>0.74685554915268104</v>
      </c>
      <c r="R144" s="304">
        <f>IFERROR(R114/'16A'!$B20,"..")</f>
        <v>0.8629928293101784</v>
      </c>
      <c r="S144" s="304">
        <f>IFERROR(S114/'16A'!$B20,"..")</f>
        <v>0.68980620634778844</v>
      </c>
      <c r="T144" s="304">
        <f>IFERROR(T114/'16A'!$B20,"..")</f>
        <v>0.68257847175419883</v>
      </c>
      <c r="U144" s="304">
        <f>IFERROR(U114/'16A'!$B20,"..")</f>
        <v>0.65005912602884441</v>
      </c>
      <c r="V144" s="304">
        <f>IFERROR(V114/'16A'!$B20,"..")</f>
        <v>0.6261878068863389</v>
      </c>
      <c r="W144" s="304">
        <f>IFERROR(W114/'16A'!$B20,"..")</f>
        <v>0.91066948621016319</v>
      </c>
      <c r="X144" s="304">
        <f>IFERROR(X114/'16A'!$B20,"..")</f>
        <v>0.90372814838707827</v>
      </c>
      <c r="Y144" s="304">
        <f>IFERROR(Y114/'16A'!$B20,"..")</f>
        <v>1.0374989828804211</v>
      </c>
      <c r="Z144" s="297"/>
      <c r="AA144" s="297"/>
      <c r="AB144" s="297"/>
      <c r="AC144" s="297"/>
      <c r="AD144" s="297"/>
      <c r="AE144" s="297"/>
      <c r="AF144" s="297"/>
      <c r="AG144" s="297"/>
      <c r="AH144" s="297"/>
      <c r="AI144" s="297"/>
      <c r="AJ144" s="297"/>
      <c r="AK144" s="297"/>
      <c r="AL144" s="297"/>
      <c r="AM144" s="297"/>
      <c r="AN144" s="297"/>
      <c r="AO144" s="297"/>
      <c r="AP144" s="297"/>
    </row>
    <row r="145" spans="1:42">
      <c r="A145" s="223"/>
      <c r="B145" s="190"/>
      <c r="C145" s="303"/>
      <c r="D145" s="303"/>
      <c r="E145" s="303"/>
      <c r="F145" s="303"/>
      <c r="G145" s="303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297"/>
      <c r="AA145" s="297"/>
      <c r="AB145" s="297"/>
      <c r="AC145" s="297"/>
      <c r="AD145" s="297"/>
      <c r="AE145" s="297"/>
      <c r="AF145" s="297"/>
      <c r="AG145" s="297"/>
      <c r="AH145" s="297"/>
      <c r="AI145" s="297"/>
      <c r="AJ145" s="297"/>
      <c r="AK145" s="297"/>
      <c r="AL145" s="297"/>
      <c r="AM145" s="297"/>
      <c r="AN145" s="297"/>
      <c r="AO145" s="297"/>
      <c r="AP145" s="297"/>
    </row>
    <row r="146" spans="1:42">
      <c r="A146" s="223" t="s">
        <v>32</v>
      </c>
      <c r="B146" s="190"/>
      <c r="C146" s="303"/>
      <c r="D146" s="303"/>
      <c r="E146" s="303"/>
      <c r="F146" s="303"/>
      <c r="G146" s="303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297"/>
      <c r="AA146" s="297"/>
      <c r="AB146" s="297"/>
      <c r="AC146" s="297"/>
      <c r="AD146" s="297"/>
      <c r="AE146" s="297"/>
      <c r="AF146" s="297"/>
      <c r="AG146" s="297"/>
      <c r="AH146" s="297"/>
      <c r="AI146" s="297"/>
      <c r="AJ146" s="297"/>
      <c r="AK146" s="297"/>
      <c r="AL146" s="297"/>
      <c r="AM146" s="297"/>
      <c r="AN146" s="297"/>
      <c r="AO146" s="297"/>
      <c r="AP146" s="297"/>
    </row>
    <row r="147" spans="1:42">
      <c r="A147" s="295" t="s">
        <v>444</v>
      </c>
      <c r="B147" s="296" t="str">
        <f>IFERROR(((B144/B128)^(1/16)-1)*100,"..")</f>
        <v>..</v>
      </c>
      <c r="C147" s="296" t="str">
        <f t="shared" ref="C147:Y147" si="47">IFERROR(((C144/C128)^(1/16)-1)*100,"..")</f>
        <v>..</v>
      </c>
      <c r="D147" s="296" t="str">
        <f t="shared" si="47"/>
        <v>..</v>
      </c>
      <c r="E147" s="296" t="str">
        <f t="shared" si="47"/>
        <v>..</v>
      </c>
      <c r="F147" s="296" t="str">
        <f t="shared" si="47"/>
        <v>..</v>
      </c>
      <c r="G147" s="296" t="str">
        <f t="shared" si="47"/>
        <v>..</v>
      </c>
      <c r="H147" s="296" t="str">
        <f t="shared" si="47"/>
        <v>..</v>
      </c>
      <c r="I147" s="296">
        <f t="shared" si="47"/>
        <v>-2.0793244096143582</v>
      </c>
      <c r="J147" s="296">
        <f t="shared" si="47"/>
        <v>0.92458295930124557</v>
      </c>
      <c r="K147" s="296" t="str">
        <f t="shared" si="47"/>
        <v>..</v>
      </c>
      <c r="L147" s="296" t="str">
        <f t="shared" si="47"/>
        <v>..</v>
      </c>
      <c r="M147" s="296" t="str">
        <f t="shared" si="47"/>
        <v>..</v>
      </c>
      <c r="N147" s="296">
        <f t="shared" si="47"/>
        <v>3.4053228693207593</v>
      </c>
      <c r="O147" s="296">
        <f t="shared" si="47"/>
        <v>2.395650822113371</v>
      </c>
      <c r="P147" s="296">
        <f t="shared" si="47"/>
        <v>0.6092982364954258</v>
      </c>
      <c r="Q147" s="296">
        <f t="shared" si="47"/>
        <v>4.9984749002986772</v>
      </c>
      <c r="R147" s="296">
        <f t="shared" si="47"/>
        <v>4.4248984393736368</v>
      </c>
      <c r="S147" s="296">
        <f t="shared" si="47"/>
        <v>5.800401058953808</v>
      </c>
      <c r="T147" s="296">
        <f t="shared" si="47"/>
        <v>1.4231990249720994</v>
      </c>
      <c r="U147" s="296">
        <f t="shared" si="47"/>
        <v>2.2154415424795681</v>
      </c>
      <c r="V147" s="296">
        <f t="shared" si="47"/>
        <v>-0.25976273696349805</v>
      </c>
      <c r="W147" s="296">
        <f t="shared" si="47"/>
        <v>4.0796000050233872</v>
      </c>
      <c r="X147" s="296">
        <f t="shared" si="47"/>
        <v>3.7433863561838754</v>
      </c>
      <c r="Y147" s="296">
        <f t="shared" si="47"/>
        <v>8.0024289741885468</v>
      </c>
      <c r="Z147" s="297"/>
      <c r="AA147" s="297"/>
      <c r="AB147" s="297"/>
      <c r="AC147" s="297"/>
      <c r="AD147" s="297"/>
      <c r="AE147" s="297"/>
      <c r="AF147" s="297"/>
      <c r="AG147" s="297"/>
      <c r="AH147" s="297"/>
      <c r="AI147" s="297"/>
      <c r="AJ147" s="297"/>
      <c r="AK147" s="297"/>
      <c r="AL147" s="297"/>
      <c r="AM147" s="297"/>
      <c r="AN147" s="297"/>
      <c r="AO147" s="297"/>
      <c r="AP147" s="297"/>
    </row>
    <row r="148" spans="1:42">
      <c r="A148" s="295" t="s">
        <v>445</v>
      </c>
      <c r="B148" s="296" t="str">
        <f>IFERROR(((B144/B131)^(1/13)-1)*100,"..")</f>
        <v>..</v>
      </c>
      <c r="C148" s="296" t="str">
        <f t="shared" ref="C148:Y148" si="48">IFERROR(((C144/C131)^(1/13)-1)*100,"..")</f>
        <v>..</v>
      </c>
      <c r="D148" s="296" t="str">
        <f t="shared" si="48"/>
        <v>..</v>
      </c>
      <c r="E148" s="296" t="str">
        <f t="shared" si="48"/>
        <v>..</v>
      </c>
      <c r="F148" s="296" t="str">
        <f t="shared" si="48"/>
        <v>..</v>
      </c>
      <c r="G148" s="296" t="str">
        <f t="shared" si="48"/>
        <v>..</v>
      </c>
      <c r="H148" s="296">
        <f t="shared" si="48"/>
        <v>2.1910697527995682</v>
      </c>
      <c r="I148" s="296">
        <f t="shared" si="48"/>
        <v>1.2476663322182224</v>
      </c>
      <c r="J148" s="296">
        <f t="shared" si="48"/>
        <v>0.40617991751710214</v>
      </c>
      <c r="K148" s="296">
        <f t="shared" si="48"/>
        <v>4.0236078610458526</v>
      </c>
      <c r="L148" s="296">
        <f t="shared" si="48"/>
        <v>3.6682372730505453</v>
      </c>
      <c r="M148" s="296">
        <f t="shared" si="48"/>
        <v>4.5610539605723144</v>
      </c>
      <c r="N148" s="296">
        <f t="shared" si="48"/>
        <v>4.4931000719883318</v>
      </c>
      <c r="O148" s="296">
        <f t="shared" si="48"/>
        <v>5.0374009649073237</v>
      </c>
      <c r="P148" s="296">
        <f t="shared" si="48"/>
        <v>1.4871467504026903</v>
      </c>
      <c r="Q148" s="296">
        <f t="shared" si="48"/>
        <v>6.0486097062478539</v>
      </c>
      <c r="R148" s="296">
        <f t="shared" si="48"/>
        <v>6.812482980351775</v>
      </c>
      <c r="S148" s="296">
        <f t="shared" si="48"/>
        <v>5.2097331240414713</v>
      </c>
      <c r="T148" s="296">
        <f t="shared" si="48"/>
        <v>2.7007178514189878</v>
      </c>
      <c r="U148" s="296">
        <f t="shared" si="48"/>
        <v>2.3077064547153414</v>
      </c>
      <c r="V148" s="296">
        <f t="shared" si="48"/>
        <v>1.3018274367121219</v>
      </c>
      <c r="W148" s="296">
        <f t="shared" si="48"/>
        <v>6.7374056689039952</v>
      </c>
      <c r="X148" s="296" t="str">
        <f t="shared" si="48"/>
        <v>..</v>
      </c>
      <c r="Y148" s="296" t="str">
        <f t="shared" si="48"/>
        <v>..</v>
      </c>
      <c r="Z148" s="297"/>
      <c r="AA148" s="297"/>
      <c r="AB148" s="297"/>
      <c r="AC148" s="297"/>
      <c r="AD148" s="297"/>
      <c r="AE148" s="297"/>
      <c r="AF148" s="297"/>
      <c r="AG148" s="297"/>
      <c r="AH148" s="297"/>
      <c r="AI148" s="297"/>
      <c r="AJ148" s="297"/>
      <c r="AK148" s="297"/>
      <c r="AL148" s="297"/>
      <c r="AM148" s="297"/>
      <c r="AN148" s="297"/>
      <c r="AO148" s="297"/>
      <c r="AP148" s="297"/>
    </row>
    <row r="149" spans="1:42">
      <c r="A149" s="295" t="s">
        <v>446</v>
      </c>
      <c r="B149" s="296" t="str">
        <f>IFERROR(((B138/B131)^(1/7)-1)*100,"..")</f>
        <v>..</v>
      </c>
      <c r="C149" s="296" t="str">
        <f t="shared" ref="C149:Y149" si="49">IFERROR(((C138/C131)^(1/7)-1)*100,"..")</f>
        <v>..</v>
      </c>
      <c r="D149" s="296" t="str">
        <f t="shared" si="49"/>
        <v>..</v>
      </c>
      <c r="E149" s="296" t="str">
        <f t="shared" si="49"/>
        <v>..</v>
      </c>
      <c r="F149" s="296" t="str">
        <f t="shared" si="49"/>
        <v>..</v>
      </c>
      <c r="G149" s="296" t="str">
        <f t="shared" si="49"/>
        <v>..</v>
      </c>
      <c r="H149" s="296">
        <f t="shared" si="49"/>
        <v>5.2914194605903297</v>
      </c>
      <c r="I149" s="296">
        <f t="shared" si="49"/>
        <v>5.8027543261623071</v>
      </c>
      <c r="J149" s="296">
        <f t="shared" si="49"/>
        <v>1.7530079719382474</v>
      </c>
      <c r="K149" s="296">
        <f t="shared" si="49"/>
        <v>7.9489032691498762</v>
      </c>
      <c r="L149" s="296">
        <f t="shared" si="49"/>
        <v>8.6265705939796646</v>
      </c>
      <c r="M149" s="296">
        <f t="shared" si="49"/>
        <v>5.9230191622378081</v>
      </c>
      <c r="N149" s="296">
        <f t="shared" si="49"/>
        <v>6.3369641750549155</v>
      </c>
      <c r="O149" s="296">
        <f t="shared" si="49"/>
        <v>7.9982344581716269</v>
      </c>
      <c r="P149" s="296">
        <f t="shared" si="49"/>
        <v>3.1231515918889841</v>
      </c>
      <c r="Q149" s="296">
        <f t="shared" si="49"/>
        <v>7.6968651498522833</v>
      </c>
      <c r="R149" s="296">
        <f t="shared" si="49"/>
        <v>6.0118199052373589</v>
      </c>
      <c r="S149" s="296">
        <f t="shared" si="49"/>
        <v>7.8925560120608695</v>
      </c>
      <c r="T149" s="296">
        <f t="shared" si="49"/>
        <v>4.2355859216498315</v>
      </c>
      <c r="U149" s="296">
        <f t="shared" si="49"/>
        <v>3.6639328219710388</v>
      </c>
      <c r="V149" s="296">
        <f t="shared" si="49"/>
        <v>3.004828037123719</v>
      </c>
      <c r="W149" s="296">
        <f t="shared" si="49"/>
        <v>7.8721092117043145</v>
      </c>
      <c r="X149" s="296" t="str">
        <f t="shared" si="49"/>
        <v>..</v>
      </c>
      <c r="Y149" s="296" t="str">
        <f t="shared" si="49"/>
        <v>..</v>
      </c>
      <c r="Z149" s="297"/>
      <c r="AA149" s="297"/>
      <c r="AB149" s="297"/>
      <c r="AC149" s="297"/>
      <c r="AD149" s="297"/>
      <c r="AE149" s="297"/>
      <c r="AF149" s="297"/>
      <c r="AG149" s="297"/>
      <c r="AH149" s="297"/>
      <c r="AI149" s="297"/>
      <c r="AJ149" s="297"/>
      <c r="AK149" s="297"/>
      <c r="AL149" s="297"/>
      <c r="AM149" s="297"/>
      <c r="AN149" s="297"/>
      <c r="AO149" s="297"/>
      <c r="AP149" s="297"/>
    </row>
    <row r="150" spans="1:42">
      <c r="A150" s="300" t="s">
        <v>447</v>
      </c>
      <c r="B150" s="296" t="str">
        <f>IFERROR(((B144/B138)^(1/6)-1)*100,"..")</f>
        <v>..</v>
      </c>
      <c r="C150" s="296" t="str">
        <f t="shared" ref="C150:Y150" si="50">IFERROR(((C144/C138)^(1/6)-1)*100,"..")</f>
        <v>..</v>
      </c>
      <c r="D150" s="296" t="str">
        <f t="shared" si="50"/>
        <v>..</v>
      </c>
      <c r="E150" s="296" t="str">
        <f t="shared" si="50"/>
        <v>..</v>
      </c>
      <c r="F150" s="296" t="str">
        <f t="shared" si="50"/>
        <v>..</v>
      </c>
      <c r="G150" s="296" t="str">
        <f t="shared" si="50"/>
        <v>..</v>
      </c>
      <c r="H150" s="296">
        <f t="shared" si="50"/>
        <v>-1.3108130322581069</v>
      </c>
      <c r="I150" s="296">
        <f t="shared" si="50"/>
        <v>-3.8193417905586946</v>
      </c>
      <c r="J150" s="296">
        <f t="shared" si="50"/>
        <v>-1.1426048092237351</v>
      </c>
      <c r="K150" s="296">
        <f t="shared" si="50"/>
        <v>-0.3758711688363281</v>
      </c>
      <c r="L150" s="296">
        <f t="shared" si="50"/>
        <v>-1.8311658176309309</v>
      </c>
      <c r="M150" s="296">
        <f t="shared" si="50"/>
        <v>2.994212229372728</v>
      </c>
      <c r="N150" s="296">
        <f t="shared" si="50"/>
        <v>2.3822956213608082</v>
      </c>
      <c r="O150" s="296">
        <f t="shared" si="50"/>
        <v>1.6855316481377169</v>
      </c>
      <c r="P150" s="296">
        <f t="shared" si="50"/>
        <v>-0.3887509440390291</v>
      </c>
      <c r="Q150" s="296">
        <f t="shared" si="50"/>
        <v>4.1575005104760532</v>
      </c>
      <c r="R150" s="296">
        <f t="shared" si="50"/>
        <v>7.7542359332419819</v>
      </c>
      <c r="S150" s="296">
        <f t="shared" si="50"/>
        <v>2.1639703400814447</v>
      </c>
      <c r="T150" s="296">
        <f t="shared" si="50"/>
        <v>0.93858004619262747</v>
      </c>
      <c r="U150" s="296">
        <f t="shared" si="50"/>
        <v>0.74785169330549017</v>
      </c>
      <c r="V150" s="296">
        <f t="shared" si="50"/>
        <v>-0.64945325390749487</v>
      </c>
      <c r="W150" s="296">
        <f t="shared" si="50"/>
        <v>5.4286617017500483</v>
      </c>
      <c r="X150" s="296">
        <f t="shared" si="50"/>
        <v>5.3970267838919783</v>
      </c>
      <c r="Y150" s="296">
        <f t="shared" si="50"/>
        <v>6.7878029170115539</v>
      </c>
      <c r="Z150" s="297"/>
      <c r="AA150" s="297"/>
      <c r="AB150" s="297"/>
      <c r="AC150" s="297"/>
      <c r="AD150" s="297"/>
      <c r="AE150" s="297"/>
      <c r="AF150" s="297"/>
      <c r="AG150" s="297"/>
      <c r="AH150" s="297"/>
      <c r="AI150" s="297"/>
      <c r="AJ150" s="297"/>
      <c r="AK150" s="297"/>
      <c r="AL150" s="297"/>
      <c r="AM150" s="297"/>
      <c r="AN150" s="297"/>
      <c r="AO150" s="297"/>
      <c r="AP150" s="297"/>
    </row>
    <row r="151" spans="1:4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97"/>
      <c r="AE151" s="297"/>
      <c r="AF151" s="297"/>
      <c r="AG151" s="297"/>
      <c r="AH151" s="297"/>
      <c r="AI151" s="297"/>
      <c r="AJ151" s="297"/>
      <c r="AK151" s="297"/>
      <c r="AL151" s="297"/>
      <c r="AM151" s="297"/>
      <c r="AN151" s="297"/>
      <c r="AO151" s="297"/>
      <c r="AP151" s="297"/>
    </row>
    <row r="152" spans="1:42">
      <c r="A152" s="297" t="s">
        <v>451</v>
      </c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  <c r="Y152" s="297"/>
      <c r="Z152" s="297"/>
      <c r="AA152" s="297"/>
      <c r="AB152" s="297"/>
      <c r="AC152" s="297"/>
      <c r="AD152" s="297"/>
      <c r="AE152" s="297"/>
      <c r="AF152" s="297"/>
      <c r="AG152" s="297"/>
      <c r="AH152" s="297"/>
      <c r="AI152" s="297"/>
      <c r="AJ152" s="297"/>
      <c r="AK152" s="297"/>
      <c r="AL152" s="297"/>
      <c r="AM152" s="297"/>
      <c r="AN152" s="297"/>
      <c r="AO152" s="297"/>
      <c r="AP152" s="297"/>
    </row>
    <row r="154" spans="1:42">
      <c r="A154" s="475" t="s">
        <v>490</v>
      </c>
      <c r="B154" s="475"/>
      <c r="C154" s="475"/>
      <c r="D154" s="475"/>
      <c r="E154" s="475"/>
      <c r="F154" s="475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  <c r="X154" s="475"/>
      <c r="Y154" s="475"/>
    </row>
    <row r="155" spans="1:42"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97"/>
    </row>
    <row r="156" spans="1:42">
      <c r="B156" s="461" t="s">
        <v>439</v>
      </c>
      <c r="C156" s="461"/>
      <c r="D156" s="461"/>
      <c r="E156" s="461"/>
      <c r="F156" s="461"/>
      <c r="G156" s="461"/>
      <c r="H156" s="461" t="s">
        <v>132</v>
      </c>
      <c r="I156" s="461"/>
      <c r="J156" s="461"/>
      <c r="K156" s="461"/>
      <c r="L156" s="461"/>
      <c r="M156" s="461"/>
      <c r="N156" s="461" t="s">
        <v>133</v>
      </c>
      <c r="O156" s="461"/>
      <c r="P156" s="461"/>
      <c r="Q156" s="461"/>
      <c r="R156" s="461"/>
      <c r="S156" s="461"/>
      <c r="T156" s="461" t="s">
        <v>440</v>
      </c>
      <c r="U156" s="461"/>
      <c r="V156" s="461"/>
      <c r="W156" s="461"/>
      <c r="X156" s="461"/>
      <c r="Y156" s="461"/>
    </row>
    <row r="157" spans="1:42" ht="75">
      <c r="A157" s="223"/>
      <c r="B157" s="294" t="s">
        <v>8</v>
      </c>
      <c r="C157" s="146" t="s">
        <v>441</v>
      </c>
      <c r="D157" s="146" t="s">
        <v>248</v>
      </c>
      <c r="E157" s="146" t="s">
        <v>249</v>
      </c>
      <c r="F157" s="146" t="s">
        <v>442</v>
      </c>
      <c r="G157" s="146" t="s">
        <v>443</v>
      </c>
      <c r="H157" s="294" t="s">
        <v>8</v>
      </c>
      <c r="I157" s="146" t="s">
        <v>441</v>
      </c>
      <c r="J157" s="146" t="s">
        <v>248</v>
      </c>
      <c r="K157" s="146" t="s">
        <v>249</v>
      </c>
      <c r="L157" s="146" t="s">
        <v>442</v>
      </c>
      <c r="M157" s="146" t="s">
        <v>443</v>
      </c>
      <c r="N157" s="294" t="s">
        <v>8</v>
      </c>
      <c r="O157" s="146" t="s">
        <v>441</v>
      </c>
      <c r="P157" s="146" t="s">
        <v>248</v>
      </c>
      <c r="Q157" s="146" t="s">
        <v>249</v>
      </c>
      <c r="R157" s="146" t="s">
        <v>442</v>
      </c>
      <c r="S157" s="146" t="s">
        <v>443</v>
      </c>
      <c r="T157" s="294" t="s">
        <v>8</v>
      </c>
      <c r="U157" s="146" t="s">
        <v>441</v>
      </c>
      <c r="V157" s="146" t="s">
        <v>248</v>
      </c>
      <c r="W157" s="146" t="s">
        <v>249</v>
      </c>
      <c r="X157" s="146" t="s">
        <v>442</v>
      </c>
      <c r="Y157" s="146" t="s">
        <v>443</v>
      </c>
    </row>
    <row r="158" spans="1:42">
      <c r="A158" s="223">
        <v>1997</v>
      </c>
      <c r="B158" s="296">
        <f>'22A-22G'!B7/'22A-22G'!B38</f>
        <v>22.936553462614874</v>
      </c>
      <c r="C158" s="296">
        <f>'22A-22G'!C7/'22A-22G'!C38</f>
        <v>20.508972687977259</v>
      </c>
      <c r="D158" s="296">
        <f>'22A-22G'!D7/'22A-22G'!D38</f>
        <v>20.343967215013901</v>
      </c>
      <c r="E158" s="296">
        <f>'22A-22G'!E7/'22A-22G'!E38</f>
        <v>28.367967301490026</v>
      </c>
      <c r="F158" s="296">
        <f>'22A-22G'!F7/'22A-22G'!F38</f>
        <v>31.384070644451036</v>
      </c>
      <c r="G158" s="296">
        <f>'22A-22G'!G7/'22A-22G'!G38</f>
        <v>22.375647588025437</v>
      </c>
      <c r="H158" s="399" t="s">
        <v>9</v>
      </c>
      <c r="I158" s="296">
        <f>'22A-22G'!I7/'22A-22G'!I38</f>
        <v>17.944009263674136</v>
      </c>
      <c r="J158" s="296">
        <f>'22A-22G'!J7/'22A-22G'!J38</f>
        <v>18.407862230376931</v>
      </c>
      <c r="K158" s="399" t="s">
        <v>9</v>
      </c>
      <c r="L158" s="399" t="s">
        <v>9</v>
      </c>
      <c r="M158" s="399" t="s">
        <v>9</v>
      </c>
      <c r="N158" s="296">
        <f>'22A-22G'!N7/'22A-22G'!N38</f>
        <v>22.615748413716585</v>
      </c>
      <c r="O158" s="296">
        <f>'22A-22G'!O7/'22A-22G'!O38</f>
        <v>22.014536168540982</v>
      </c>
      <c r="P158" s="296">
        <f>'22A-22G'!P7/'22A-22G'!P38</f>
        <v>19.011087834040161</v>
      </c>
      <c r="Q158" s="296">
        <f>'22A-22G'!Q7/'22A-22G'!Q38</f>
        <v>26.05327887730504</v>
      </c>
      <c r="R158" s="296">
        <f>'22A-22G'!R7/'22A-22G'!R38</f>
        <v>28.784033069068698</v>
      </c>
      <c r="S158" s="296">
        <f>'22A-22G'!S7/'22A-22G'!S38</f>
        <v>23.347120322817315</v>
      </c>
      <c r="T158" s="296">
        <f>'22A-22G'!T7/'22A-22G'!T38</f>
        <v>25.041081500764996</v>
      </c>
      <c r="U158" s="296">
        <f>'22A-22G'!U7/'22A-22G'!U38</f>
        <v>23.863113419786732</v>
      </c>
      <c r="V158" s="296">
        <f>'22A-22G'!V7/'22A-22G'!V38</f>
        <v>24.565103701054891</v>
      </c>
      <c r="W158" s="296">
        <f>'22A-22G'!W7/'22A-22G'!W38</f>
        <v>28.492274941134728</v>
      </c>
      <c r="X158" s="296">
        <f>'22A-22G'!X7/'22A-22G'!X38</f>
        <v>29.575748646358981</v>
      </c>
      <c r="Y158" s="296">
        <f>'22A-22G'!Y7/'22A-22G'!Y38</f>
        <v>20.859885832900883</v>
      </c>
    </row>
    <row r="159" spans="1:42">
      <c r="A159" s="223">
        <v>1998</v>
      </c>
      <c r="B159" s="296">
        <f>'22A-22G'!B8/'22A-22G'!B39</f>
        <v>23.770377980649407</v>
      </c>
      <c r="C159" s="296">
        <f>'22A-22G'!C8/'22A-22G'!C39</f>
        <v>20.488422672560674</v>
      </c>
      <c r="D159" s="296">
        <f>'22A-22G'!D8/'22A-22G'!D39</f>
        <v>21.39479011655575</v>
      </c>
      <c r="E159" s="296">
        <f>'22A-22G'!E8/'22A-22G'!E39</f>
        <v>29.612018412609849</v>
      </c>
      <c r="F159" s="296">
        <f>'22A-22G'!F8/'22A-22G'!F39</f>
        <v>32.557453306500015</v>
      </c>
      <c r="G159" s="296">
        <f>'22A-22G'!G8/'22A-22G'!G39</f>
        <v>24.550907739675125</v>
      </c>
      <c r="H159" s="296">
        <f>'22A-22G'!H8/'22A-22G'!H39</f>
        <v>23.802616156123499</v>
      </c>
      <c r="I159" s="296">
        <f>'22A-22G'!I8/'22A-22G'!I39</f>
        <v>17.32905982905983</v>
      </c>
      <c r="J159" s="296">
        <f>'22A-22G'!J8/'22A-22G'!J39</f>
        <v>19.485652136333517</v>
      </c>
      <c r="K159" s="296">
        <f>'22A-22G'!K8/'22A-22G'!K39</f>
        <v>31.93700275761514</v>
      </c>
      <c r="L159" s="296">
        <f>'22A-22G'!L8/'22A-22G'!L39</f>
        <v>35.577443169358965</v>
      </c>
      <c r="M159" s="296">
        <f>'22A-22G'!M8/'22A-22G'!M39</f>
        <v>25.162366810247111</v>
      </c>
      <c r="N159" s="296">
        <f>'22A-22G'!N8/'22A-22G'!N39</f>
        <v>23.310729650296036</v>
      </c>
      <c r="O159" s="296">
        <f>'22A-22G'!O8/'22A-22G'!O39</f>
        <v>22.637054710908888</v>
      </c>
      <c r="P159" s="296">
        <f>'22A-22G'!P8/'22A-22G'!P39</f>
        <v>19.515284555499338</v>
      </c>
      <c r="Q159" s="296">
        <f>'22A-22G'!Q8/'22A-22G'!Q39</f>
        <v>27.28499732007991</v>
      </c>
      <c r="R159" s="296">
        <f>'22A-22G'!R8/'22A-22G'!R39</f>
        <v>30.574345254857786</v>
      </c>
      <c r="S159" s="296">
        <f>'22A-22G'!S8/'22A-22G'!S39</f>
        <v>24.467084828563674</v>
      </c>
      <c r="T159" s="296">
        <f>'22A-22G'!T8/'22A-22G'!T39</f>
        <v>26.664913435631536</v>
      </c>
      <c r="U159" s="296">
        <f>'22A-22G'!U8/'22A-22G'!U39</f>
        <v>25.19970732356267</v>
      </c>
      <c r="V159" s="296">
        <f>'22A-22G'!V8/'22A-22G'!V39</f>
        <v>26.670986934357266</v>
      </c>
      <c r="W159" s="296">
        <f>'22A-22G'!W8/'22A-22G'!W39</f>
        <v>29.194648984155133</v>
      </c>
      <c r="X159" s="399" t="s">
        <v>9</v>
      </c>
      <c r="Y159" s="399" t="s">
        <v>9</v>
      </c>
    </row>
    <row r="160" spans="1:42">
      <c r="A160" s="223">
        <v>1999</v>
      </c>
      <c r="B160" s="296">
        <f>'22A-22G'!B9/'22A-22G'!B40</f>
        <v>24.288005753340542</v>
      </c>
      <c r="C160" s="296">
        <f>'22A-22G'!C9/'22A-22G'!C40</f>
        <v>21.147442782156201</v>
      </c>
      <c r="D160" s="296">
        <f>'22A-22G'!D9/'22A-22G'!D40</f>
        <v>22.054595814452444</v>
      </c>
      <c r="E160" s="296">
        <f>'22A-22G'!E9/'22A-22G'!E40</f>
        <v>29.797004815017331</v>
      </c>
      <c r="F160" s="296">
        <f>'22A-22G'!F9/'22A-22G'!F40</f>
        <v>32.638510376671938</v>
      </c>
      <c r="G160" s="296">
        <f>'22A-22G'!G9/'22A-22G'!G40</f>
        <v>24.86080234805225</v>
      </c>
      <c r="H160" s="296">
        <f>'22A-22G'!H9/'22A-22G'!H40</f>
        <v>24.456202472180628</v>
      </c>
      <c r="I160" s="296">
        <f>'22A-22G'!I9/'22A-22G'!I40</f>
        <v>16.957765472125786</v>
      </c>
      <c r="J160" s="296">
        <f>'22A-22G'!J9/'22A-22G'!J40</f>
        <v>20.999729078052614</v>
      </c>
      <c r="K160" s="296">
        <f>'22A-22G'!K9/'22A-22G'!K40</f>
        <v>32.838331710483608</v>
      </c>
      <c r="L160" s="296">
        <f>'22A-22G'!L9/'22A-22G'!L40</f>
        <v>36.819959214886566</v>
      </c>
      <c r="M160" s="296">
        <f>'22A-22G'!M9/'22A-22G'!M40</f>
        <v>25.862036623492632</v>
      </c>
      <c r="N160" s="296">
        <f>'22A-22G'!N9/'22A-22G'!N40</f>
        <v>23.872567810097863</v>
      </c>
      <c r="O160" s="296">
        <f>'22A-22G'!O9/'22A-22G'!O40</f>
        <v>23.170966001079332</v>
      </c>
      <c r="P160" s="296">
        <f>'22A-22G'!P9/'22A-22G'!P40</f>
        <v>20.254414175810318</v>
      </c>
      <c r="Q160" s="296">
        <f>'22A-22G'!Q9/'22A-22G'!Q40</f>
        <v>27.564093586835735</v>
      </c>
      <c r="R160" s="296">
        <f>'22A-22G'!R9/'22A-22G'!R40</f>
        <v>30.34936482032575</v>
      </c>
      <c r="S160" s="296">
        <f>'22A-22G'!S9/'22A-22G'!S40</f>
        <v>25.03687358457697</v>
      </c>
      <c r="T160" s="296">
        <f>'22A-22G'!T9/'22A-22G'!T40</f>
        <v>26.607955776480566</v>
      </c>
      <c r="U160" s="296">
        <f>'22A-22G'!U9/'22A-22G'!U40</f>
        <v>25.807574165386793</v>
      </c>
      <c r="V160" s="296">
        <f>'22A-22G'!V9/'22A-22G'!V40</f>
        <v>26.066429796618475</v>
      </c>
      <c r="W160" s="296">
        <f>'22A-22G'!W9/'22A-22G'!W40</f>
        <v>29.361181379151745</v>
      </c>
      <c r="X160" s="399" t="s">
        <v>9</v>
      </c>
      <c r="Y160" s="399" t="s">
        <v>9</v>
      </c>
    </row>
    <row r="161" spans="1:25">
      <c r="A161" s="223">
        <v>2000</v>
      </c>
      <c r="B161" s="296">
        <f>'22A-22G'!B10/'22A-22G'!B41</f>
        <v>25.925536374312586</v>
      </c>
      <c r="C161" s="296">
        <f>'22A-22G'!C10/'22A-22G'!C41</f>
        <v>22.548164045733017</v>
      </c>
      <c r="D161" s="296">
        <f>'22A-22G'!D10/'22A-22G'!D41</f>
        <v>23.943671201003582</v>
      </c>
      <c r="E161" s="296">
        <f>'22A-22G'!E10/'22A-22G'!E41</f>
        <v>31.245676861014747</v>
      </c>
      <c r="F161" s="296">
        <f>'22A-22G'!F10/'22A-22G'!F41</f>
        <v>33.638409098636565</v>
      </c>
      <c r="G161" s="296">
        <f>'22A-22G'!G10/'22A-22G'!G41</f>
        <v>27.224510784173688</v>
      </c>
      <c r="H161" s="296">
        <f>'22A-22G'!H10/'22A-22G'!H41</f>
        <v>25.262379165245083</v>
      </c>
      <c r="I161" s="296">
        <f>'22A-22G'!I10/'22A-22G'!I41</f>
        <v>17.574828966865287</v>
      </c>
      <c r="J161" s="296">
        <f>'22A-22G'!J10/'22A-22G'!J41</f>
        <v>22.312115923504251</v>
      </c>
      <c r="K161" s="296">
        <f>'22A-22G'!K10/'22A-22G'!K41</f>
        <v>32.97040317313666</v>
      </c>
      <c r="L161" s="296">
        <f>'22A-22G'!L10/'22A-22G'!L41</f>
        <v>35.749888707523368</v>
      </c>
      <c r="M161" s="296">
        <f>'22A-22G'!M10/'22A-22G'!M41</f>
        <v>27.940384012889943</v>
      </c>
      <c r="N161" s="296">
        <f>'22A-22G'!N10/'22A-22G'!N41</f>
        <v>26.547386819287844</v>
      </c>
      <c r="O161" s="296">
        <f>'22A-22G'!O10/'22A-22G'!O41</f>
        <v>23.755739299610894</v>
      </c>
      <c r="P161" s="296">
        <f>'22A-22G'!P10/'22A-22G'!P41</f>
        <v>23.05655775275013</v>
      </c>
      <c r="Q161" s="296">
        <f>'22A-22G'!Q10/'22A-22G'!Q41</f>
        <v>30.759942098463743</v>
      </c>
      <c r="R161" s="296">
        <f>'22A-22G'!R10/'22A-22G'!R41</f>
        <v>34.865890347927653</v>
      </c>
      <c r="S161" s="296">
        <f>'22A-22G'!S10/'22A-22G'!S41</f>
        <v>27.537061732510974</v>
      </c>
      <c r="T161" s="296">
        <f>'22A-22G'!T10/'22A-22G'!T41</f>
        <v>28.416022324648043</v>
      </c>
      <c r="U161" s="296">
        <f>'22A-22G'!U10/'22A-22G'!U41</f>
        <v>28.461242889342063</v>
      </c>
      <c r="V161" s="296">
        <f>'22A-22G'!V10/'22A-22G'!V41</f>
        <v>27.954636903621385</v>
      </c>
      <c r="W161" s="296">
        <f>'22A-22G'!W10/'22A-22G'!W41</f>
        <v>29.655841503267975</v>
      </c>
      <c r="X161" s="399" t="s">
        <v>9</v>
      </c>
      <c r="Y161" s="399" t="s">
        <v>9</v>
      </c>
    </row>
    <row r="162" spans="1:25">
      <c r="A162" s="223">
        <v>2001</v>
      </c>
      <c r="B162" s="296">
        <f>'22A-22G'!B11/'22A-22G'!B42</f>
        <v>26.883627895660638</v>
      </c>
      <c r="C162" s="296">
        <f>'22A-22G'!C11/'22A-22G'!C42</f>
        <v>24.303582393365129</v>
      </c>
      <c r="D162" s="296">
        <f>'22A-22G'!D11/'22A-22G'!D42</f>
        <v>24.31636251771608</v>
      </c>
      <c r="E162" s="296">
        <f>'22A-22G'!E11/'22A-22G'!E42</f>
        <v>32.375837938589321</v>
      </c>
      <c r="F162" s="296">
        <f>'22A-22G'!F11/'22A-22G'!F42</f>
        <v>34.925596840782624</v>
      </c>
      <c r="G162" s="296">
        <f>'22A-22G'!G11/'22A-22G'!G42</f>
        <v>28.434094220495385</v>
      </c>
      <c r="H162" s="296">
        <f>'22A-22G'!H11/'22A-22G'!H42</f>
        <v>25.909886749233927</v>
      </c>
      <c r="I162" s="296">
        <f>'22A-22G'!I11/'22A-22G'!I42</f>
        <v>19.142095402795793</v>
      </c>
      <c r="J162" s="296">
        <f>'22A-22G'!J11/'22A-22G'!J42</f>
        <v>22.251836550254986</v>
      </c>
      <c r="K162" s="296">
        <f>'22A-22G'!K11/'22A-22G'!K42</f>
        <v>33.904408021989212</v>
      </c>
      <c r="L162" s="296">
        <f>'22A-22G'!L11/'22A-22G'!L42</f>
        <v>36.406629219437235</v>
      </c>
      <c r="M162" s="296">
        <f>'22A-22G'!M11/'22A-22G'!M42</f>
        <v>29.448905453859219</v>
      </c>
      <c r="N162" s="296">
        <f>'22A-22G'!N11/'22A-22G'!N42</f>
        <v>27.063048039530607</v>
      </c>
      <c r="O162" s="296">
        <f>'22A-22G'!O11/'22A-22G'!O42</f>
        <v>24.364509066412172</v>
      </c>
      <c r="P162" s="296">
        <f>'22A-22G'!P11/'22A-22G'!P42</f>
        <v>23.108293815929546</v>
      </c>
      <c r="Q162" s="296">
        <f>'22A-22G'!Q11/'22A-22G'!Q42</f>
        <v>31.472513758157159</v>
      </c>
      <c r="R162" s="296">
        <f>'22A-22G'!R11/'22A-22G'!R42</f>
        <v>35.565359004053271</v>
      </c>
      <c r="S162" s="296">
        <f>'22A-22G'!S11/'22A-22G'!S42</f>
        <v>28.56328137058188</v>
      </c>
      <c r="T162" s="296">
        <f>'22A-22G'!T11/'22A-22G'!T42</f>
        <v>30.025303898186465</v>
      </c>
      <c r="U162" s="296">
        <f>'22A-22G'!U11/'22A-22G'!U42</f>
        <v>30.952829978376691</v>
      </c>
      <c r="V162" s="296">
        <f>'22A-22G'!V11/'22A-22G'!V42</f>
        <v>29.362468897985391</v>
      </c>
      <c r="W162" s="296">
        <f>'22A-22G'!W11/'22A-22G'!W42</f>
        <v>30.313484287684158</v>
      </c>
      <c r="X162" s="399" t="s">
        <v>9</v>
      </c>
      <c r="Y162" s="399" t="s">
        <v>9</v>
      </c>
    </row>
    <row r="163" spans="1:25">
      <c r="A163" s="223">
        <v>2002</v>
      </c>
      <c r="B163" s="296">
        <f>'22A-22G'!B12/'22A-22G'!B43</f>
        <v>27.991694786473715</v>
      </c>
      <c r="C163" s="296">
        <f>'22A-22G'!C12/'22A-22G'!C43</f>
        <v>24.54921706639572</v>
      </c>
      <c r="D163" s="296">
        <f>'22A-22G'!D12/'22A-22G'!D43</f>
        <v>25.24386618183938</v>
      </c>
      <c r="E163" s="296">
        <f>'22A-22G'!E12/'22A-22G'!E43</f>
        <v>34.764667204983276</v>
      </c>
      <c r="F163" s="296">
        <f>'22A-22G'!F12/'22A-22G'!F43</f>
        <v>38.691645779470683</v>
      </c>
      <c r="G163" s="296">
        <f>'22A-22G'!G12/'22A-22G'!G43</f>
        <v>29.24077621387524</v>
      </c>
      <c r="H163" s="296">
        <f>'22A-22G'!H12/'22A-22G'!H43</f>
        <v>27.87635630361223</v>
      </c>
      <c r="I163" s="296">
        <f>'22A-22G'!I12/'22A-22G'!I43</f>
        <v>20.632588217703351</v>
      </c>
      <c r="J163" s="296">
        <f>'22A-22G'!J12/'22A-22G'!J43</f>
        <v>23.149196281282368</v>
      </c>
      <c r="K163" s="296">
        <f>'22A-22G'!K12/'22A-22G'!K43</f>
        <v>38.078693392724574</v>
      </c>
      <c r="L163" s="296">
        <f>'22A-22G'!L12/'22A-22G'!L43</f>
        <v>42.473202953732546</v>
      </c>
      <c r="M163" s="296">
        <f>'22A-22G'!M12/'22A-22G'!M43</f>
        <v>30.668369084099421</v>
      </c>
      <c r="N163" s="296">
        <f>'22A-22G'!N12/'22A-22G'!N43</f>
        <v>27.408799902132692</v>
      </c>
      <c r="O163" s="296">
        <f>'22A-22G'!O12/'22A-22G'!O43</f>
        <v>24.476532206724926</v>
      </c>
      <c r="P163" s="296">
        <f>'22A-22G'!P12/'22A-22G'!P43</f>
        <v>23.924436886350509</v>
      </c>
      <c r="Q163" s="296">
        <f>'22A-22G'!Q12/'22A-22G'!Q43</f>
        <v>31.375420202289455</v>
      </c>
      <c r="R163" s="296">
        <f>'22A-22G'!R12/'22A-22G'!R43</f>
        <v>35.011381102246943</v>
      </c>
      <c r="S163" s="296">
        <f>'22A-22G'!S12/'22A-22G'!S43</f>
        <v>28.90323864484354</v>
      </c>
      <c r="T163" s="296">
        <f>'22A-22G'!T12/'22A-22G'!T43</f>
        <v>31.21767418532399</v>
      </c>
      <c r="U163" s="296">
        <f>'22A-22G'!U12/'22A-22G'!U43</f>
        <v>30.03421375921376</v>
      </c>
      <c r="V163" s="296">
        <f>'22A-22G'!V12/'22A-22G'!V43</f>
        <v>30.332675627903154</v>
      </c>
      <c r="W163" s="296">
        <f>'22A-22G'!W12/'22A-22G'!W43</f>
        <v>36.849123452813693</v>
      </c>
      <c r="X163" s="296">
        <f>'22A-22G'!X12/'22A-22G'!X43</f>
        <v>37.850359480630971</v>
      </c>
      <c r="Y163" s="296">
        <f>'22A-22G'!Y12/'22A-22G'!Y43</f>
        <v>30.829670329670328</v>
      </c>
    </row>
    <row r="164" spans="1:25">
      <c r="A164" s="223">
        <v>2003</v>
      </c>
      <c r="B164" s="296">
        <f>'22A-22G'!B13/'22A-22G'!B44</f>
        <v>29.003353060385603</v>
      </c>
      <c r="C164" s="296">
        <f>'22A-22G'!C13/'22A-22G'!C44</f>
        <v>25.084140347878115</v>
      </c>
      <c r="D164" s="296">
        <f>'22A-22G'!D13/'22A-22G'!D44</f>
        <v>26.080042866006128</v>
      </c>
      <c r="E164" s="296">
        <f>'22A-22G'!E13/'22A-22G'!E44</f>
        <v>36.099969568737329</v>
      </c>
      <c r="F164" s="296">
        <f>'22A-22G'!F13/'22A-22G'!F44</f>
        <v>40.037258815701932</v>
      </c>
      <c r="G164" s="296">
        <f>'22A-22G'!G13/'22A-22G'!G44</f>
        <v>30.507365202890494</v>
      </c>
      <c r="H164" s="296">
        <f>'22A-22G'!H13/'22A-22G'!H44</f>
        <v>28.404266592655205</v>
      </c>
      <c r="I164" s="296">
        <f>'22A-22G'!I13/'22A-22G'!I44</f>
        <v>21.310347338527635</v>
      </c>
      <c r="J164" s="296">
        <f>'22A-22G'!J13/'22A-22G'!J44</f>
        <v>23.090796899304529</v>
      </c>
      <c r="K164" s="296">
        <f>'22A-22G'!K13/'22A-22G'!K44</f>
        <v>39.819103211396609</v>
      </c>
      <c r="L164" s="296">
        <f>'22A-22G'!L13/'22A-22G'!L44</f>
        <v>44.644307436938675</v>
      </c>
      <c r="M164" s="296">
        <f>'22A-22G'!M13/'22A-22G'!M44</f>
        <v>31.490558313290006</v>
      </c>
      <c r="N164" s="296">
        <f>'22A-22G'!N13/'22A-22G'!N44</f>
        <v>28.42899687506554</v>
      </c>
      <c r="O164" s="296">
        <f>'22A-22G'!O13/'22A-22G'!O44</f>
        <v>23.548171609559457</v>
      </c>
      <c r="P164" s="296">
        <f>'22A-22G'!P13/'22A-22G'!P44</f>
        <v>24.299527202503828</v>
      </c>
      <c r="Q164" s="296">
        <f>'22A-22G'!Q13/'22A-22G'!Q44</f>
        <v>33.501463191586652</v>
      </c>
      <c r="R164" s="296">
        <f>'22A-22G'!R13/'22A-22G'!R44</f>
        <v>38.06376416870269</v>
      </c>
      <c r="S164" s="296">
        <f>'22A-22G'!S13/'22A-22G'!S44</f>
        <v>30.698841128853676</v>
      </c>
      <c r="T164" s="296">
        <f>'22A-22G'!T13/'22A-22G'!T44</f>
        <v>32.393799095201466</v>
      </c>
      <c r="U164" s="296">
        <f>'22A-22G'!U13/'22A-22G'!U44</f>
        <v>31.187573449401523</v>
      </c>
      <c r="V164" s="296">
        <f>'22A-22G'!V13/'22A-22G'!V44</f>
        <v>32.505487411233055</v>
      </c>
      <c r="W164" s="296">
        <f>'22A-22G'!W13/'22A-22G'!W44</f>
        <v>34.223745870784356</v>
      </c>
      <c r="X164" s="296">
        <f>'22A-22G'!X13/'22A-22G'!X44</f>
        <v>34.876624524798871</v>
      </c>
      <c r="Y164" s="296">
        <f>'22A-22G'!Y13/'22A-22G'!Y44</f>
        <v>29.895076201641267</v>
      </c>
    </row>
    <row r="165" spans="1:25">
      <c r="A165" s="223">
        <v>2004</v>
      </c>
      <c r="B165" s="296">
        <f>'22A-22G'!B14/'22A-22G'!B45</f>
        <v>30.549018773222663</v>
      </c>
      <c r="C165" s="296">
        <f>'22A-22G'!C14/'22A-22G'!C45</f>
        <v>26.335497448218867</v>
      </c>
      <c r="D165" s="296">
        <f>'22A-22G'!D14/'22A-22G'!D45</f>
        <v>27.973128933618334</v>
      </c>
      <c r="E165" s="296">
        <f>'22A-22G'!E14/'22A-22G'!E45</f>
        <v>37.264879035447528</v>
      </c>
      <c r="F165" s="296">
        <f>'22A-22G'!F14/'22A-22G'!F45</f>
        <v>41.363822460302273</v>
      </c>
      <c r="G165" s="296">
        <f>'22A-22G'!G14/'22A-22G'!G45</f>
        <v>31.350732878792062</v>
      </c>
      <c r="H165" s="296">
        <f>'22A-22G'!H14/'22A-22G'!H45</f>
        <v>30.568032418416475</v>
      </c>
      <c r="I165" s="296">
        <f>'22A-22G'!I14/'22A-22G'!I45</f>
        <v>22.157246114925911</v>
      </c>
      <c r="J165" s="296">
        <f>'22A-22G'!J14/'22A-22G'!J45</f>
        <v>25.681748954670063</v>
      </c>
      <c r="K165" s="296">
        <f>'22A-22G'!K14/'22A-22G'!K45</f>
        <v>41.494822471406984</v>
      </c>
      <c r="L165" s="296">
        <f>'22A-22G'!L14/'22A-22G'!L45</f>
        <v>46.671970408642558</v>
      </c>
      <c r="M165" s="296">
        <f>'22A-22G'!M14/'22A-22G'!M45</f>
        <v>32.464625780690078</v>
      </c>
      <c r="N165" s="296">
        <f>'22A-22G'!N14/'22A-22G'!N45</f>
        <v>29.189321815585362</v>
      </c>
      <c r="O165" s="296">
        <f>'22A-22G'!O14/'22A-22G'!O45</f>
        <v>25.7503521773749</v>
      </c>
      <c r="P165" s="296">
        <f>'22A-22G'!P14/'22A-22G'!P45</f>
        <v>25.054328189999502</v>
      </c>
      <c r="Q165" s="296">
        <f>'22A-22G'!Q14/'22A-22G'!Q45</f>
        <v>33.807094941681271</v>
      </c>
      <c r="R165" s="296">
        <f>'22A-22G'!R14/'22A-22G'!R45</f>
        <v>37.15171365071938</v>
      </c>
      <c r="S165" s="296">
        <f>'22A-22G'!S14/'22A-22G'!S45</f>
        <v>31.692007893438578</v>
      </c>
      <c r="T165" s="296">
        <f>'22A-22G'!T14/'22A-22G'!T45</f>
        <v>34.448559808197039</v>
      </c>
      <c r="U165" s="296">
        <f>'22A-22G'!U14/'22A-22G'!U45</f>
        <v>31.73156584874226</v>
      </c>
      <c r="V165" s="296">
        <f>'22A-22G'!V14/'22A-22G'!V45</f>
        <v>34.947033419706329</v>
      </c>
      <c r="W165" s="296">
        <f>'22A-22G'!W14/'22A-22G'!W45</f>
        <v>38.105710861075671</v>
      </c>
      <c r="X165" s="296">
        <f>'22A-22G'!X14/'22A-22G'!X45</f>
        <v>39.348107524948304</v>
      </c>
      <c r="Y165" s="296">
        <f>'22A-22G'!Y14/'22A-22G'!Y45</f>
        <v>30.472898230088497</v>
      </c>
    </row>
    <row r="166" spans="1:25">
      <c r="A166" s="223">
        <v>2005</v>
      </c>
      <c r="B166" s="296">
        <f>'22A-22G'!B15/'22A-22G'!B46</f>
        <v>32.600016035657468</v>
      </c>
      <c r="C166" s="296">
        <f>'22A-22G'!C15/'22A-22G'!C46</f>
        <v>28.040308755395746</v>
      </c>
      <c r="D166" s="296">
        <f>'22A-22G'!D15/'22A-22G'!D46</f>
        <v>29.644734491579214</v>
      </c>
      <c r="E166" s="296">
        <f>'22A-22G'!E15/'22A-22G'!E46</f>
        <v>40.138997621138714</v>
      </c>
      <c r="F166" s="296">
        <f>'22A-22G'!F15/'22A-22G'!F46</f>
        <v>45.451809218757823</v>
      </c>
      <c r="G166" s="296">
        <f>'22A-22G'!G15/'22A-22G'!G46</f>
        <v>32.769763696442951</v>
      </c>
      <c r="H166" s="296">
        <f>'22A-22G'!H15/'22A-22G'!H46</f>
        <v>32.048104795564349</v>
      </c>
      <c r="I166" s="296">
        <f>'22A-22G'!I15/'22A-22G'!I46</f>
        <v>23.414483313817332</v>
      </c>
      <c r="J166" s="296">
        <f>'22A-22G'!J15/'22A-22G'!J46</f>
        <v>26.984216589861752</v>
      </c>
      <c r="K166" s="296">
        <f>'22A-22G'!K15/'22A-22G'!K46</f>
        <v>42.278026359315426</v>
      </c>
      <c r="L166" s="296">
        <f>'22A-22G'!L15/'22A-22G'!L46</f>
        <v>46.464224429306846</v>
      </c>
      <c r="M166" s="296">
        <f>'22A-22G'!M15/'22A-22G'!M46</f>
        <v>33.792674571805009</v>
      </c>
      <c r="N166" s="296">
        <f>'22A-22G'!N15/'22A-22G'!N46</f>
        <v>31.187835273985343</v>
      </c>
      <c r="O166" s="296">
        <f>'22A-22G'!O15/'22A-22G'!O46</f>
        <v>28.47608286252354</v>
      </c>
      <c r="P166" s="296">
        <f>'22A-22G'!P15/'22A-22G'!P46</f>
        <v>26.494100684004149</v>
      </c>
      <c r="Q166" s="296">
        <f>'22A-22G'!Q15/'22A-22G'!Q46</f>
        <v>36.22217713135511</v>
      </c>
      <c r="R166" s="296">
        <f>'22A-22G'!R15/'22A-22G'!R46</f>
        <v>42.808571153104509</v>
      </c>
      <c r="S166" s="296">
        <f>'22A-22G'!S15/'22A-22G'!S46</f>
        <v>32.878365149290261</v>
      </c>
      <c r="T166" s="296">
        <f>'22A-22G'!T15/'22A-22G'!T46</f>
        <v>36.571316792616869</v>
      </c>
      <c r="U166" s="296">
        <f>'22A-22G'!U15/'22A-22G'!U46</f>
        <v>33.955995060887339</v>
      </c>
      <c r="V166" s="296">
        <f>'22A-22G'!V15/'22A-22G'!V46</f>
        <v>35.281703048431233</v>
      </c>
      <c r="W166" s="296">
        <f>'22A-22G'!W15/'22A-22G'!W46</f>
        <v>45.914266661109487</v>
      </c>
      <c r="X166" s="296">
        <f>'22A-22G'!X15/'22A-22G'!X46</f>
        <v>48.177060790871529</v>
      </c>
      <c r="Y166" s="296">
        <f>'22A-22G'!Y15/'22A-22G'!Y46</f>
        <v>33.338339705079193</v>
      </c>
    </row>
    <row r="167" spans="1:25">
      <c r="A167" s="223">
        <v>2006</v>
      </c>
      <c r="B167" s="296">
        <f>'22A-22G'!B16/'22A-22G'!B47</f>
        <v>33.701075750696297</v>
      </c>
      <c r="C167" s="296">
        <f>'22A-22G'!C16/'22A-22G'!C47</f>
        <v>28.75078955199524</v>
      </c>
      <c r="D167" s="296">
        <f>'22A-22G'!D16/'22A-22G'!D47</f>
        <v>30.99717890447457</v>
      </c>
      <c r="E167" s="296">
        <f>'22A-22G'!E16/'22A-22G'!E47</f>
        <v>40.925386574887895</v>
      </c>
      <c r="F167" s="296">
        <f>'22A-22G'!F16/'22A-22G'!F47</f>
        <v>46.070362518775767</v>
      </c>
      <c r="G167" s="296">
        <f>'22A-22G'!G16/'22A-22G'!G47</f>
        <v>33.849819801341965</v>
      </c>
      <c r="H167" s="296">
        <f>'22A-22G'!H16/'22A-22G'!H47</f>
        <v>32.870532768858588</v>
      </c>
      <c r="I167" s="296">
        <f>'22A-22G'!I16/'22A-22G'!I47</f>
        <v>23.554846370788184</v>
      </c>
      <c r="J167" s="296">
        <f>'22A-22G'!J16/'22A-22G'!J47</f>
        <v>27.640253540718259</v>
      </c>
      <c r="K167" s="296">
        <f>'22A-22G'!K16/'22A-22G'!K47</f>
        <v>43.395156623019602</v>
      </c>
      <c r="L167" s="296">
        <f>'22A-22G'!L16/'22A-22G'!L47</f>
        <v>47.706234533407837</v>
      </c>
      <c r="M167" s="296">
        <f>'22A-22G'!M16/'22A-22G'!M47</f>
        <v>34.247473321664501</v>
      </c>
      <c r="N167" s="296">
        <f>'22A-22G'!N16/'22A-22G'!N47</f>
        <v>31.28795791295212</v>
      </c>
      <c r="O167" s="296">
        <f>'22A-22G'!O16/'22A-22G'!O47</f>
        <v>28.031532120894937</v>
      </c>
      <c r="P167" s="296">
        <f>'22A-22G'!P16/'22A-22G'!P47</f>
        <v>26.774373857895302</v>
      </c>
      <c r="Q167" s="296">
        <f>'22A-22G'!Q16/'22A-22G'!Q47</f>
        <v>36.459480305783138</v>
      </c>
      <c r="R167" s="296">
        <f>'22A-22G'!R16/'22A-22G'!R47</f>
        <v>41.100947039839163</v>
      </c>
      <c r="S167" s="296">
        <f>'22A-22G'!S16/'22A-22G'!S47</f>
        <v>34.235186734616263</v>
      </c>
      <c r="T167" s="296">
        <f>'22A-22G'!T16/'22A-22G'!T47</f>
        <v>39.63313668942375</v>
      </c>
      <c r="U167" s="296">
        <f>'22A-22G'!U16/'22A-22G'!U47</f>
        <v>36.461735543542311</v>
      </c>
      <c r="V167" s="296">
        <f>'22A-22G'!V16/'22A-22G'!V47</f>
        <v>39.412847477459906</v>
      </c>
      <c r="W167" s="296">
        <f>'22A-22G'!W16/'22A-22G'!W47</f>
        <v>45.488730071467842</v>
      </c>
      <c r="X167" s="296">
        <f>'22A-22G'!X16/'22A-22G'!X47</f>
        <v>47.389423789068289</v>
      </c>
      <c r="Y167" s="296">
        <f>'22A-22G'!Y16/'22A-22G'!Y47</f>
        <v>34.146729522687096</v>
      </c>
    </row>
    <row r="168" spans="1:25">
      <c r="A168" s="223">
        <v>2007</v>
      </c>
      <c r="B168" s="296">
        <f>'22A-22G'!B17/'22A-22G'!B48</f>
        <v>33.637688597369653</v>
      </c>
      <c r="C168" s="296">
        <f>'22A-22G'!C17/'22A-22G'!C48</f>
        <v>28.992170495455998</v>
      </c>
      <c r="D168" s="296">
        <f>'22A-22G'!D17/'22A-22G'!D48</f>
        <v>30.483326167571345</v>
      </c>
      <c r="E168" s="296">
        <f>'22A-22G'!E17/'22A-22G'!E48</f>
        <v>40.894998837231228</v>
      </c>
      <c r="F168" s="296">
        <f>'22A-22G'!F17/'22A-22G'!F48</f>
        <v>46.359297495884618</v>
      </c>
      <c r="G168" s="296">
        <f>'22A-22G'!G17/'22A-22G'!G48</f>
        <v>33.455909637391834</v>
      </c>
      <c r="H168" s="296">
        <f>'22A-22G'!H17/'22A-22G'!H48</f>
        <v>33.8062398721558</v>
      </c>
      <c r="I168" s="296">
        <f>'22A-22G'!I17/'22A-22G'!I48</f>
        <v>24.756128713279221</v>
      </c>
      <c r="J168" s="296">
        <f>'22A-22G'!J17/'22A-22G'!J48</f>
        <v>27.920224579357889</v>
      </c>
      <c r="K168" s="296">
        <f>'22A-22G'!K17/'22A-22G'!K48</f>
        <v>44.131355535148707</v>
      </c>
      <c r="L168" s="296">
        <f>'22A-22G'!L17/'22A-22G'!L48</f>
        <v>50.983262590686053</v>
      </c>
      <c r="M168" s="296">
        <f>'22A-22G'!M17/'22A-22G'!M48</f>
        <v>32.829791459781532</v>
      </c>
      <c r="N168" s="296">
        <f>'22A-22G'!N17/'22A-22G'!N48</f>
        <v>31.997900482888937</v>
      </c>
      <c r="O168" s="296">
        <f>'22A-22G'!O17/'22A-22G'!O48</f>
        <v>30.590955404028527</v>
      </c>
      <c r="P168" s="296">
        <f>'22A-22G'!P17/'22A-22G'!P48</f>
        <v>26.85422368556436</v>
      </c>
      <c r="Q168" s="296">
        <f>'22A-22G'!Q17/'22A-22G'!Q48</f>
        <v>37.056780845198084</v>
      </c>
      <c r="R168" s="296">
        <f>'22A-22G'!R17/'22A-22G'!R48</f>
        <v>42.726919910619785</v>
      </c>
      <c r="S168" s="296">
        <f>'22A-22G'!S17/'22A-22G'!S48</f>
        <v>34.374694036493104</v>
      </c>
      <c r="T168" s="296">
        <f>'22A-22G'!T17/'22A-22G'!T48</f>
        <v>36.749654429790063</v>
      </c>
      <c r="U168" s="296">
        <f>'22A-22G'!U17/'22A-22G'!U48</f>
        <v>33.776424719613154</v>
      </c>
      <c r="V168" s="296">
        <f>'22A-22G'!V17/'22A-22G'!V48</f>
        <v>36.41147601703809</v>
      </c>
      <c r="W168" s="296">
        <f>'22A-22G'!W17/'22A-22G'!W48</f>
        <v>41.979022815971177</v>
      </c>
      <c r="X168" s="296">
        <f>'22A-22G'!X17/'22A-22G'!X48</f>
        <v>43.403293955333275</v>
      </c>
      <c r="Y168" s="296">
        <f>'22A-22G'!Y17/'22A-22G'!Y48</f>
        <v>32.405499276411</v>
      </c>
    </row>
    <row r="169" spans="1:25">
      <c r="A169" s="223">
        <v>2008</v>
      </c>
      <c r="B169" s="296">
        <f>'22A-22G'!B18/'22A-22G'!B49</f>
        <v>34.736136348062786</v>
      </c>
      <c r="C169" s="296">
        <f>'22A-22G'!C18/'22A-22G'!C49</f>
        <v>30.729712815520479</v>
      </c>
      <c r="D169" s="296">
        <f>'22A-22G'!D18/'22A-22G'!D49</f>
        <v>31.216993854294273</v>
      </c>
      <c r="E169" s="296">
        <f>'22A-22G'!E18/'22A-22G'!E49</f>
        <v>41.952784223551106</v>
      </c>
      <c r="F169" s="296">
        <f>'22A-22G'!F18/'22A-22G'!F49</f>
        <v>49.007350518338278</v>
      </c>
      <c r="G169" s="296">
        <f>'22A-22G'!G18/'22A-22G'!G49</f>
        <v>33.218770592111454</v>
      </c>
      <c r="H169" s="296">
        <f>'22A-22G'!H18/'22A-22G'!H49</f>
        <v>34.611923248977504</v>
      </c>
      <c r="I169" s="296">
        <f>'22A-22G'!I18/'22A-22G'!I49</f>
        <v>27.828239876008425</v>
      </c>
      <c r="J169" s="296">
        <f>'22A-22G'!J18/'22A-22G'!J49</f>
        <v>28.126192380469345</v>
      </c>
      <c r="K169" s="296">
        <f>'22A-22G'!K18/'22A-22G'!K49</f>
        <v>44.931785553139996</v>
      </c>
      <c r="L169" s="296">
        <f>'22A-22G'!L18/'22A-22G'!L49</f>
        <v>51.925158222549641</v>
      </c>
      <c r="M169" s="296">
        <f>'22A-22G'!M18/'22A-22G'!M49</f>
        <v>33.878962688541939</v>
      </c>
      <c r="N169" s="296">
        <f>'22A-22G'!N18/'22A-22G'!N49</f>
        <v>32.127106983144138</v>
      </c>
      <c r="O169" s="296">
        <f>'22A-22G'!O18/'22A-22G'!O49</f>
        <v>30.527704709376327</v>
      </c>
      <c r="P169" s="296">
        <f>'22A-22G'!P18/'22A-22G'!P49</f>
        <v>26.908176246096911</v>
      </c>
      <c r="Q169" s="296">
        <f>'22A-22G'!Q18/'22A-22G'!Q49</f>
        <v>37.053151192778856</v>
      </c>
      <c r="R169" s="296">
        <f>'22A-22G'!R18/'22A-22G'!R49</f>
        <v>46.668752976392952</v>
      </c>
      <c r="S169" s="296">
        <f>'22A-22G'!S18/'22A-22G'!S49</f>
        <v>33.007156556837373</v>
      </c>
      <c r="T169" s="296">
        <f>'22A-22G'!T18/'22A-22G'!T49</f>
        <v>39.443746294064766</v>
      </c>
      <c r="U169" s="296">
        <f>'22A-22G'!U18/'22A-22G'!U49</f>
        <v>35.909518895911262</v>
      </c>
      <c r="V169" s="296">
        <f>'22A-22G'!V18/'22A-22G'!V49</f>
        <v>39.039292159031376</v>
      </c>
      <c r="W169" s="296">
        <f>'22A-22G'!W18/'22A-22G'!W49</f>
        <v>45.369690637350658</v>
      </c>
      <c r="X169" s="296">
        <f>'22A-22G'!X18/'22A-22G'!X49</f>
        <v>46.9307914804102</v>
      </c>
      <c r="Y169" s="296">
        <f>'22A-22G'!Y18/'22A-22G'!Y49</f>
        <v>35.456485495165055</v>
      </c>
    </row>
    <row r="170" spans="1:25">
      <c r="A170" s="223">
        <v>2009</v>
      </c>
      <c r="B170" s="296">
        <f>'22A-22G'!B19/'22A-22G'!B50</f>
        <v>35.718264456082274</v>
      </c>
      <c r="C170" s="296">
        <f>'22A-22G'!C19/'22A-22G'!C50</f>
        <v>30.918876969355658</v>
      </c>
      <c r="D170" s="296">
        <f>'22A-22G'!D19/'22A-22G'!D50</f>
        <v>31.369641875254011</v>
      </c>
      <c r="E170" s="296">
        <f>'22A-22G'!E19/'22A-22G'!E50</f>
        <v>44.10542710515454</v>
      </c>
      <c r="F170" s="296">
        <f>'22A-22G'!F19/'22A-22G'!F50</f>
        <v>50.311573420087612</v>
      </c>
      <c r="G170" s="296">
        <f>'22A-22G'!G19/'22A-22G'!G50</f>
        <v>36.648539295021259</v>
      </c>
      <c r="H170" s="296">
        <f>'22A-22G'!H19/'22A-22G'!H50</f>
        <v>33.729598211928689</v>
      </c>
      <c r="I170" s="296">
        <f>'22A-22G'!I19/'22A-22G'!I50</f>
        <v>28.920829212001319</v>
      </c>
      <c r="J170" s="296">
        <f>'22A-22G'!J19/'22A-22G'!J50</f>
        <v>26.906442827354354</v>
      </c>
      <c r="K170" s="296">
        <f>'22A-22G'!K19/'22A-22G'!K50</f>
        <v>44.049433695139214</v>
      </c>
      <c r="L170" s="296">
        <f>'22A-22G'!L19/'22A-22G'!L50</f>
        <v>49.259001440230435</v>
      </c>
      <c r="M170" s="296">
        <f>'22A-22G'!M19/'22A-22G'!M50</f>
        <v>36.560892826324569</v>
      </c>
      <c r="N170" s="296">
        <f>'22A-22G'!N19/'22A-22G'!N50</f>
        <v>35.467258058883104</v>
      </c>
      <c r="O170" s="296">
        <f>'22A-22G'!O19/'22A-22G'!O50</f>
        <v>32.249085505258343</v>
      </c>
      <c r="P170" s="296">
        <f>'22A-22G'!P19/'22A-22G'!P50</f>
        <v>28.433515809626371</v>
      </c>
      <c r="Q170" s="296">
        <f>'22A-22G'!Q19/'22A-22G'!Q50</f>
        <v>41.489021545217511</v>
      </c>
      <c r="R170" s="296">
        <f>'22A-22G'!R19/'22A-22G'!R50</f>
        <v>51.40212834569494</v>
      </c>
      <c r="S170" s="296">
        <f>'22A-22G'!S19/'22A-22G'!S50</f>
        <v>37.562775400728015</v>
      </c>
      <c r="T170" s="296">
        <f>'22A-22G'!T19/'22A-22G'!T50</f>
        <v>41.159127099827302</v>
      </c>
      <c r="U170" s="296">
        <f>'22A-22G'!U19/'22A-22G'!U50</f>
        <v>36.114889388178362</v>
      </c>
      <c r="V170" s="296">
        <f>'22A-22G'!V19/'22A-22G'!V50</f>
        <v>40.935526435526434</v>
      </c>
      <c r="W170" s="296">
        <f>'22A-22G'!W19/'22A-22G'!W50</f>
        <v>46.893132191718763</v>
      </c>
      <c r="X170" s="296">
        <f>'22A-22G'!X19/'22A-22G'!X50</f>
        <v>48.056710383080194</v>
      </c>
      <c r="Y170" s="296">
        <f>'22A-22G'!Y19/'22A-22G'!Y50</f>
        <v>38.841121495327101</v>
      </c>
    </row>
    <row r="171" spans="1:25">
      <c r="A171" s="223">
        <v>2010</v>
      </c>
      <c r="B171" s="296">
        <f>'22A-22G'!B20/'22A-22G'!B51</f>
        <v>35.415645811286062</v>
      </c>
      <c r="C171" s="296">
        <f>'22A-22G'!C20/'22A-22G'!C51</f>
        <v>31.551389042918931</v>
      </c>
      <c r="D171" s="296">
        <f>'22A-22G'!D20/'22A-22G'!D51</f>
        <v>30.72164890696606</v>
      </c>
      <c r="E171" s="296">
        <f>'22A-22G'!E20/'22A-22G'!E51</f>
        <v>44.452130845054462</v>
      </c>
      <c r="F171" s="296">
        <f>'22A-22G'!F20/'22A-22G'!F51</f>
        <v>50.690340866033132</v>
      </c>
      <c r="G171" s="296">
        <f>'22A-22G'!G20/'22A-22G'!G51</f>
        <v>37.30486047198152</v>
      </c>
      <c r="H171" s="296">
        <f>'22A-22G'!H20/'22A-22G'!H51</f>
        <v>34.376276698602446</v>
      </c>
      <c r="I171" s="296">
        <f>'22A-22G'!I20/'22A-22G'!I51</f>
        <v>31.610016324626866</v>
      </c>
      <c r="J171" s="296">
        <f>'22A-22G'!J20/'22A-22G'!J51</f>
        <v>28.412927566360608</v>
      </c>
      <c r="K171" s="296">
        <f>'22A-22G'!K20/'22A-22G'!K51</f>
        <v>42.37432556473459</v>
      </c>
      <c r="L171" s="296">
        <f>'22A-22G'!L20/'22A-22G'!L51</f>
        <v>48.644246385422854</v>
      </c>
      <c r="M171" s="296">
        <f>'22A-22G'!M20/'22A-22G'!M51</f>
        <v>34.222828605261803</v>
      </c>
      <c r="N171" s="296">
        <f>'22A-22G'!N20/'22A-22G'!N51</f>
        <v>35.775439468142999</v>
      </c>
      <c r="O171" s="296">
        <f>'22A-22G'!O20/'22A-22G'!O51</f>
        <v>30.388009703130415</v>
      </c>
      <c r="P171" s="296">
        <f>'22A-22G'!P20/'22A-22G'!P51</f>
        <v>27.904054207948981</v>
      </c>
      <c r="Q171" s="296">
        <f>'22A-22G'!Q20/'22A-22G'!Q51</f>
        <v>43.704021789806887</v>
      </c>
      <c r="R171" s="296">
        <f>'22A-22G'!R20/'22A-22G'!R51</f>
        <v>51.79048356565135</v>
      </c>
      <c r="S171" s="296">
        <f>'22A-22G'!S20/'22A-22G'!S51</f>
        <v>40.477875802409805</v>
      </c>
      <c r="T171" s="296">
        <f>'22A-22G'!T20/'22A-22G'!T51</f>
        <v>39.417744839861356</v>
      </c>
      <c r="U171" s="296">
        <f>'22A-22G'!U20/'22A-22G'!U51</f>
        <v>33.864542242650842</v>
      </c>
      <c r="V171" s="296">
        <f>'22A-22G'!V20/'22A-22G'!V51</f>
        <v>37.408573999836371</v>
      </c>
      <c r="W171" s="296">
        <f>'22A-22G'!W20/'22A-22G'!W51</f>
        <v>53.846682937652538</v>
      </c>
      <c r="X171" s="296">
        <f>'22A-22G'!X20/'22A-22G'!X51</f>
        <v>56.733882913634318</v>
      </c>
      <c r="Y171" s="296">
        <f>'22A-22G'!Y20/'22A-22G'!Y51</f>
        <v>35.908073541167063</v>
      </c>
    </row>
    <row r="172" spans="1:25">
      <c r="A172" s="223">
        <v>2011</v>
      </c>
      <c r="B172" s="296">
        <f>'22A-22G'!B21/'22A-22G'!B52</f>
        <v>36.527862339902086</v>
      </c>
      <c r="C172" s="296">
        <f>'22A-22G'!C21/'22A-22G'!C52</f>
        <v>32.430468944058781</v>
      </c>
      <c r="D172" s="296">
        <f>'22A-22G'!D21/'22A-22G'!D52</f>
        <v>31.541643570661982</v>
      </c>
      <c r="E172" s="296">
        <f>'22A-22G'!E21/'22A-22G'!E52</f>
        <v>46.441526670544363</v>
      </c>
      <c r="F172" s="296">
        <f>'22A-22G'!F21/'22A-22G'!F52</f>
        <v>52.940448974407822</v>
      </c>
      <c r="G172" s="296">
        <f>'22A-22G'!G21/'22A-22G'!G52</f>
        <v>38.848927134140688</v>
      </c>
      <c r="H172" s="296">
        <f>'22A-22G'!H21/'22A-22G'!H52</f>
        <v>34.821920960111918</v>
      </c>
      <c r="I172" s="296">
        <f>'22A-22G'!I21/'22A-22G'!I52</f>
        <v>26.958664404963841</v>
      </c>
      <c r="J172" s="296">
        <f>'22A-22G'!J21/'22A-22G'!J52</f>
        <v>28.532733459047307</v>
      </c>
      <c r="K172" s="296">
        <f>'22A-22G'!K21/'22A-22G'!K52</f>
        <v>47.71401879137305</v>
      </c>
      <c r="L172" s="296">
        <f>'22A-22G'!L21/'22A-22G'!L52</f>
        <v>53.654727660759022</v>
      </c>
      <c r="M172" s="296">
        <f>'22A-22G'!M21/'22A-22G'!M52</f>
        <v>39.665870521684475</v>
      </c>
      <c r="N172" s="296">
        <f>'22A-22G'!N21/'22A-22G'!N52</f>
        <v>34.575511255827031</v>
      </c>
      <c r="O172" s="296">
        <f>'22A-22G'!O21/'22A-22G'!O52</f>
        <v>29.348506115901344</v>
      </c>
      <c r="P172" s="296">
        <f>'22A-22G'!P21/'22A-22G'!P52</f>
        <v>27.188124702522607</v>
      </c>
      <c r="Q172" s="296">
        <f>'22A-22G'!Q21/'22A-22G'!Q52</f>
        <v>41.765817938164069</v>
      </c>
      <c r="R172" s="296">
        <f>'22A-22G'!R21/'22A-22G'!R52</f>
        <v>47.691513098091065</v>
      </c>
      <c r="S172" s="296">
        <f>'22A-22G'!S21/'22A-22G'!S52</f>
        <v>39.350389059184153</v>
      </c>
      <c r="T172" s="296">
        <f>'22A-22G'!T21/'22A-22G'!T52</f>
        <v>42.471774281063482</v>
      </c>
      <c r="U172" s="296">
        <f>'22A-22G'!U21/'22A-22G'!U52</f>
        <v>39.767109744040425</v>
      </c>
      <c r="V172" s="296">
        <f>'22A-22G'!V21/'22A-22G'!V52</f>
        <v>39.148164393175136</v>
      </c>
      <c r="W172" s="296">
        <f>'22A-22G'!W21/'22A-22G'!W52</f>
        <v>54.185729875798991</v>
      </c>
      <c r="X172" s="296">
        <f>'22A-22G'!X21/'22A-22G'!X52</f>
        <v>56.780818671879629</v>
      </c>
      <c r="Y172" s="296">
        <f>'22A-22G'!Y21/'22A-22G'!Y52</f>
        <v>35.638441998306519</v>
      </c>
    </row>
    <row r="173" spans="1:25">
      <c r="A173" s="223">
        <v>2012</v>
      </c>
      <c r="B173" s="296">
        <f>'22A-22G'!B22/'22A-22G'!B53</f>
        <v>38.433719640725663</v>
      </c>
      <c r="C173" s="296">
        <f>'22A-22G'!C22/'22A-22G'!C53</f>
        <v>34.841544510943415</v>
      </c>
      <c r="D173" s="296">
        <f>'22A-22G'!D22/'22A-22G'!D53</f>
        <v>33.571888902387521</v>
      </c>
      <c r="E173" s="296">
        <f>'22A-22G'!E22/'22A-22G'!E53</f>
        <v>48.125634178905209</v>
      </c>
      <c r="F173" s="296">
        <f>'22A-22G'!F22/'22A-22G'!F53</f>
        <v>55.080381114530809</v>
      </c>
      <c r="G173" s="296">
        <f>'22A-22G'!G22/'22A-22G'!G53</f>
        <v>39.838200011703435</v>
      </c>
      <c r="H173" s="296">
        <f>'22A-22G'!H22/'22A-22G'!H53</f>
        <v>37.459777612442288</v>
      </c>
      <c r="I173" s="296">
        <f>'22A-22G'!I22/'22A-22G'!I53</f>
        <v>30.858505564387919</v>
      </c>
      <c r="J173" s="296">
        <f>'22A-22G'!J22/'22A-22G'!J53</f>
        <v>30.581657832206179</v>
      </c>
      <c r="K173" s="296">
        <f>'22A-22G'!K22/'22A-22G'!K53</f>
        <v>48.516646148905423</v>
      </c>
      <c r="L173" s="296">
        <f>'22A-22G'!L22/'22A-22G'!L53</f>
        <v>54.81158893783207</v>
      </c>
      <c r="M173" s="296">
        <f>'22A-22G'!M22/'22A-22G'!M53</f>
        <v>39.483023786249589</v>
      </c>
      <c r="N173" s="296">
        <f>'22A-22G'!N22/'22A-22G'!N53</f>
        <v>37.002789961329839</v>
      </c>
      <c r="O173" s="296">
        <f>'22A-22G'!O22/'22A-22G'!O53</f>
        <v>31.332868757259</v>
      </c>
      <c r="P173" s="296">
        <f>'22A-22G'!P22/'22A-22G'!P53</f>
        <v>28.087118957878729</v>
      </c>
      <c r="Q173" s="296">
        <f>'22A-22G'!Q22/'22A-22G'!Q53</f>
        <v>45.338690258074649</v>
      </c>
      <c r="R173" s="296">
        <f>'22A-22G'!R22/'22A-22G'!R53</f>
        <v>53.186193963207714</v>
      </c>
      <c r="S173" s="296">
        <f>'22A-22G'!S22/'22A-22G'!S53</f>
        <v>42.08497482227488</v>
      </c>
      <c r="T173" s="296">
        <f>'22A-22G'!T22/'22A-22G'!T53</f>
        <v>43.554289038104372</v>
      </c>
      <c r="U173" s="296">
        <f>'22A-22G'!U22/'22A-22G'!U53</f>
        <v>40.252314394626971</v>
      </c>
      <c r="V173" s="296">
        <f>'22A-22G'!V22/'22A-22G'!V53</f>
        <v>41.202884356876751</v>
      </c>
      <c r="W173" s="296">
        <f>'22A-22G'!W22/'22A-22G'!W53</f>
        <v>55.167891156462588</v>
      </c>
      <c r="X173" s="296">
        <f>'22A-22G'!X22/'22A-22G'!X53</f>
        <v>58.313046211883055</v>
      </c>
      <c r="Y173" s="296">
        <f>'22A-22G'!Y22/'22A-22G'!Y53</f>
        <v>34.943679092382496</v>
      </c>
    </row>
    <row r="174" spans="1:25">
      <c r="A174" s="223">
        <v>2013</v>
      </c>
      <c r="B174" s="296">
        <f>'22A-22G'!B23/'22A-22G'!B54</f>
        <v>39.087115712032436</v>
      </c>
      <c r="C174" s="296">
        <f>'22A-22G'!C23/'22A-22G'!C54</f>
        <v>36.617566168859973</v>
      </c>
      <c r="D174" s="296">
        <f>'22A-22G'!D23/'22A-22G'!D54</f>
        <v>33.999521302058405</v>
      </c>
      <c r="E174" s="296">
        <f>'22A-22G'!E23/'22A-22G'!E54</f>
        <v>48.605959153306657</v>
      </c>
      <c r="F174" s="296">
        <f>'22A-22G'!F23/'22A-22G'!F54</f>
        <v>55.252636443153499</v>
      </c>
      <c r="G174" s="296">
        <f>'22A-22G'!G23/'22A-22G'!G54</f>
        <v>40.490065290988234</v>
      </c>
      <c r="H174" s="296">
        <f>'22A-22G'!H23/'22A-22G'!H54</f>
        <v>37.359794583127673</v>
      </c>
      <c r="I174" s="296">
        <f>'22A-22G'!I23/'22A-22G'!I54</f>
        <v>33.287416026040582</v>
      </c>
      <c r="J174" s="296">
        <f>'22A-22G'!J23/'22A-22G'!J54</f>
        <v>29.872799571083906</v>
      </c>
      <c r="K174" s="296">
        <f>'22A-22G'!K23/'22A-22G'!K54</f>
        <v>48.297351324337832</v>
      </c>
      <c r="L174" s="296">
        <f>'22A-22G'!L23/'22A-22G'!L54</f>
        <v>54.539610791264217</v>
      </c>
      <c r="M174" s="296">
        <f>'22A-22G'!M23/'22A-22G'!M54</f>
        <v>39.551629891340575</v>
      </c>
      <c r="N174" s="296">
        <f>'22A-22G'!N23/'22A-22G'!N54</f>
        <v>36.901547495416487</v>
      </c>
      <c r="O174" s="296">
        <f>'22A-22G'!O23/'22A-22G'!O54</f>
        <v>33.69747706422018</v>
      </c>
      <c r="P174" s="296">
        <f>'22A-22G'!P23/'22A-22G'!P54</f>
        <v>27.066098484848485</v>
      </c>
      <c r="Q174" s="296">
        <f>'22A-22G'!Q23/'22A-22G'!Q54</f>
        <v>45.932228635263449</v>
      </c>
      <c r="R174" s="296">
        <f>'22A-22G'!R23/'22A-22G'!R54</f>
        <v>53.019252352585688</v>
      </c>
      <c r="S174" s="296">
        <f>'22A-22G'!S23/'22A-22G'!S54</f>
        <v>42.776658722226493</v>
      </c>
      <c r="T174" s="296">
        <f>'22A-22G'!T23/'22A-22G'!T54</f>
        <v>43.745808916437007</v>
      </c>
      <c r="U174" s="296">
        <f>'22A-22G'!U23/'22A-22G'!U54</f>
        <v>39.716788513469012</v>
      </c>
      <c r="V174" s="296">
        <f>'22A-22G'!V23/'22A-22G'!V54</f>
        <v>42.136301848687275</v>
      </c>
      <c r="W174" s="296">
        <f>'22A-22G'!W23/'22A-22G'!W54</f>
        <v>54.750603249503996</v>
      </c>
      <c r="X174" s="296">
        <f>'22A-22G'!X23/'22A-22G'!X54</f>
        <v>57.43355522682446</v>
      </c>
      <c r="Y174" s="296">
        <f>'22A-22G'!Y23/'22A-22G'!Y54</f>
        <v>36.800824742268041</v>
      </c>
    </row>
    <row r="175" spans="1:25">
      <c r="A175" s="223"/>
      <c r="B175" s="296"/>
      <c r="C175" s="296"/>
      <c r="D175" s="296"/>
      <c r="E175" s="296"/>
      <c r="F175" s="296"/>
      <c r="G175" s="296"/>
      <c r="H175" s="296"/>
      <c r="I175" s="296"/>
      <c r="J175" s="296"/>
      <c r="K175" s="296"/>
      <c r="L175" s="296"/>
      <c r="M175" s="296"/>
      <c r="N175" s="296"/>
      <c r="O175" s="296"/>
      <c r="P175" s="296"/>
      <c r="Q175" s="296"/>
      <c r="R175" s="296"/>
      <c r="S175" s="296"/>
      <c r="T175" s="296"/>
      <c r="U175" s="296"/>
      <c r="V175" s="296"/>
      <c r="W175" s="296"/>
      <c r="X175" s="296"/>
      <c r="Y175" s="296"/>
    </row>
    <row r="176" spans="1:25">
      <c r="A176" s="223" t="s">
        <v>32</v>
      </c>
      <c r="B176" s="296"/>
      <c r="C176" s="296"/>
      <c r="D176" s="296"/>
      <c r="E176" s="296"/>
      <c r="F176" s="296"/>
      <c r="G176" s="296"/>
      <c r="H176" s="296"/>
      <c r="I176" s="296"/>
      <c r="J176" s="296"/>
      <c r="K176" s="296"/>
      <c r="L176" s="296"/>
      <c r="M176" s="296"/>
      <c r="N176" s="296"/>
      <c r="O176" s="296"/>
      <c r="P176" s="296"/>
      <c r="Q176" s="296"/>
      <c r="R176" s="296"/>
      <c r="S176" s="296"/>
      <c r="T176" s="296"/>
      <c r="U176" s="296"/>
      <c r="V176" s="296"/>
      <c r="W176" s="296"/>
      <c r="X176" s="296"/>
      <c r="Y176" s="296"/>
    </row>
    <row r="177" spans="1:25">
      <c r="A177" s="295" t="s">
        <v>444</v>
      </c>
      <c r="B177" s="296">
        <f t="shared" ref="B177:Y177" si="51">((B174/B158)^(1/16)-1)*100</f>
        <v>3.3877517989383543</v>
      </c>
      <c r="C177" s="296">
        <f t="shared" si="51"/>
        <v>3.6893371083323023</v>
      </c>
      <c r="D177" s="296">
        <f t="shared" si="51"/>
        <v>3.2618311591413818</v>
      </c>
      <c r="E177" s="296">
        <f t="shared" si="51"/>
        <v>3.4228094900121242</v>
      </c>
      <c r="F177" s="296">
        <f t="shared" si="51"/>
        <v>3.5983249078348711</v>
      </c>
      <c r="G177" s="296">
        <f t="shared" si="51"/>
        <v>3.7763290362833102</v>
      </c>
      <c r="H177" s="399" t="s">
        <v>9</v>
      </c>
      <c r="I177" s="296">
        <f t="shared" si="51"/>
        <v>3.9375648280219666</v>
      </c>
      <c r="J177" s="296">
        <f t="shared" si="51"/>
        <v>3.0723162380329239</v>
      </c>
      <c r="K177" s="399" t="s">
        <v>9</v>
      </c>
      <c r="L177" s="399" t="s">
        <v>9</v>
      </c>
      <c r="M177" s="399" t="s">
        <v>9</v>
      </c>
      <c r="N177" s="296">
        <f t="shared" si="51"/>
        <v>3.107344274884416</v>
      </c>
      <c r="O177" s="296">
        <f t="shared" si="51"/>
        <v>2.6964640019697672</v>
      </c>
      <c r="P177" s="296">
        <f t="shared" si="51"/>
        <v>2.2324262960540686</v>
      </c>
      <c r="Q177" s="296">
        <f t="shared" si="51"/>
        <v>3.6074406204379628</v>
      </c>
      <c r="R177" s="296">
        <f t="shared" si="51"/>
        <v>3.891525219901304</v>
      </c>
      <c r="S177" s="296">
        <f t="shared" si="51"/>
        <v>3.8570173663978968</v>
      </c>
      <c r="T177" s="296">
        <f t="shared" si="51"/>
        <v>3.5482373748564111</v>
      </c>
      <c r="U177" s="296">
        <f t="shared" si="51"/>
        <v>3.2352321373032122</v>
      </c>
      <c r="V177" s="296">
        <f t="shared" si="51"/>
        <v>3.4299020537653657</v>
      </c>
      <c r="W177" s="296">
        <f t="shared" si="51"/>
        <v>4.166689314663885</v>
      </c>
      <c r="X177" s="296">
        <f t="shared" si="51"/>
        <v>4.2351923410072656</v>
      </c>
      <c r="Y177" s="296">
        <f t="shared" si="51"/>
        <v>3.6117720793053865</v>
      </c>
    </row>
    <row r="178" spans="1:25">
      <c r="A178" s="295" t="s">
        <v>445</v>
      </c>
      <c r="B178" s="296">
        <f t="shared" ref="B178:W178" si="52">((B174/B161)^(1/13)-1)*100</f>
        <v>3.2085879954358631</v>
      </c>
      <c r="C178" s="296">
        <f t="shared" si="52"/>
        <v>3.8002333744051153</v>
      </c>
      <c r="D178" s="296">
        <f t="shared" si="52"/>
        <v>2.7339543164975444</v>
      </c>
      <c r="E178" s="296">
        <f t="shared" si="52"/>
        <v>3.4573872057116928</v>
      </c>
      <c r="F178" s="296">
        <f t="shared" si="52"/>
        <v>3.8910830303607646</v>
      </c>
      <c r="G178" s="296">
        <f t="shared" si="52"/>
        <v>3.1004701197338225</v>
      </c>
      <c r="H178" s="296">
        <f t="shared" si="52"/>
        <v>3.0555905186589571</v>
      </c>
      <c r="I178" s="296">
        <f t="shared" si="52"/>
        <v>5.035864336093776</v>
      </c>
      <c r="J178" s="296">
        <f t="shared" si="52"/>
        <v>2.2701420165283759</v>
      </c>
      <c r="K178" s="296">
        <f t="shared" si="52"/>
        <v>2.9802101068801878</v>
      </c>
      <c r="L178" s="296">
        <f t="shared" si="52"/>
        <v>3.3024364254908178</v>
      </c>
      <c r="M178" s="296">
        <f t="shared" si="52"/>
        <v>2.7093911912291713</v>
      </c>
      <c r="N178" s="296">
        <f t="shared" si="52"/>
        <v>2.5656068430486734</v>
      </c>
      <c r="O178" s="296">
        <f t="shared" si="52"/>
        <v>2.7257075392646657</v>
      </c>
      <c r="P178" s="296">
        <f t="shared" si="52"/>
        <v>1.2409578143770084</v>
      </c>
      <c r="Q178" s="296">
        <f t="shared" si="52"/>
        <v>3.1323157459082429</v>
      </c>
      <c r="R178" s="296">
        <f t="shared" si="52"/>
        <v>3.2767412894669556</v>
      </c>
      <c r="S178" s="296">
        <f t="shared" si="52"/>
        <v>3.4462039601159677</v>
      </c>
      <c r="T178" s="296">
        <f t="shared" si="52"/>
        <v>3.374475841955582</v>
      </c>
      <c r="U178" s="296">
        <f t="shared" si="52"/>
        <v>2.5964486168248424</v>
      </c>
      <c r="V178" s="296">
        <f t="shared" si="52"/>
        <v>3.2066993920039533</v>
      </c>
      <c r="W178" s="296">
        <f t="shared" si="52"/>
        <v>4.8293694685782818</v>
      </c>
      <c r="X178" s="399" t="s">
        <v>9</v>
      </c>
      <c r="Y178" s="399" t="s">
        <v>9</v>
      </c>
    </row>
    <row r="179" spans="1:25">
      <c r="A179" s="295" t="s">
        <v>446</v>
      </c>
      <c r="B179" s="296">
        <f t="shared" ref="B179:W179" si="53">((B168/B161)^(1/7)-1)*100</f>
        <v>3.7903349828991795</v>
      </c>
      <c r="C179" s="296">
        <f t="shared" si="53"/>
        <v>3.6562872260920143</v>
      </c>
      <c r="D179" s="296">
        <f t="shared" si="53"/>
        <v>3.5098451755907423</v>
      </c>
      <c r="E179" s="296">
        <f t="shared" si="53"/>
        <v>3.9195315737752923</v>
      </c>
      <c r="F179" s="296">
        <f t="shared" si="53"/>
        <v>4.6887947062567825</v>
      </c>
      <c r="G179" s="296">
        <f t="shared" si="53"/>
        <v>2.9882163963556474</v>
      </c>
      <c r="H179" s="296">
        <f t="shared" si="53"/>
        <v>4.2496630446700046</v>
      </c>
      <c r="I179" s="296">
        <f t="shared" si="53"/>
        <v>5.0161146552454516</v>
      </c>
      <c r="J179" s="296">
        <f t="shared" si="53"/>
        <v>3.2550174035013812</v>
      </c>
      <c r="K179" s="296">
        <f t="shared" si="53"/>
        <v>4.2531056737625805</v>
      </c>
      <c r="L179" s="296">
        <f t="shared" si="53"/>
        <v>5.201479394360975</v>
      </c>
      <c r="M179" s="296">
        <f t="shared" si="53"/>
        <v>2.3305026997485712</v>
      </c>
      <c r="N179" s="296">
        <f t="shared" si="53"/>
        <v>2.7036012555743616</v>
      </c>
      <c r="O179" s="296">
        <f t="shared" si="53"/>
        <v>3.6786211824342496</v>
      </c>
      <c r="P179" s="296">
        <f t="shared" si="53"/>
        <v>2.202079683908531</v>
      </c>
      <c r="Q179" s="296">
        <f t="shared" si="53"/>
        <v>2.6962526167320089</v>
      </c>
      <c r="R179" s="296">
        <f t="shared" si="53"/>
        <v>2.9471679536016149</v>
      </c>
      <c r="S179" s="296">
        <f t="shared" si="53"/>
        <v>3.2191260452424153</v>
      </c>
      <c r="T179" s="296">
        <f t="shared" si="53"/>
        <v>3.7422613988363995</v>
      </c>
      <c r="U179" s="296">
        <f t="shared" si="53"/>
        <v>2.4761570906208563</v>
      </c>
      <c r="V179" s="296">
        <f t="shared" si="53"/>
        <v>3.8479135856991364</v>
      </c>
      <c r="W179" s="296">
        <f t="shared" si="53"/>
        <v>5.0897348162098233</v>
      </c>
      <c r="X179" s="399" t="s">
        <v>9</v>
      </c>
      <c r="Y179" s="399" t="s">
        <v>9</v>
      </c>
    </row>
    <row r="180" spans="1:25">
      <c r="A180" s="300" t="s">
        <v>447</v>
      </c>
      <c r="B180" s="296">
        <f t="shared" ref="B180:Y180" si="54">((B174/B168)^(1/6)-1)*100</f>
        <v>2.5340030594553253</v>
      </c>
      <c r="C180" s="296">
        <f t="shared" si="54"/>
        <v>3.9684232134564956</v>
      </c>
      <c r="D180" s="296">
        <f t="shared" si="54"/>
        <v>1.8360959451171999</v>
      </c>
      <c r="E180" s="296">
        <f t="shared" si="54"/>
        <v>2.920815702660895</v>
      </c>
      <c r="F180" s="296">
        <f t="shared" si="54"/>
        <v>2.9680986161884082</v>
      </c>
      <c r="G180" s="296">
        <f t="shared" si="54"/>
        <v>3.2315874467364392</v>
      </c>
      <c r="H180" s="296">
        <f t="shared" si="54"/>
        <v>1.6797809243041417</v>
      </c>
      <c r="I180" s="296">
        <f t="shared" si="54"/>
        <v>5.0589103247903999</v>
      </c>
      <c r="J180" s="296">
        <f t="shared" si="54"/>
        <v>1.1329874230368686</v>
      </c>
      <c r="K180" s="296">
        <f t="shared" si="54"/>
        <v>1.5147948133589217</v>
      </c>
      <c r="L180" s="296">
        <f t="shared" si="54"/>
        <v>1.1301694816384211</v>
      </c>
      <c r="M180" s="296">
        <f t="shared" si="54"/>
        <v>3.1532012020622613</v>
      </c>
      <c r="N180" s="296">
        <f t="shared" si="54"/>
        <v>2.404847684164535</v>
      </c>
      <c r="O180" s="296">
        <f t="shared" si="54"/>
        <v>1.6250387610975414</v>
      </c>
      <c r="P180" s="296">
        <f t="shared" si="54"/>
        <v>0.13106666790829724</v>
      </c>
      <c r="Q180" s="296">
        <f t="shared" si="54"/>
        <v>3.6433968151530438</v>
      </c>
      <c r="R180" s="296">
        <f t="shared" si="54"/>
        <v>3.6625772688761105</v>
      </c>
      <c r="S180" s="296">
        <f t="shared" si="54"/>
        <v>3.7117596624524962</v>
      </c>
      <c r="T180" s="296">
        <f t="shared" si="54"/>
        <v>2.9470403117403565</v>
      </c>
      <c r="U180" s="296">
        <f t="shared" si="54"/>
        <v>2.7369672086303254</v>
      </c>
      <c r="V180" s="296">
        <f t="shared" si="54"/>
        <v>2.4636184481370504</v>
      </c>
      <c r="W180" s="296">
        <f t="shared" si="54"/>
        <v>4.5264250794152083</v>
      </c>
      <c r="X180" s="296">
        <f t="shared" si="54"/>
        <v>4.7789000705364959</v>
      </c>
      <c r="Y180" s="296">
        <f t="shared" si="54"/>
        <v>2.1424974533047481</v>
      </c>
    </row>
    <row r="181" spans="1:25">
      <c r="A181" s="297"/>
      <c r="B181" s="297"/>
      <c r="C181" s="297"/>
      <c r="D181" s="297"/>
      <c r="E181" s="297"/>
      <c r="F181" s="297"/>
      <c r="G181" s="297"/>
      <c r="H181" s="297"/>
      <c r="I181" s="297"/>
      <c r="J181" s="297"/>
      <c r="K181" s="297"/>
      <c r="L181" s="297"/>
      <c r="M181" s="297"/>
      <c r="N181" s="297"/>
      <c r="O181" s="297"/>
      <c r="P181" s="297"/>
      <c r="Q181" s="297"/>
      <c r="R181" s="297"/>
      <c r="S181" s="297"/>
      <c r="T181" s="297"/>
      <c r="U181" s="297"/>
      <c r="V181" s="297"/>
      <c r="W181" s="297"/>
      <c r="X181" s="297"/>
      <c r="Y181" s="297"/>
    </row>
    <row r="182" spans="1:25">
      <c r="A182" s="297" t="s">
        <v>452</v>
      </c>
      <c r="B182" s="297"/>
      <c r="C182" s="297"/>
      <c r="D182" s="297"/>
      <c r="E182" s="297"/>
      <c r="F182" s="297"/>
      <c r="G182" s="297"/>
      <c r="H182" s="297"/>
      <c r="I182" s="297"/>
      <c r="J182" s="297"/>
      <c r="K182" s="297"/>
      <c r="L182" s="297"/>
      <c r="M182" s="297"/>
      <c r="N182" s="297"/>
      <c r="O182" s="297"/>
      <c r="P182" s="297"/>
      <c r="Q182" s="297"/>
      <c r="R182" s="297"/>
      <c r="S182" s="297"/>
      <c r="T182" s="297"/>
      <c r="U182" s="297"/>
      <c r="V182" s="297"/>
      <c r="W182" s="297"/>
      <c r="X182" s="297"/>
      <c r="Y182" s="297"/>
    </row>
    <row r="183" spans="1:25">
      <c r="A183" s="297"/>
      <c r="B183" s="297"/>
      <c r="C183" s="297"/>
      <c r="D183" s="297"/>
      <c r="E183" s="297"/>
      <c r="F183" s="297"/>
      <c r="G183" s="297"/>
      <c r="H183" s="297"/>
      <c r="I183" s="297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</row>
    <row r="184" spans="1:25">
      <c r="A184" s="475" t="s">
        <v>491</v>
      </c>
      <c r="B184" s="475"/>
      <c r="C184" s="475"/>
      <c r="D184" s="475"/>
      <c r="E184" s="475"/>
      <c r="F184" s="475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  <c r="X184" s="475"/>
      <c r="Y184" s="475"/>
    </row>
    <row r="185" spans="1:25">
      <c r="A185" s="297"/>
      <c r="B185" s="297"/>
      <c r="C185" s="297"/>
      <c r="D185" s="297"/>
      <c r="E185" s="297"/>
      <c r="F185" s="297"/>
      <c r="G185" s="297"/>
      <c r="H185" s="297"/>
      <c r="I185" s="297"/>
      <c r="J185" s="297"/>
      <c r="K185" s="297"/>
      <c r="L185" s="297"/>
      <c r="M185" s="297"/>
      <c r="N185" s="297"/>
      <c r="O185" s="297"/>
      <c r="P185" s="297"/>
      <c r="Q185" s="297"/>
      <c r="R185" s="297"/>
      <c r="S185" s="297"/>
      <c r="T185" s="297"/>
      <c r="U185" s="297"/>
      <c r="V185" s="297"/>
      <c r="W185" s="297"/>
      <c r="X185" s="297"/>
      <c r="Y185" s="297"/>
    </row>
    <row r="186" spans="1:25">
      <c r="B186" s="461" t="s">
        <v>439</v>
      </c>
      <c r="C186" s="461"/>
      <c r="D186" s="461"/>
      <c r="E186" s="461"/>
      <c r="F186" s="461"/>
      <c r="G186" s="461"/>
      <c r="H186" s="461" t="s">
        <v>132</v>
      </c>
      <c r="I186" s="461"/>
      <c r="J186" s="461"/>
      <c r="K186" s="461"/>
      <c r="L186" s="461"/>
      <c r="M186" s="461"/>
      <c r="N186" s="461" t="s">
        <v>133</v>
      </c>
      <c r="O186" s="461"/>
      <c r="P186" s="461"/>
      <c r="Q186" s="461"/>
      <c r="R186" s="461"/>
      <c r="S186" s="461"/>
      <c r="T186" s="461" t="s">
        <v>440</v>
      </c>
      <c r="U186" s="461"/>
      <c r="V186" s="461"/>
      <c r="W186" s="461"/>
      <c r="X186" s="461"/>
      <c r="Y186" s="461"/>
    </row>
    <row r="187" spans="1:25" ht="75">
      <c r="B187" s="294" t="s">
        <v>8</v>
      </c>
      <c r="C187" s="146" t="s">
        <v>441</v>
      </c>
      <c r="D187" s="146" t="s">
        <v>248</v>
      </c>
      <c r="E187" s="146" t="s">
        <v>249</v>
      </c>
      <c r="F187" s="146" t="s">
        <v>442</v>
      </c>
      <c r="G187" s="146" t="s">
        <v>443</v>
      </c>
      <c r="H187" s="301" t="s">
        <v>8</v>
      </c>
      <c r="I187" s="146" t="s">
        <v>441</v>
      </c>
      <c r="J187" s="146" t="s">
        <v>248</v>
      </c>
      <c r="K187" s="146" t="s">
        <v>249</v>
      </c>
      <c r="L187" s="146" t="s">
        <v>442</v>
      </c>
      <c r="M187" s="146" t="s">
        <v>443</v>
      </c>
      <c r="N187" s="294" t="s">
        <v>8</v>
      </c>
      <c r="O187" s="146" t="s">
        <v>441</v>
      </c>
      <c r="P187" s="146" t="s">
        <v>248</v>
      </c>
      <c r="Q187" s="146" t="s">
        <v>249</v>
      </c>
      <c r="R187" s="146" t="s">
        <v>442</v>
      </c>
      <c r="S187" s="146" t="s">
        <v>443</v>
      </c>
      <c r="T187" s="294" t="s">
        <v>8</v>
      </c>
      <c r="U187" s="146" t="s">
        <v>441</v>
      </c>
      <c r="V187" s="146" t="s">
        <v>248</v>
      </c>
      <c r="W187" s="146" t="s">
        <v>249</v>
      </c>
      <c r="X187" s="146" t="s">
        <v>442</v>
      </c>
      <c r="Y187" s="146" t="s">
        <v>443</v>
      </c>
    </row>
    <row r="188" spans="1:25">
      <c r="A188" s="223">
        <v>1997</v>
      </c>
      <c r="B188" s="190" t="str">
        <f>IFERROR('22A-22G'!B68/'22A-22G'!B38*1000,"..")</f>
        <v>..</v>
      </c>
      <c r="C188" s="190" t="str">
        <f>IFERROR('22A-22G'!C68/'22A-22G'!C38*1000,"..")</f>
        <v>..</v>
      </c>
      <c r="D188" s="190" t="str">
        <f>IFERROR('22A-22G'!D68/'22A-22G'!D38*1000,"..")</f>
        <v>..</v>
      </c>
      <c r="E188" s="190" t="str">
        <f>IFERROR('22A-22G'!E68/'22A-22G'!E38*1000,"..")</f>
        <v>..</v>
      </c>
      <c r="F188" s="190" t="str">
        <f>IFERROR('22A-22G'!F68/'22A-22G'!F38*1000,"..")</f>
        <v>..</v>
      </c>
      <c r="G188" s="190" t="str">
        <f>IFERROR('22A-22G'!G68/'22A-22G'!G38*1000,"..")</f>
        <v>..</v>
      </c>
      <c r="H188" s="296" t="str">
        <f>IFERROR('22A-22G'!H68/'22A-22G'!H38*1000,"..")</f>
        <v>..</v>
      </c>
      <c r="I188" s="296">
        <f>IFERROR('22A-22G'!I68/'22A-22G'!I38*1000,"..")</f>
        <v>18.200395068455826</v>
      </c>
      <c r="J188" s="296">
        <f>IFERROR('22A-22G'!J68/'22A-22G'!J38*1000,"..")</f>
        <v>28.909083028735715</v>
      </c>
      <c r="K188" s="296" t="str">
        <f>IFERROR('22A-22G'!K68/'22A-22G'!K38*1000,"..")</f>
        <v>..</v>
      </c>
      <c r="L188" s="296" t="str">
        <f>IFERROR('22A-22G'!L68/'22A-22G'!L38*1000,"..")</f>
        <v>..</v>
      </c>
      <c r="M188" s="296" t="str">
        <f>IFERROR('22A-22G'!M68/'22A-22G'!M38*1000,"..")</f>
        <v>..</v>
      </c>
      <c r="N188" s="296">
        <f>IFERROR('22A-22G'!N68/'22A-22G'!N38*1000,"..")</f>
        <v>37.677611733296345</v>
      </c>
      <c r="O188" s="296">
        <f>IFERROR('22A-22G'!O68/'22A-22G'!O38*1000,"..")</f>
        <v>30.65854736531945</v>
      </c>
      <c r="P188" s="296">
        <f>IFERROR('22A-22G'!P68/'22A-22G'!P38*1000,"..")</f>
        <v>20.915299848415174</v>
      </c>
      <c r="Q188" s="296">
        <f>IFERROR('22A-22G'!Q68/'22A-22G'!Q38*1000,"..")</f>
        <v>54.983187213069449</v>
      </c>
      <c r="R188" s="296">
        <f>IFERROR('22A-22G'!R68/'22A-22G'!R38*1000,"..")</f>
        <v>48.15991609340778</v>
      </c>
      <c r="S188" s="296">
        <f>IFERROR('22A-22G'!S68/'22A-22G'!S38*1000,"..")</f>
        <v>60.253118121790166</v>
      </c>
      <c r="T188" s="296">
        <f>IFERROR('22A-22G'!T68/'22A-22G'!T38*1000,"..")</f>
        <v>33.218012833687283</v>
      </c>
      <c r="U188" s="296">
        <f>IFERROR('22A-22G'!U68/'22A-22G'!U38*1000,"..")</f>
        <v>37.6456386150385</v>
      </c>
      <c r="V188" s="296">
        <f>IFERROR('22A-22G'!V68/'22A-22G'!V38*1000,"..")</f>
        <v>27.177945646343645</v>
      </c>
      <c r="W188" s="296">
        <f>IFERROR('22A-22G'!W68/'22A-22G'!W38*1000,"..")</f>
        <v>42.84424087991485</v>
      </c>
      <c r="X188" s="296">
        <f>IFERROR('22A-22G'!X68/'22A-22G'!X38*1000,"..")</f>
        <v>42.554053556300417</v>
      </c>
      <c r="Y188" s="296">
        <f>IFERROR('22A-22G'!Y68/'22A-22G'!Y38*1000,"..")</f>
        <v>49.766476388168144</v>
      </c>
    </row>
    <row r="189" spans="1:25">
      <c r="A189" s="223">
        <v>1998</v>
      </c>
      <c r="B189" s="190" t="str">
        <f>IFERROR('22A-22G'!B69/'22A-22G'!B39*1000,"..")</f>
        <v>..</v>
      </c>
      <c r="C189" s="190" t="str">
        <f>IFERROR('22A-22G'!C69/'22A-22G'!C39*1000,"..")</f>
        <v>..</v>
      </c>
      <c r="D189" s="190" t="str">
        <f>IFERROR('22A-22G'!D69/'22A-22G'!D39*1000,"..")</f>
        <v>..</v>
      </c>
      <c r="E189" s="190" t="str">
        <f>IFERROR('22A-22G'!E69/'22A-22G'!E39*1000,"..")</f>
        <v>..</v>
      </c>
      <c r="F189" s="190" t="str">
        <f>IFERROR('22A-22G'!F69/'22A-22G'!F39*1000,"..")</f>
        <v>..</v>
      </c>
      <c r="G189" s="190" t="str">
        <f>IFERROR('22A-22G'!G69/'22A-22G'!G39*1000,"..")</f>
        <v>..</v>
      </c>
      <c r="H189" s="296">
        <f>IFERROR('22A-22G'!H69/'22A-22G'!H39*1000,"..")</f>
        <v>36.102954504259557</v>
      </c>
      <c r="I189" s="296">
        <f>IFERROR('22A-22G'!I69/'22A-22G'!I39*1000,"..")</f>
        <v>18.603382433169664</v>
      </c>
      <c r="J189" s="296">
        <f>IFERROR('22A-22G'!J69/'22A-22G'!J39*1000,"..")</f>
        <v>31.053905327148577</v>
      </c>
      <c r="K189" s="296">
        <f>IFERROR('22A-22G'!K69/'22A-22G'!K39*1000,"..")</f>
        <v>50.808266506069927</v>
      </c>
      <c r="L189" s="296">
        <f>IFERROR('22A-22G'!L69/'22A-22G'!L39*1000,"..")</f>
        <v>49.974417074775232</v>
      </c>
      <c r="M189" s="296">
        <f>IFERROR('22A-22G'!M69/'22A-22G'!M39*1000,"..")</f>
        <v>55.062344139650882</v>
      </c>
      <c r="N189" s="296">
        <f>IFERROR('22A-22G'!N69/'22A-22G'!N39*1000,"..")</f>
        <v>38.441169371441546</v>
      </c>
      <c r="O189" s="296">
        <f>IFERROR('22A-22G'!O69/'22A-22G'!O39*1000,"..")</f>
        <v>34.546665186993678</v>
      </c>
      <c r="P189" s="296">
        <f>IFERROR('22A-22G'!P69/'22A-22G'!P39*1000,"..")</f>
        <v>21.861892249188031</v>
      </c>
      <c r="Q189" s="296">
        <f>IFERROR('22A-22G'!Q69/'22A-22G'!Q39*1000,"..")</f>
        <v>56.080170215530543</v>
      </c>
      <c r="R189" s="296">
        <f>IFERROR('22A-22G'!R69/'22A-22G'!R39*1000,"..")</f>
        <v>53.815826527738665</v>
      </c>
      <c r="S189" s="296">
        <f>IFERROR('22A-22G'!S69/'22A-22G'!S39*1000,"..")</f>
        <v>56.050782545761592</v>
      </c>
      <c r="T189" s="296">
        <f>IFERROR('22A-22G'!T69/'22A-22G'!T39*1000,"..")</f>
        <v>37.743557724283491</v>
      </c>
      <c r="U189" s="296">
        <f>IFERROR('22A-22G'!U69/'22A-22G'!U39*1000,"..")</f>
        <v>45.826034899447905</v>
      </c>
      <c r="V189" s="296">
        <f>IFERROR('22A-22G'!V69/'22A-22G'!V39*1000,"..")</f>
        <v>31.399478422687302</v>
      </c>
      <c r="W189" s="296">
        <f>IFERROR('22A-22G'!W69/'22A-22G'!W39*1000,"..")</f>
        <v>42.353213308146032</v>
      </c>
      <c r="X189" s="296" t="str">
        <f>IFERROR('22A-22G'!X69/'22A-22G'!X39*1000,"..")</f>
        <v>..</v>
      </c>
      <c r="Y189" s="296" t="str">
        <f>IFERROR('22A-22G'!Y69/'22A-22G'!Y39*1000,"..")</f>
        <v>..</v>
      </c>
    </row>
    <row r="190" spans="1:25">
      <c r="A190" s="223">
        <v>1999</v>
      </c>
      <c r="B190" s="190" t="str">
        <f>IFERROR('22A-22G'!B70/'22A-22G'!B40*1000,"..")</f>
        <v>..</v>
      </c>
      <c r="C190" s="190" t="str">
        <f>IFERROR('22A-22G'!C70/'22A-22G'!C40*1000,"..")</f>
        <v>..</v>
      </c>
      <c r="D190" s="190" t="str">
        <f>IFERROR('22A-22G'!D70/'22A-22G'!D40*1000,"..")</f>
        <v>..</v>
      </c>
      <c r="E190" s="190" t="str">
        <f>IFERROR('22A-22G'!E70/'22A-22G'!E40*1000,"..")</f>
        <v>..</v>
      </c>
      <c r="F190" s="190" t="str">
        <f>IFERROR('22A-22G'!F70/'22A-22G'!F40*1000,"..")</f>
        <v>..</v>
      </c>
      <c r="G190" s="190" t="str">
        <f>IFERROR('22A-22G'!G70/'22A-22G'!G40*1000,"..")</f>
        <v>..</v>
      </c>
      <c r="H190" s="296">
        <f>IFERROR('22A-22G'!H70/'22A-22G'!H40*1000,"..")</f>
        <v>36.639948324965495</v>
      </c>
      <c r="I190" s="296">
        <f>IFERROR('22A-22G'!I70/'22A-22G'!I40*1000,"..")</f>
        <v>19.587983817748835</v>
      </c>
      <c r="J190" s="296">
        <f>IFERROR('22A-22G'!J70/'22A-22G'!J40*1000,"..")</f>
        <v>30.379832570236513</v>
      </c>
      <c r="K190" s="296">
        <f>IFERROR('22A-22G'!K70/'22A-22G'!K40*1000,"..")</f>
        <v>53.784485556637449</v>
      </c>
      <c r="L190" s="296">
        <f>IFERROR('22A-22G'!L70/'22A-22G'!L40*1000,"..")</f>
        <v>53.150650012745345</v>
      </c>
      <c r="M190" s="296">
        <f>IFERROR('22A-22G'!M70/'22A-22G'!M40*1000,"..")</f>
        <v>58.990620812862879</v>
      </c>
      <c r="N190" s="296">
        <f>IFERROR('22A-22G'!N70/'22A-22G'!N40*1000,"..")</f>
        <v>36.374657139954621</v>
      </c>
      <c r="O190" s="296">
        <f>IFERROR('22A-22G'!O70/'22A-22G'!O40*1000,"..")</f>
        <v>35.920129519697788</v>
      </c>
      <c r="P190" s="296">
        <f>IFERROR('22A-22G'!P70/'22A-22G'!P40*1000,"..")</f>
        <v>21.002017908941859</v>
      </c>
      <c r="Q190" s="296">
        <f>IFERROR('22A-22G'!Q70/'22A-22G'!Q40*1000,"..")</f>
        <v>51.346414382049836</v>
      </c>
      <c r="R190" s="296">
        <f>IFERROR('22A-22G'!R70/'22A-22G'!R40*1000,"..")</f>
        <v>49.905603020703332</v>
      </c>
      <c r="S190" s="296">
        <f>IFERROR('22A-22G'!S70/'22A-22G'!S40*1000,"..")</f>
        <v>49.788049474478832</v>
      </c>
      <c r="T190" s="296">
        <f>IFERROR('22A-22G'!T70/'22A-22G'!T40*1000,"..")</f>
        <v>38.31859009675442</v>
      </c>
      <c r="U190" s="296">
        <f>IFERROR('22A-22G'!U70/'22A-22G'!U40*1000,"..")</f>
        <v>39.475385983348154</v>
      </c>
      <c r="V190" s="296">
        <f>IFERROR('22A-22G'!V70/'22A-22G'!V40*1000,"..")</f>
        <v>32.987012987012989</v>
      </c>
      <c r="W190" s="296">
        <f>IFERROR('22A-22G'!W70/'22A-22G'!W40*1000,"..")</f>
        <v>50.73425539603798</v>
      </c>
      <c r="X190" s="296" t="str">
        <f>IFERROR('22A-22G'!X70/'22A-22G'!X40*1000,"..")</f>
        <v>..</v>
      </c>
      <c r="Y190" s="296" t="str">
        <f>IFERROR('22A-22G'!Y70/'22A-22G'!Y40*1000,"..")</f>
        <v>..</v>
      </c>
    </row>
    <row r="191" spans="1:25">
      <c r="A191" s="223">
        <v>2000</v>
      </c>
      <c r="B191" s="190" t="str">
        <f>IFERROR('22A-22G'!B71/'22A-22G'!B41*1000,"..")</f>
        <v>..</v>
      </c>
      <c r="C191" s="190" t="str">
        <f>IFERROR('22A-22G'!C71/'22A-22G'!C41*1000,"..")</f>
        <v>..</v>
      </c>
      <c r="D191" s="190" t="str">
        <f>IFERROR('22A-22G'!D71/'22A-22G'!D41*1000,"..")</f>
        <v>..</v>
      </c>
      <c r="E191" s="190" t="str">
        <f>IFERROR('22A-22G'!E71/'22A-22G'!E41*1000,"..")</f>
        <v>..</v>
      </c>
      <c r="F191" s="190" t="str">
        <f>IFERROR('22A-22G'!F71/'22A-22G'!F41*1000,"..")</f>
        <v>..</v>
      </c>
      <c r="G191" s="190" t="str">
        <f>IFERROR('22A-22G'!G71/'22A-22G'!G41*1000,"..")</f>
        <v>..</v>
      </c>
      <c r="H191" s="296">
        <f>IFERROR('22A-22G'!H71/'22A-22G'!H41*1000,"..")</f>
        <v>37.919936312976233</v>
      </c>
      <c r="I191" s="296">
        <f>IFERROR('22A-22G'!I71/'22A-22G'!I41*1000,"..")</f>
        <v>27.324316655632273</v>
      </c>
      <c r="J191" s="296">
        <f>IFERROR('22A-22G'!J71/'22A-22G'!J41*1000,"..")</f>
        <v>29.715844845386169</v>
      </c>
      <c r="K191" s="296">
        <f>IFERROR('22A-22G'!K71/'22A-22G'!K41*1000,"..")</f>
        <v>53.906685569555727</v>
      </c>
      <c r="L191" s="296">
        <f>IFERROR('22A-22G'!L71/'22A-22G'!L41*1000,"..")</f>
        <v>56.284315180293817</v>
      </c>
      <c r="M191" s="296">
        <f>IFERROR('22A-22G'!M71/'22A-22G'!M41*1000,"..")</f>
        <v>48.037416640558561</v>
      </c>
      <c r="N191" s="296">
        <f>IFERROR('22A-22G'!N71/'22A-22G'!N41*1000,"..")</f>
        <v>42.719764213989514</v>
      </c>
      <c r="O191" s="296">
        <f>IFERROR('22A-22G'!O71/'22A-22G'!O41*1000,"..")</f>
        <v>40</v>
      </c>
      <c r="P191" s="296">
        <f>IFERROR('22A-22G'!P71/'22A-22G'!P41*1000,"..")</f>
        <v>25.993648507071768</v>
      </c>
      <c r="Q191" s="296">
        <f>IFERROR('22A-22G'!Q71/'22A-22G'!Q41*1000,"..")</f>
        <v>59.493828505611162</v>
      </c>
      <c r="R191" s="296">
        <f>IFERROR('22A-22G'!R71/'22A-22G'!R41*1000,"..")</f>
        <v>64.067532651399844</v>
      </c>
      <c r="S191" s="296">
        <f>IFERROR('22A-22G'!S71/'22A-22G'!S41*1000,"..")</f>
        <v>52.008668111351895</v>
      </c>
      <c r="T191" s="296">
        <f>IFERROR('22A-22G'!T71/'22A-22G'!T41*1000,"..")</f>
        <v>39.630012855485532</v>
      </c>
      <c r="U191" s="296">
        <f>IFERROR('22A-22G'!U71/'22A-22G'!U41*1000,"..")</f>
        <v>39.652248577868413</v>
      </c>
      <c r="V191" s="296">
        <f>IFERROR('22A-22G'!V71/'22A-22G'!V41*1000,"..")</f>
        <v>35.557578080091965</v>
      </c>
      <c r="W191" s="296">
        <f>IFERROR('22A-22G'!W71/'22A-22G'!W41*1000,"..")</f>
        <v>51.171023965141615</v>
      </c>
      <c r="X191" s="296" t="str">
        <f>IFERROR('22A-22G'!X71/'22A-22G'!X41*1000,"..")</f>
        <v>..</v>
      </c>
      <c r="Y191" s="296" t="str">
        <f>IFERROR('22A-22G'!Y71/'22A-22G'!Y41*1000,"..")</f>
        <v>..</v>
      </c>
    </row>
    <row r="192" spans="1:25">
      <c r="A192" s="223">
        <v>2001</v>
      </c>
      <c r="B192" s="190" t="str">
        <f>IFERROR('22A-22G'!B72/'22A-22G'!B42*1000,"..")</f>
        <v>..</v>
      </c>
      <c r="C192" s="190" t="str">
        <f>IFERROR('22A-22G'!C72/'22A-22G'!C42*1000,"..")</f>
        <v>..</v>
      </c>
      <c r="D192" s="190" t="str">
        <f>IFERROR('22A-22G'!D72/'22A-22G'!D42*1000,"..")</f>
        <v>..</v>
      </c>
      <c r="E192" s="190" t="str">
        <f>IFERROR('22A-22G'!E72/'22A-22G'!E42*1000,"..")</f>
        <v>..</v>
      </c>
      <c r="F192" s="190" t="str">
        <f>IFERROR('22A-22G'!F72/'22A-22G'!F42*1000,"..")</f>
        <v>..</v>
      </c>
      <c r="G192" s="190" t="str">
        <f>IFERROR('22A-22G'!G72/'22A-22G'!G42*1000,"..")</f>
        <v>..</v>
      </c>
      <c r="H192" s="296">
        <f>IFERROR('22A-22G'!H72/'22A-22G'!H42*1000,"..")</f>
        <v>41.846736806194379</v>
      </c>
      <c r="I192" s="296">
        <f>IFERROR('22A-22G'!I72/'22A-22G'!I42*1000,"..")</f>
        <v>32.184032281308546</v>
      </c>
      <c r="J192" s="296">
        <f>IFERROR('22A-22G'!J72/'22A-22G'!J42*1000,"..")</f>
        <v>33.734426441159385</v>
      </c>
      <c r="K192" s="296">
        <f>IFERROR('22A-22G'!K72/'22A-22G'!K42*1000,"..")</f>
        <v>57.058264617055208</v>
      </c>
      <c r="L192" s="296">
        <f>IFERROR('22A-22G'!L72/'22A-22G'!L42*1000,"..")</f>
        <v>59.427163372370309</v>
      </c>
      <c r="M192" s="296">
        <f>IFERROR('22A-22G'!M72/'22A-22G'!M42*1000,"..")</f>
        <v>51.962634459331952</v>
      </c>
      <c r="N192" s="296">
        <f>IFERROR('22A-22G'!N72/'22A-22G'!N42*1000,"..")</f>
        <v>42.019040849662034</v>
      </c>
      <c r="O192" s="296">
        <f>IFERROR('22A-22G'!O72/'22A-22G'!O42*1000,"..")</f>
        <v>42.631785774434405</v>
      </c>
      <c r="P192" s="296">
        <f>IFERROR('22A-22G'!P72/'22A-22G'!P42*1000,"..")</f>
        <v>25.757282492983645</v>
      </c>
      <c r="Q192" s="296">
        <f>IFERROR('22A-22G'!Q72/'22A-22G'!Q42*1000,"..")</f>
        <v>57.01440471536403</v>
      </c>
      <c r="R192" s="296">
        <f>IFERROR('22A-22G'!R72/'22A-22G'!R42*1000,"..")</f>
        <v>57.527504342790962</v>
      </c>
      <c r="S192" s="296">
        <f>IFERROR('22A-22G'!S72/'22A-22G'!S42*1000,"..")</f>
        <v>56.608530122961362</v>
      </c>
      <c r="T192" s="296">
        <f>IFERROR('22A-22G'!T72/'22A-22G'!T42*1000,"..")</f>
        <v>37.754041217359394</v>
      </c>
      <c r="U192" s="296">
        <f>IFERROR('22A-22G'!U72/'22A-22G'!U42*1000,"..")</f>
        <v>41.300519405247549</v>
      </c>
      <c r="V192" s="296">
        <f>IFERROR('22A-22G'!V72/'22A-22G'!V42*1000,"..")</f>
        <v>32.606950798619472</v>
      </c>
      <c r="W192" s="296">
        <f>IFERROR('22A-22G'!W72/'22A-22G'!W42*1000,"..")</f>
        <v>45.943101821612601</v>
      </c>
      <c r="X192" s="296" t="str">
        <f>IFERROR('22A-22G'!X72/'22A-22G'!X42*1000,"..")</f>
        <v>..</v>
      </c>
      <c r="Y192" s="296" t="str">
        <f>IFERROR('22A-22G'!Y72/'22A-22G'!Y42*1000,"..")</f>
        <v>..</v>
      </c>
    </row>
    <row r="193" spans="1:25">
      <c r="A193" s="223">
        <v>2002</v>
      </c>
      <c r="B193" s="190" t="str">
        <f>IFERROR('22A-22G'!B73/'22A-22G'!B43*1000,"..")</f>
        <v>..</v>
      </c>
      <c r="C193" s="190" t="str">
        <f>IFERROR('22A-22G'!C73/'22A-22G'!C43*1000,"..")</f>
        <v>..</v>
      </c>
      <c r="D193" s="190" t="str">
        <f>IFERROR('22A-22G'!D73/'22A-22G'!D43*1000,"..")</f>
        <v>..</v>
      </c>
      <c r="E193" s="190" t="str">
        <f>IFERROR('22A-22G'!E73/'22A-22G'!E43*1000,"..")</f>
        <v>..</v>
      </c>
      <c r="F193" s="190" t="str">
        <f>IFERROR('22A-22G'!F73/'22A-22G'!F43*1000,"..")</f>
        <v>..</v>
      </c>
      <c r="G193" s="190" t="str">
        <f>IFERROR('22A-22G'!G73/'22A-22G'!G43*1000,"..")</f>
        <v>..</v>
      </c>
      <c r="H193" s="296">
        <f>IFERROR('22A-22G'!H73/'22A-22G'!H43*1000,"..")</f>
        <v>45.396995842125634</v>
      </c>
      <c r="I193" s="296">
        <f>IFERROR('22A-22G'!I73/'22A-22G'!I43*1000,"..")</f>
        <v>33.978767942583737</v>
      </c>
      <c r="J193" s="296">
        <f>IFERROR('22A-22G'!J73/'22A-22G'!J43*1000,"..")</f>
        <v>36.537551631095027</v>
      </c>
      <c r="K193" s="296">
        <f>IFERROR('22A-22G'!K73/'22A-22G'!K43*1000,"..")</f>
        <v>63.472576819309403</v>
      </c>
      <c r="L193" s="296">
        <f>IFERROR('22A-22G'!L73/'22A-22G'!L43*1000,"..")</f>
        <v>66.300334602515292</v>
      </c>
      <c r="M193" s="296">
        <f>IFERROR('22A-22G'!M73/'22A-22G'!M43*1000,"..")</f>
        <v>59.02038036869498</v>
      </c>
      <c r="N193" s="296">
        <f>IFERROR('22A-22G'!N73/'22A-22G'!N43*1000,"..")</f>
        <v>43.932226889042944</v>
      </c>
      <c r="O193" s="296">
        <f>IFERROR('22A-22G'!O73/'22A-22G'!O43*1000,"..")</f>
        <v>45.043115921060242</v>
      </c>
      <c r="P193" s="296">
        <f>IFERROR('22A-22G'!P73/'22A-22G'!P43*1000,"..")</f>
        <v>28.043380607071811</v>
      </c>
      <c r="Q193" s="296">
        <f>IFERROR('22A-22G'!Q73/'22A-22G'!Q43*1000,"..")</f>
        <v>58.314451996978988</v>
      </c>
      <c r="R193" s="296">
        <f>IFERROR('22A-22G'!R73/'22A-22G'!R43*1000,"..")</f>
        <v>61.095659811168851</v>
      </c>
      <c r="S193" s="296">
        <f>IFERROR('22A-22G'!S73/'22A-22G'!S43*1000,"..")</f>
        <v>56.161385005721115</v>
      </c>
      <c r="T193" s="296">
        <f>IFERROR('22A-22G'!T73/'22A-22G'!T43*1000,"..")</f>
        <v>42.362455939925049</v>
      </c>
      <c r="U193" s="296">
        <f>IFERROR('22A-22G'!U73/'22A-22G'!U43*1000,"..")</f>
        <v>38.863636363636367</v>
      </c>
      <c r="V193" s="296">
        <f>IFERROR('22A-22G'!V73/'22A-22G'!V43*1000,"..")</f>
        <v>38.708705005412369</v>
      </c>
      <c r="W193" s="296">
        <f>IFERROR('22A-22G'!W73/'22A-22G'!W43*1000,"..")</f>
        <v>62.49482354023835</v>
      </c>
      <c r="X193" s="296">
        <f>IFERROR('22A-22G'!X73/'22A-22G'!X43*1000,"..")</f>
        <v>64.245090674965127</v>
      </c>
      <c r="Y193" s="296">
        <f>IFERROR('22A-22G'!Y73/'22A-22G'!Y43*1000,"..")</f>
        <v>54.621848739495796</v>
      </c>
    </row>
    <row r="194" spans="1:25">
      <c r="A194" s="223">
        <v>2003</v>
      </c>
      <c r="B194" s="190" t="str">
        <f>IFERROR('22A-22G'!B74/'22A-22G'!B44*1000,"..")</f>
        <v>..</v>
      </c>
      <c r="C194" s="190" t="str">
        <f>IFERROR('22A-22G'!C74/'22A-22G'!C44*1000,"..")</f>
        <v>..</v>
      </c>
      <c r="D194" s="190" t="str">
        <f>IFERROR('22A-22G'!D74/'22A-22G'!D44*1000,"..")</f>
        <v>..</v>
      </c>
      <c r="E194" s="190" t="str">
        <f>IFERROR('22A-22G'!E74/'22A-22G'!E44*1000,"..")</f>
        <v>..</v>
      </c>
      <c r="F194" s="190" t="str">
        <f>IFERROR('22A-22G'!F74/'22A-22G'!F44*1000,"..")</f>
        <v>..</v>
      </c>
      <c r="G194" s="190" t="str">
        <f>IFERROR('22A-22G'!G74/'22A-22G'!G44*1000,"..")</f>
        <v>..</v>
      </c>
      <c r="H194" s="296">
        <f>IFERROR('22A-22G'!H74/'22A-22G'!H44*1000,"..")</f>
        <v>43.955870664967769</v>
      </c>
      <c r="I194" s="296">
        <f>IFERROR('22A-22G'!I74/'22A-22G'!I44*1000,"..")</f>
        <v>30.812641083521441</v>
      </c>
      <c r="J194" s="296">
        <f>IFERROR('22A-22G'!J74/'22A-22G'!J44*1000,"..")</f>
        <v>35.605291236550151</v>
      </c>
      <c r="K194" s="296">
        <f>IFERROR('22A-22G'!K74/'22A-22G'!K44*1000,"..")</f>
        <v>62.923478293511515</v>
      </c>
      <c r="L194" s="296">
        <f>IFERROR('22A-22G'!L74/'22A-22G'!L44*1000,"..")</f>
        <v>65.124344191836855</v>
      </c>
      <c r="M194" s="296">
        <f>IFERROR('22A-22G'!M74/'22A-22G'!M44*1000,"..")</f>
        <v>59.49541988639271</v>
      </c>
      <c r="N194" s="296">
        <f>IFERROR('22A-22G'!N74/'22A-22G'!N44*1000,"..")</f>
        <v>45.9784819949246</v>
      </c>
      <c r="O194" s="296">
        <f>IFERROR('22A-22G'!O74/'22A-22G'!O44*1000,"..")</f>
        <v>42.245896919090129</v>
      </c>
      <c r="P194" s="296">
        <f>IFERROR('22A-22G'!P74/'22A-22G'!P44*1000,"..")</f>
        <v>29.734634081374441</v>
      </c>
      <c r="Q194" s="296">
        <f>IFERROR('22A-22G'!Q74/'22A-22G'!Q44*1000,"..")</f>
        <v>61.838134430727017</v>
      </c>
      <c r="R194" s="296">
        <f>IFERROR('22A-22G'!R74/'22A-22G'!R44*1000,"..")</f>
        <v>65.646653582729201</v>
      </c>
      <c r="S194" s="296">
        <f>IFERROR('22A-22G'!S74/'22A-22G'!S44*1000,"..")</f>
        <v>59.786433088108652</v>
      </c>
      <c r="T194" s="296">
        <f>IFERROR('22A-22G'!T74/'22A-22G'!T44*1000,"..")</f>
        <v>43.734517146708633</v>
      </c>
      <c r="U194" s="296">
        <f>IFERROR('22A-22G'!U74/'22A-22G'!U44*1000,"..")</f>
        <v>42.026115342763866</v>
      </c>
      <c r="V194" s="296">
        <f>IFERROR('22A-22G'!V74/'22A-22G'!V44*1000,"..")</f>
        <v>41.523563589412525</v>
      </c>
      <c r="W194" s="296">
        <f>IFERROR('22A-22G'!W74/'22A-22G'!W44*1000,"..")</f>
        <v>52.669585926096644</v>
      </c>
      <c r="X194" s="296">
        <f>IFERROR('22A-22G'!X74/'22A-22G'!X44*1000,"..")</f>
        <v>53.85907523649545</v>
      </c>
      <c r="Y194" s="296">
        <f>IFERROR('22A-22G'!Y74/'22A-22G'!Y44*1000,"..")</f>
        <v>46.541617819460726</v>
      </c>
    </row>
    <row r="195" spans="1:25">
      <c r="A195" s="223">
        <v>2004</v>
      </c>
      <c r="B195" s="190" t="str">
        <f>IFERROR('22A-22G'!B75/'22A-22G'!B45*1000,"..")</f>
        <v>..</v>
      </c>
      <c r="C195" s="190" t="str">
        <f>IFERROR('22A-22G'!C75/'22A-22G'!C45*1000,"..")</f>
        <v>..</v>
      </c>
      <c r="D195" s="190" t="str">
        <f>IFERROR('22A-22G'!D75/'22A-22G'!D45*1000,"..")</f>
        <v>..</v>
      </c>
      <c r="E195" s="190" t="str">
        <f>IFERROR('22A-22G'!E75/'22A-22G'!E45*1000,"..")</f>
        <v>..</v>
      </c>
      <c r="F195" s="190" t="str">
        <f>IFERROR('22A-22G'!F75/'22A-22G'!F45*1000,"..")</f>
        <v>..</v>
      </c>
      <c r="G195" s="190" t="str">
        <f>IFERROR('22A-22G'!G75/'22A-22G'!G45*1000,"..")</f>
        <v>..</v>
      </c>
      <c r="H195" s="296">
        <f>IFERROR('22A-22G'!H75/'22A-22G'!H45*1000,"..")</f>
        <v>43.555080687718657</v>
      </c>
      <c r="I195" s="296">
        <f>IFERROR('22A-22G'!I75/'22A-22G'!I45*1000,"..")</f>
        <v>34.828333935670408</v>
      </c>
      <c r="J195" s="296">
        <f>IFERROR('22A-22G'!J75/'22A-22G'!J45*1000,"..")</f>
        <v>35.917813529753822</v>
      </c>
      <c r="K195" s="296">
        <f>IFERROR('22A-22G'!K75/'22A-22G'!K45*1000,"..")</f>
        <v>58.352146575368025</v>
      </c>
      <c r="L195" s="296">
        <f>IFERROR('22A-22G'!L75/'22A-22G'!L45*1000,"..")</f>
        <v>57.427195866604038</v>
      </c>
      <c r="M195" s="296">
        <f>IFERROR('22A-22G'!M75/'22A-22G'!M45*1000,"..")</f>
        <v>61.344322719361109</v>
      </c>
      <c r="N195" s="296">
        <f>IFERROR('22A-22G'!N75/'22A-22G'!N45*1000,"..")</f>
        <v>45.511438411782827</v>
      </c>
      <c r="O195" s="296">
        <f>IFERROR('22A-22G'!O75/'22A-22G'!O45*1000,"..")</f>
        <v>42.181662277209533</v>
      </c>
      <c r="P195" s="296">
        <f>IFERROR('22A-22G'!P75/'22A-22G'!P45*1000,"..")</f>
        <v>29.492682765135822</v>
      </c>
      <c r="Q195" s="296">
        <f>IFERROR('22A-22G'!Q75/'22A-22G'!Q45*1000,"..")</f>
        <v>60.935517012147216</v>
      </c>
      <c r="R195" s="296">
        <f>IFERROR('22A-22G'!R75/'22A-22G'!R45*1000,"..")</f>
        <v>68.47194603657347</v>
      </c>
      <c r="S195" s="296">
        <f>IFERROR('22A-22G'!S75/'22A-22G'!S45*1000,"..")</f>
        <v>56.05574740996547</v>
      </c>
      <c r="T195" s="296">
        <f>IFERROR('22A-22G'!T75/'22A-22G'!T45*1000,"..")</f>
        <v>46.135557677795063</v>
      </c>
      <c r="U195" s="296">
        <f>IFERROR('22A-22G'!U75/'22A-22G'!U45*1000,"..")</f>
        <v>44.988584709681405</v>
      </c>
      <c r="V195" s="296">
        <f>IFERROR('22A-22G'!V75/'22A-22G'!V45*1000,"..")</f>
        <v>43.262241711514179</v>
      </c>
      <c r="W195" s="296">
        <f>IFERROR('22A-22G'!W75/'22A-22G'!W45*1000,"..")</f>
        <v>56.652360515021464</v>
      </c>
      <c r="X195" s="296">
        <f>IFERROR('22A-22G'!X75/'22A-22G'!X45*1000,"..")</f>
        <v>58.491414186820109</v>
      </c>
      <c r="Y195" s="296">
        <f>IFERROR('22A-22G'!Y75/'22A-22G'!Y45*1000,"..")</f>
        <v>47.151548672566371</v>
      </c>
    </row>
    <row r="196" spans="1:25">
      <c r="A196" s="223">
        <v>2005</v>
      </c>
      <c r="B196" s="190" t="str">
        <f>IFERROR('22A-22G'!B76/'22A-22G'!B46*1000,"..")</f>
        <v>..</v>
      </c>
      <c r="C196" s="190" t="str">
        <f>IFERROR('22A-22G'!C76/'22A-22G'!C46*1000,"..")</f>
        <v>..</v>
      </c>
      <c r="D196" s="190" t="str">
        <f>IFERROR('22A-22G'!D76/'22A-22G'!D46*1000,"..")</f>
        <v>..</v>
      </c>
      <c r="E196" s="190" t="str">
        <f>IFERROR('22A-22G'!E76/'22A-22G'!E46*1000,"..")</f>
        <v>..</v>
      </c>
      <c r="F196" s="190" t="str">
        <f>IFERROR('22A-22G'!F76/'22A-22G'!F46*1000,"..")</f>
        <v>..</v>
      </c>
      <c r="G196" s="190" t="str">
        <f>IFERROR('22A-22G'!G76/'22A-22G'!G46*1000,"..")</f>
        <v>..</v>
      </c>
      <c r="H196" s="296">
        <f>IFERROR('22A-22G'!H76/'22A-22G'!H46*1000,"..")</f>
        <v>46.783178236762751</v>
      </c>
      <c r="I196" s="296">
        <f>IFERROR('22A-22G'!I76/'22A-22G'!I46*1000,"..")</f>
        <v>38.045228337236537</v>
      </c>
      <c r="J196" s="296">
        <f>IFERROR('22A-22G'!J76/'22A-22G'!J46*1000,"..")</f>
        <v>41.15495391705069</v>
      </c>
      <c r="K196" s="296">
        <f>IFERROR('22A-22G'!K76/'22A-22G'!K46*1000,"..")</f>
        <v>57.745007573515323</v>
      </c>
      <c r="L196" s="296">
        <f>IFERROR('22A-22G'!L76/'22A-22G'!L46*1000,"..")</f>
        <v>57.214913421038943</v>
      </c>
      <c r="M196" s="296">
        <f>IFERROR('22A-22G'!M76/'22A-22G'!M46*1000,"..")</f>
        <v>58.882740447957836</v>
      </c>
      <c r="N196" s="296">
        <f>IFERROR('22A-22G'!N76/'22A-22G'!N46*1000,"..")</f>
        <v>47.342732785238653</v>
      </c>
      <c r="O196" s="296">
        <f>IFERROR('22A-22G'!O76/'22A-22G'!O46*1000,"..")</f>
        <v>45.285624607658505</v>
      </c>
      <c r="P196" s="296">
        <f>IFERROR('22A-22G'!P76/'22A-22G'!P46*1000,"..")</f>
        <v>31.870373300979409</v>
      </c>
      <c r="Q196" s="296">
        <f>IFERROR('22A-22G'!Q76/'22A-22G'!Q46*1000,"..")</f>
        <v>62.158301408999407</v>
      </c>
      <c r="R196" s="296">
        <f>IFERROR('22A-22G'!R76/'22A-22G'!R46*1000,"..")</f>
        <v>75.80987273428461</v>
      </c>
      <c r="S196" s="296">
        <f>IFERROR('22A-22G'!S76/'22A-22G'!S46*1000,"..")</f>
        <v>55.176211453744493</v>
      </c>
      <c r="T196" s="296">
        <f>IFERROR('22A-22G'!T76/'22A-22G'!T46*1000,"..")</f>
        <v>48.996856818029826</v>
      </c>
      <c r="U196" s="296">
        <f>IFERROR('22A-22G'!U76/'22A-22G'!U46*1000,"..")</f>
        <v>46.148769479690024</v>
      </c>
      <c r="V196" s="296">
        <f>IFERROR('22A-22G'!V76/'22A-22G'!V46*1000,"..")</f>
        <v>45.763380640234203</v>
      </c>
      <c r="W196" s="296">
        <f>IFERROR('22A-22G'!W76/'22A-22G'!W46*1000,"..")</f>
        <v>65.1606718626266</v>
      </c>
      <c r="X196" s="296">
        <f>IFERROR('22A-22G'!X76/'22A-22G'!X46*1000,"..")</f>
        <v>68.419240605941368</v>
      </c>
      <c r="Y196" s="296">
        <f>IFERROR('22A-22G'!Y76/'22A-22G'!Y46*1000,"..")</f>
        <v>48.771163298743858</v>
      </c>
    </row>
    <row r="197" spans="1:25">
      <c r="A197" s="223">
        <v>2006</v>
      </c>
      <c r="B197" s="190" t="str">
        <f>IFERROR('22A-22G'!B77/'22A-22G'!B47*1000,"..")</f>
        <v>..</v>
      </c>
      <c r="C197" s="190" t="str">
        <f>IFERROR('22A-22G'!C77/'22A-22G'!C47*1000,"..")</f>
        <v>..</v>
      </c>
      <c r="D197" s="190" t="str">
        <f>IFERROR('22A-22G'!D77/'22A-22G'!D47*1000,"..")</f>
        <v>..</v>
      </c>
      <c r="E197" s="190" t="str">
        <f>IFERROR('22A-22G'!E77/'22A-22G'!E47*1000,"..")</f>
        <v>..</v>
      </c>
      <c r="F197" s="190" t="str">
        <f>IFERROR('22A-22G'!F77/'22A-22G'!F47*1000,"..")</f>
        <v>..</v>
      </c>
      <c r="G197" s="190" t="str">
        <f>IFERROR('22A-22G'!G77/'22A-22G'!G47*1000,"..")</f>
        <v>..</v>
      </c>
      <c r="H197" s="296">
        <f>IFERROR('22A-22G'!H77/'22A-22G'!H47*1000,"..")</f>
        <v>48.097646800087979</v>
      </c>
      <c r="I197" s="296">
        <f>IFERROR('22A-22G'!I77/'22A-22G'!I47*1000,"..")</f>
        <v>36.340359210331002</v>
      </c>
      <c r="J197" s="296">
        <f>IFERROR('22A-22G'!J77/'22A-22G'!J47*1000,"..")</f>
        <v>45.140996459281737</v>
      </c>
      <c r="K197" s="296">
        <f>IFERROR('22A-22G'!K77/'22A-22G'!K47*1000,"..")</f>
        <v>57.210808073500694</v>
      </c>
      <c r="L197" s="296">
        <f>IFERROR('22A-22G'!L77/'22A-22G'!L47*1000,"..")</f>
        <v>56.355605226045078</v>
      </c>
      <c r="M197" s="296">
        <f>IFERROR('22A-22G'!M77/'22A-22G'!M47*1000,"..")</f>
        <v>58.83349330924284</v>
      </c>
      <c r="N197" s="296">
        <f>IFERROR('22A-22G'!N77/'22A-22G'!N47*1000,"..")</f>
        <v>44.421612100798789</v>
      </c>
      <c r="O197" s="296">
        <f>IFERROR('22A-22G'!O77/'22A-22G'!O47*1000,"..")</f>
        <v>40.219808975533162</v>
      </c>
      <c r="P197" s="296">
        <f>IFERROR('22A-22G'!P77/'22A-22G'!P47*1000,"..")</f>
        <v>32.883657601490555</v>
      </c>
      <c r="Q197" s="296">
        <f>IFERROR('22A-22G'!Q77/'22A-22G'!Q47*1000,"..")</f>
        <v>56.561310890953344</v>
      </c>
      <c r="R197" s="296">
        <f>IFERROR('22A-22G'!R77/'22A-22G'!R47*1000,"..")</f>
        <v>66.075869001640129</v>
      </c>
      <c r="S197" s="296">
        <f>IFERROR('22A-22G'!S77/'22A-22G'!S47*1000,"..")</f>
        <v>52.037220151618882</v>
      </c>
      <c r="T197" s="296">
        <f>IFERROR('22A-22G'!T77/'22A-22G'!T47*1000,"..")</f>
        <v>56.108460842604977</v>
      </c>
      <c r="U197" s="296">
        <f>IFERROR('22A-22G'!U77/'22A-22G'!U47*1000,"..")</f>
        <v>54.123645307576034</v>
      </c>
      <c r="V197" s="296">
        <f>IFERROR('22A-22G'!V77/'22A-22G'!V47*1000,"..")</f>
        <v>54.169729518894677</v>
      </c>
      <c r="W197" s="296">
        <f>IFERROR('22A-22G'!W77/'22A-22G'!W47*1000,"..")</f>
        <v>64.849663805133844</v>
      </c>
      <c r="X197" s="296">
        <f>IFERROR('22A-22G'!X77/'22A-22G'!X47*1000,"..")</f>
        <v>67.940552016985137</v>
      </c>
      <c r="Y197" s="296">
        <f>IFERROR('22A-22G'!Y77/'22A-22G'!Y47*1000,"..")</f>
        <v>47.230406599882144</v>
      </c>
    </row>
    <row r="198" spans="1:25">
      <c r="A198" s="223">
        <v>2007</v>
      </c>
      <c r="B198" s="190" t="str">
        <f>IFERROR('22A-22G'!B78/'22A-22G'!B48*1000,"..")</f>
        <v>..</v>
      </c>
      <c r="C198" s="190" t="str">
        <f>IFERROR('22A-22G'!C78/'22A-22G'!C48*1000,"..")</f>
        <v>..</v>
      </c>
      <c r="D198" s="190" t="str">
        <f>IFERROR('22A-22G'!D78/'22A-22G'!D48*1000,"..")</f>
        <v>..</v>
      </c>
      <c r="E198" s="190" t="str">
        <f>IFERROR('22A-22G'!E78/'22A-22G'!E48*1000,"..")</f>
        <v>..</v>
      </c>
      <c r="F198" s="190" t="str">
        <f>IFERROR('22A-22G'!F78/'22A-22G'!F48*1000,"..")</f>
        <v>..</v>
      </c>
      <c r="G198" s="190" t="str">
        <f>IFERROR('22A-22G'!G78/'22A-22G'!G48*1000,"..")</f>
        <v>..</v>
      </c>
      <c r="H198" s="296">
        <f>IFERROR('22A-22G'!H78/'22A-22G'!H48*1000,"..")</f>
        <v>48.91683406390716</v>
      </c>
      <c r="I198" s="296">
        <f>IFERROR('22A-22G'!I78/'22A-22G'!I48*1000,"..")</f>
        <v>35.86584813151498</v>
      </c>
      <c r="J198" s="296">
        <f>IFERROR('22A-22G'!J78/'22A-22G'!J48*1000,"..")</f>
        <v>45.535952241351744</v>
      </c>
      <c r="K198" s="296">
        <f>IFERROR('22A-22G'!K78/'22A-22G'!K48*1000,"..")</f>
        <v>58.419385670646001</v>
      </c>
      <c r="L198" s="296">
        <f>IFERROR('22A-22G'!L78/'22A-22G'!L48*1000,"..")</f>
        <v>62.202354074475458</v>
      </c>
      <c r="M198" s="296">
        <f>IFERROR('22A-22G'!M78/'22A-22G'!M48*1000,"..")</f>
        <v>52.179741807348563</v>
      </c>
      <c r="N198" s="296">
        <f>IFERROR('22A-22G'!N78/'22A-22G'!N48*1000,"..")</f>
        <v>46.318846665266989</v>
      </c>
      <c r="O198" s="296">
        <f>IFERROR('22A-22G'!O78/'22A-22G'!O48*1000,"..")</f>
        <v>41.5706560075241</v>
      </c>
      <c r="P198" s="296">
        <f>IFERROR('22A-22G'!P78/'22A-22G'!P48*1000,"..")</f>
        <v>33.760674966560345</v>
      </c>
      <c r="Q198" s="296">
        <f>IFERROR('22A-22G'!Q78/'22A-22G'!Q48*1000,"..")</f>
        <v>58.986366554628198</v>
      </c>
      <c r="R198" s="296">
        <f>IFERROR('22A-22G'!R78/'22A-22G'!R48*1000,"..")</f>
        <v>72.156885805009992</v>
      </c>
      <c r="S198" s="296">
        <f>IFERROR('22A-22G'!S78/'22A-22G'!S48*1000,"..")</f>
        <v>52.756453048509123</v>
      </c>
      <c r="T198" s="296">
        <f>IFERROR('22A-22G'!T78/'22A-22G'!T48*1000,"..")</f>
        <v>53.017725269773862</v>
      </c>
      <c r="U198" s="296">
        <f>IFERROR('22A-22G'!U78/'22A-22G'!U48*1000,"..")</f>
        <v>50.588622496772075</v>
      </c>
      <c r="V198" s="296">
        <f>IFERROR('22A-22G'!V78/'22A-22G'!V48*1000,"..")</f>
        <v>52.063398975245391</v>
      </c>
      <c r="W198" s="296">
        <f>IFERROR('22A-22G'!W78/'22A-22G'!W48*1000,"..")</f>
        <v>58.938757129990989</v>
      </c>
      <c r="X198" s="296">
        <f>IFERROR('22A-22G'!X78/'22A-22G'!X48*1000,"..")</f>
        <v>61.296024834008797</v>
      </c>
      <c r="Y198" s="296">
        <f>IFERROR('22A-22G'!Y78/'22A-22G'!Y48*1000,"..")</f>
        <v>43.125904486251812</v>
      </c>
    </row>
    <row r="199" spans="1:25">
      <c r="A199" s="223">
        <v>2008</v>
      </c>
      <c r="B199" s="190" t="str">
        <f>IFERROR('22A-22G'!B79/'22A-22G'!B49*1000,"..")</f>
        <v>..</v>
      </c>
      <c r="C199" s="190" t="str">
        <f>IFERROR('22A-22G'!C79/'22A-22G'!C49*1000,"..")</f>
        <v>..</v>
      </c>
      <c r="D199" s="190" t="str">
        <f>IFERROR('22A-22G'!D79/'22A-22G'!D49*1000,"..")</f>
        <v>..</v>
      </c>
      <c r="E199" s="190" t="str">
        <f>IFERROR('22A-22G'!E79/'22A-22G'!E49*1000,"..")</f>
        <v>..</v>
      </c>
      <c r="F199" s="190" t="str">
        <f>IFERROR('22A-22G'!F79/'22A-22G'!F49*1000,"..")</f>
        <v>..</v>
      </c>
      <c r="G199" s="190" t="str">
        <f>IFERROR('22A-22G'!G79/'22A-22G'!G49*1000,"..")</f>
        <v>..</v>
      </c>
      <c r="H199" s="296">
        <f>IFERROR('22A-22G'!H79/'22A-22G'!H49*1000,"..")</f>
        <v>49.838637525562369</v>
      </c>
      <c r="I199" s="296">
        <f>IFERROR('22A-22G'!I79/'22A-22G'!I49*1000,"..")</f>
        <v>34.359972976195209</v>
      </c>
      <c r="J199" s="296">
        <f>IFERROR('22A-22G'!J79/'22A-22G'!J49*1000,"..")</f>
        <v>47.693268049080238</v>
      </c>
      <c r="K199" s="296">
        <f>IFERROR('22A-22G'!K79/'22A-22G'!K49*1000,"..")</f>
        <v>60.082448008531934</v>
      </c>
      <c r="L199" s="296">
        <f>IFERROR('22A-22G'!L79/'22A-22G'!L49*1000,"..")</f>
        <v>62.749891169674846</v>
      </c>
      <c r="M199" s="296">
        <f>IFERROR('22A-22G'!M79/'22A-22G'!M49*1000,"..")</f>
        <v>55.850754167769246</v>
      </c>
      <c r="N199" s="296">
        <f>IFERROR('22A-22G'!N79/'22A-22G'!N49*1000,"..")</f>
        <v>46.52658334288882</v>
      </c>
      <c r="O199" s="296">
        <f>IFERROR('22A-22G'!O79/'22A-22G'!O49*1000,"..")</f>
        <v>42.257106491302501</v>
      </c>
      <c r="P199" s="296">
        <f>IFERROR('22A-22G'!P79/'22A-22G'!P49*1000,"..")</f>
        <v>33.526078408696662</v>
      </c>
      <c r="Q199" s="296">
        <f>IFERROR('22A-22G'!Q79/'22A-22G'!Q49*1000,"..")</f>
        <v>58.865248226950349</v>
      </c>
      <c r="R199" s="296">
        <f>IFERROR('22A-22G'!R79/'22A-22G'!R49*1000,"..")</f>
        <v>78.814885366351447</v>
      </c>
      <c r="S199" s="296">
        <f>IFERROR('22A-22G'!S79/'22A-22G'!S49*1000,"..")</f>
        <v>50.479489308104085</v>
      </c>
      <c r="T199" s="296">
        <f>IFERROR('22A-22G'!T79/'22A-22G'!T49*1000,"..")</f>
        <v>58.132017367686153</v>
      </c>
      <c r="U199" s="296">
        <f>IFERROR('22A-22G'!U79/'22A-22G'!U49*1000,"..")</f>
        <v>57.255256029923892</v>
      </c>
      <c r="V199" s="296">
        <f>IFERROR('22A-22G'!V79/'22A-22G'!V49*1000,"..")</f>
        <v>55.957855521275981</v>
      </c>
      <c r="W199" s="296">
        <f>IFERROR('22A-22G'!W79/'22A-22G'!W49*1000,"..")</f>
        <v>64.457366101848905</v>
      </c>
      <c r="X199" s="296">
        <f>IFERROR('22A-22G'!X79/'22A-22G'!X49*1000,"..")</f>
        <v>67.178543255324755</v>
      </c>
      <c r="Y199" s="296">
        <f>IFERROR('22A-22G'!Y79/'22A-22G'!Y49*1000,"..")</f>
        <v>47.149049683227744</v>
      </c>
    </row>
    <row r="200" spans="1:25">
      <c r="A200" s="223">
        <v>2009</v>
      </c>
      <c r="B200" s="190" t="str">
        <f>IFERROR('22A-22G'!B80/'22A-22G'!B50*1000,"..")</f>
        <v>..</v>
      </c>
      <c r="C200" s="190" t="str">
        <f>IFERROR('22A-22G'!C80/'22A-22G'!C50*1000,"..")</f>
        <v>..</v>
      </c>
      <c r="D200" s="190" t="str">
        <f>IFERROR('22A-22G'!D80/'22A-22G'!D50*1000,"..")</f>
        <v>..</v>
      </c>
      <c r="E200" s="190" t="str">
        <f>IFERROR('22A-22G'!E80/'22A-22G'!E50*1000,"..")</f>
        <v>..</v>
      </c>
      <c r="F200" s="190" t="str">
        <f>IFERROR('22A-22G'!F80/'22A-22G'!F50*1000,"..")</f>
        <v>..</v>
      </c>
      <c r="G200" s="190" t="str">
        <f>IFERROR('22A-22G'!G80/'22A-22G'!G50*1000,"..")</f>
        <v>..</v>
      </c>
      <c r="H200" s="296">
        <f>IFERROR('22A-22G'!H80/'22A-22G'!H50*1000,"..")</f>
        <v>48.988050192710446</v>
      </c>
      <c r="I200" s="296">
        <f>IFERROR('22A-22G'!I80/'22A-22G'!I50*1000,"..")</f>
        <v>32.558522914606002</v>
      </c>
      <c r="J200" s="296">
        <f>IFERROR('22A-22G'!J80/'22A-22G'!J50*1000,"..")</f>
        <v>45.372143495467895</v>
      </c>
      <c r="K200" s="296">
        <f>IFERROR('22A-22G'!K80/'22A-22G'!K50*1000,"..")</f>
        <v>62.404436054742803</v>
      </c>
      <c r="L200" s="296">
        <f>IFERROR('22A-22G'!L80/'22A-22G'!L50*1000,"..")</f>
        <v>64.266282605216844</v>
      </c>
      <c r="M200" s="296">
        <f>IFERROR('22A-22G'!M80/'22A-22G'!M50*1000,"..")</f>
        <v>59.995397802450675</v>
      </c>
      <c r="N200" s="296">
        <f>IFERROR('22A-22G'!N80/'22A-22G'!N50*1000,"..")</f>
        <v>43.950453439504535</v>
      </c>
      <c r="O200" s="296">
        <f>IFERROR('22A-22G'!O80/'22A-22G'!O50*1000,"..")</f>
        <v>44.387288523090994</v>
      </c>
      <c r="P200" s="296">
        <f>IFERROR('22A-22G'!P80/'22A-22G'!P50*1000,"..")</f>
        <v>31.39489664662419</v>
      </c>
      <c r="Q200" s="296">
        <f>IFERROR('22A-22G'!Q80/'22A-22G'!Q50*1000,"..")</f>
        <v>53.462787612643517</v>
      </c>
      <c r="R200" s="296">
        <f>IFERROR('22A-22G'!R80/'22A-22G'!R50*1000,"..")</f>
        <v>60.730409545307964</v>
      </c>
      <c r="S200" s="296">
        <f>IFERROR('22A-22G'!S80/'22A-22G'!S50*1000,"..")</f>
        <v>50.83338655086532</v>
      </c>
      <c r="T200" s="296">
        <f>IFERROR('22A-22G'!T80/'22A-22G'!T50*1000,"..")</f>
        <v>52.366160540067732</v>
      </c>
      <c r="U200" s="296">
        <f>IFERROR('22A-22G'!U80/'22A-22G'!U50*1000,"..")</f>
        <v>52.380746629796057</v>
      </c>
      <c r="V200" s="296">
        <f>IFERROR('22A-22G'!V80/'22A-22G'!V50*1000,"..")</f>
        <v>56.151606151606146</v>
      </c>
      <c r="W200" s="296">
        <f>IFERROR('22A-22G'!W80/'22A-22G'!W50*1000,"..")</f>
        <v>44.812902056718315</v>
      </c>
      <c r="X200" s="296">
        <f>IFERROR('22A-22G'!X80/'22A-22G'!X50*1000,"..")</f>
        <v>45.32683634855632</v>
      </c>
      <c r="Y200" s="296">
        <f>IFERROR('22A-22G'!Y80/'22A-22G'!Y50*1000,"..")</f>
        <v>41.732566498921642</v>
      </c>
    </row>
    <row r="201" spans="1:25">
      <c r="A201" s="223">
        <v>2010</v>
      </c>
      <c r="B201" s="190" t="str">
        <f>IFERROR('22A-22G'!B81/'22A-22G'!B51*1000,"..")</f>
        <v>..</v>
      </c>
      <c r="C201" s="190" t="str">
        <f>IFERROR('22A-22G'!C81/'22A-22G'!C51*1000,"..")</f>
        <v>..</v>
      </c>
      <c r="D201" s="190" t="str">
        <f>IFERROR('22A-22G'!D81/'22A-22G'!D51*1000,"..")</f>
        <v>..</v>
      </c>
      <c r="E201" s="190" t="str">
        <f>IFERROR('22A-22G'!E81/'22A-22G'!E51*1000,"..")</f>
        <v>..</v>
      </c>
      <c r="F201" s="190" t="str">
        <f>IFERROR('22A-22G'!F81/'22A-22G'!F51*1000,"..")</f>
        <v>..</v>
      </c>
      <c r="G201" s="190" t="str">
        <f>IFERROR('22A-22G'!G81/'22A-22G'!G51*1000,"..")</f>
        <v>..</v>
      </c>
      <c r="H201" s="296">
        <f>IFERROR('22A-22G'!H81/'22A-22G'!H51*1000,"..")</f>
        <v>51.258679792563946</v>
      </c>
      <c r="I201" s="296">
        <f>IFERROR('22A-22G'!I81/'22A-22G'!I51*1000,"..")</f>
        <v>50.792910447761201</v>
      </c>
      <c r="J201" s="296">
        <f>IFERROR('22A-22G'!J81/'22A-22G'!J51*1000,"..")</f>
        <v>42.722950472560683</v>
      </c>
      <c r="K201" s="296">
        <f>IFERROR('22A-22G'!K81/'22A-22G'!K51*1000,"..")</f>
        <v>61.365213692435134</v>
      </c>
      <c r="L201" s="296">
        <f>IFERROR('22A-22G'!L81/'22A-22G'!L51*1000,"..")</f>
        <v>69.221628045157459</v>
      </c>
      <c r="M201" s="296">
        <f>IFERROR('22A-22G'!M81/'22A-22G'!M51*1000,"..")</f>
        <v>51.063172527415951</v>
      </c>
      <c r="N201" s="296">
        <f>IFERROR('22A-22G'!N81/'22A-22G'!N51*1000,"..")</f>
        <v>47.156173847209409</v>
      </c>
      <c r="O201" s="296">
        <f>IFERROR('22A-22G'!O81/'22A-22G'!O51*1000,"..")</f>
        <v>46.251588310038116</v>
      </c>
      <c r="P201" s="296">
        <f>IFERROR('22A-22G'!P81/'22A-22G'!P51*1000,"..")</f>
        <v>31.104088372622709</v>
      </c>
      <c r="Q201" s="296">
        <f>IFERROR('22A-22G'!Q81/'22A-22G'!Q51*1000,"..")</f>
        <v>61.183225774789591</v>
      </c>
      <c r="R201" s="296">
        <f>IFERROR('22A-22G'!R81/'22A-22G'!R51*1000,"..")</f>
        <v>73.610394080192734</v>
      </c>
      <c r="S201" s="296">
        <f>IFERROR('22A-22G'!S81/'22A-22G'!S51*1000,"..")</f>
        <v>56.190999279118472</v>
      </c>
      <c r="T201" s="296">
        <f>IFERROR('22A-22G'!T81/'22A-22G'!T51*1000,"..")</f>
        <v>56.201013812413471</v>
      </c>
      <c r="U201" s="296">
        <f>IFERROR('22A-22G'!U81/'22A-22G'!U51*1000,"..")</f>
        <v>51.761396768771654</v>
      </c>
      <c r="V201" s="296">
        <f>IFERROR('22A-22G'!V81/'22A-22G'!V51*1000,"..")</f>
        <v>55.463061441544632</v>
      </c>
      <c r="W201" s="296">
        <f>IFERROR('22A-22G'!W81/'22A-22G'!W51*1000,"..")</f>
        <v>65.381628577767913</v>
      </c>
      <c r="X201" s="296">
        <f>IFERROR('22A-22G'!X81/'22A-22G'!X51*1000,"..")</f>
        <v>69.388806594963611</v>
      </c>
      <c r="Y201" s="296">
        <f>IFERROR('22A-22G'!Y81/'22A-22G'!Y51*1000,"..")</f>
        <v>38.928856914468426</v>
      </c>
    </row>
    <row r="202" spans="1:25">
      <c r="A202" s="223">
        <v>2011</v>
      </c>
      <c r="B202" s="190" t="str">
        <f>IFERROR('22A-22G'!B82/'22A-22G'!B52*1000,"..")</f>
        <v>..</v>
      </c>
      <c r="C202" s="190" t="str">
        <f>IFERROR('22A-22G'!C82/'22A-22G'!C52*1000,"..")</f>
        <v>..</v>
      </c>
      <c r="D202" s="190" t="str">
        <f>IFERROR('22A-22G'!D82/'22A-22G'!D52*1000,"..")</f>
        <v>..</v>
      </c>
      <c r="E202" s="190" t="str">
        <f>IFERROR('22A-22G'!E82/'22A-22G'!E52*1000,"..")</f>
        <v>..</v>
      </c>
      <c r="F202" s="190" t="str">
        <f>IFERROR('22A-22G'!F82/'22A-22G'!F52*1000,"..")</f>
        <v>..</v>
      </c>
      <c r="G202" s="190" t="str">
        <f>IFERROR('22A-22G'!G82/'22A-22G'!G52*1000,"..")</f>
        <v>..</v>
      </c>
      <c r="H202" s="296">
        <f>IFERROR('22A-22G'!H82/'22A-22G'!H52*1000,"..")</f>
        <v>53.119995582307148</v>
      </c>
      <c r="I202" s="296">
        <f>IFERROR('22A-22G'!I82/'22A-22G'!I52*1000,"..")</f>
        <v>40.215159360771359</v>
      </c>
      <c r="J202" s="296">
        <f>IFERROR('22A-22G'!J82/'22A-22G'!J52*1000,"..")</f>
        <v>45.673116340083631</v>
      </c>
      <c r="K202" s="296">
        <f>IFERROR('22A-22G'!K82/'22A-22G'!K52*1000,"..")</f>
        <v>70.534379671150973</v>
      </c>
      <c r="L202" s="296">
        <f>IFERROR('22A-22G'!L82/'22A-22G'!L52*1000,"..")</f>
        <v>80.105780829544386</v>
      </c>
      <c r="M202" s="296">
        <f>IFERROR('22A-22G'!M82/'22A-22G'!M52*1000,"..")</f>
        <v>57.37272155876807</v>
      </c>
      <c r="N202" s="296">
        <f>IFERROR('22A-22G'!N82/'22A-22G'!N52*1000,"..")</f>
        <v>45.138091780083862</v>
      </c>
      <c r="O202" s="296">
        <f>IFERROR('22A-22G'!O82/'22A-22G'!O52*1000,"..")</f>
        <v>39.402446360537397</v>
      </c>
      <c r="P202" s="296">
        <f>IFERROR('22A-22G'!P82/'22A-22G'!P52*1000,"..")</f>
        <v>30.812708234174202</v>
      </c>
      <c r="Q202" s="296">
        <f>IFERROR('22A-22G'!Q82/'22A-22G'!Q52*1000,"..")</f>
        <v>58.031013688140135</v>
      </c>
      <c r="R202" s="296">
        <f>IFERROR('22A-22G'!R82/'22A-22G'!R52*1000,"..")</f>
        <v>66.135030162796454</v>
      </c>
      <c r="S202" s="296">
        <f>IFERROR('22A-22G'!S82/'22A-22G'!S52*1000,"..")</f>
        <v>54.899450938121063</v>
      </c>
      <c r="T202" s="296">
        <f>IFERROR('22A-22G'!T82/'22A-22G'!T52*1000,"..")</f>
        <v>62.883342376559959</v>
      </c>
      <c r="U202" s="296">
        <f>IFERROR('22A-22G'!U82/'22A-22G'!U52*1000,"..")</f>
        <v>61.642681899740019</v>
      </c>
      <c r="V202" s="296">
        <f>IFERROR('22A-22G'!V82/'22A-22G'!V52*1000,"..")</f>
        <v>63.083907188911795</v>
      </c>
      <c r="W202" s="296">
        <f>IFERROR('22A-22G'!W82/'22A-22G'!W52*1000,"..")</f>
        <v>64.168788650418335</v>
      </c>
      <c r="X202" s="296">
        <f>IFERROR('22A-22G'!X82/'22A-22G'!X52*1000,"..")</f>
        <v>67.270896273917415</v>
      </c>
      <c r="Y202" s="296">
        <f>IFERROR('22A-22G'!Y82/'22A-22G'!Y52*1000,"..")</f>
        <v>40.050804403048261</v>
      </c>
    </row>
    <row r="203" spans="1:25">
      <c r="A203" s="223">
        <v>2012</v>
      </c>
      <c r="B203" s="190" t="str">
        <f>IFERROR('22A-22G'!B83/'22A-22G'!B53*1000,"..")</f>
        <v>..</v>
      </c>
      <c r="C203" s="190" t="str">
        <f>IFERROR('22A-22G'!C83/'22A-22G'!C53*1000,"..")</f>
        <v>..</v>
      </c>
      <c r="D203" s="190" t="str">
        <f>IFERROR('22A-22G'!D83/'22A-22G'!D53*1000,"..")</f>
        <v>..</v>
      </c>
      <c r="E203" s="190" t="str">
        <f>IFERROR('22A-22G'!E83/'22A-22G'!E53*1000,"..")</f>
        <v>..</v>
      </c>
      <c r="F203" s="190" t="str">
        <f>IFERROR('22A-22G'!F83/'22A-22G'!F53*1000,"..")</f>
        <v>..</v>
      </c>
      <c r="G203" s="190" t="str">
        <f>IFERROR('22A-22G'!G83/'22A-22G'!G53*1000,"..")</f>
        <v>..</v>
      </c>
      <c r="H203" s="296">
        <f>IFERROR('22A-22G'!H83/'22A-22G'!H53*1000,"..")</f>
        <v>57.325437997492791</v>
      </c>
      <c r="I203" s="296">
        <f>IFERROR('22A-22G'!I83/'22A-22G'!I53*1000,"..")</f>
        <v>53.088382500147205</v>
      </c>
      <c r="J203" s="296">
        <f>IFERROR('22A-22G'!J83/'22A-22G'!J53*1000,"..")</f>
        <v>51.599341985011883</v>
      </c>
      <c r="K203" s="296">
        <f>IFERROR('22A-22G'!K83/'22A-22G'!K53*1000,"..")</f>
        <v>65.958357865439154</v>
      </c>
      <c r="L203" s="296">
        <f>IFERROR('22A-22G'!L83/'22A-22G'!L53*1000,"..")</f>
        <v>73.997547795286323</v>
      </c>
      <c r="M203" s="296">
        <f>IFERROR('22A-22G'!M83/'22A-22G'!M53*1000,"..")</f>
        <v>54.226132290648415</v>
      </c>
      <c r="N203" s="296">
        <f>IFERROR('22A-22G'!N83/'22A-22G'!N53*1000,"..")</f>
        <v>49.066985025044772</v>
      </c>
      <c r="O203" s="296">
        <f>IFERROR('22A-22G'!O83/'22A-22G'!O53*1000,"..")</f>
        <v>39.372822299651567</v>
      </c>
      <c r="P203" s="296">
        <f>IFERROR('22A-22G'!P83/'22A-22G'!P53*1000,"..")</f>
        <v>36.398201415063149</v>
      </c>
      <c r="Q203" s="296">
        <f>IFERROR('22A-22G'!Q83/'22A-22G'!Q53*1000,"..")</f>
        <v>61.280950636025757</v>
      </c>
      <c r="R203" s="296">
        <f>IFERROR('22A-22G'!R83/'22A-22G'!R53*1000,"..")</f>
        <v>59.474906233255936</v>
      </c>
      <c r="S203" s="296">
        <f>IFERROR('22A-22G'!S83/'22A-22G'!S53*1000,"..")</f>
        <v>62.770290284360193</v>
      </c>
      <c r="T203" s="296">
        <f>IFERROR('22A-22G'!T83/'22A-22G'!T53*1000,"..")</f>
        <v>61.143539400371459</v>
      </c>
      <c r="U203" s="296">
        <f>IFERROR('22A-22G'!U83/'22A-22G'!U53*1000,"..")</f>
        <v>61.601016518424395</v>
      </c>
      <c r="V203" s="296">
        <f>IFERROR('22A-22G'!V83/'22A-22G'!V53*1000,"..")</f>
        <v>60.337212428467183</v>
      </c>
      <c r="W203" s="296">
        <f>IFERROR('22A-22G'!W83/'22A-22G'!W53*1000,"..")</f>
        <v>62.74285714285714</v>
      </c>
      <c r="X203" s="296">
        <f>IFERROR('22A-22G'!X83/'22A-22G'!X53*1000,"..")</f>
        <v>66.130147752279157</v>
      </c>
      <c r="Y203" s="296">
        <f>IFERROR('22A-22G'!Y83/'22A-22G'!Y53*1000,"..")</f>
        <v>39.546191247974065</v>
      </c>
    </row>
    <row r="204" spans="1:25">
      <c r="A204" s="223">
        <v>2013</v>
      </c>
      <c r="B204" s="190" t="str">
        <f>IFERROR('22A-22G'!B84/'22A-22G'!B54*1000,"..")</f>
        <v>..</v>
      </c>
      <c r="C204" s="190" t="str">
        <f>IFERROR('22A-22G'!C84/'22A-22G'!C54*1000,"..")</f>
        <v>..</v>
      </c>
      <c r="D204" s="190" t="str">
        <f>IFERROR('22A-22G'!D84/'22A-22G'!D54*1000,"..")</f>
        <v>..</v>
      </c>
      <c r="E204" s="190" t="str">
        <f>IFERROR('22A-22G'!E84/'22A-22G'!E54*1000,"..")</f>
        <v>..</v>
      </c>
      <c r="F204" s="190" t="str">
        <f>IFERROR('22A-22G'!F84/'22A-22G'!F54*1000,"..")</f>
        <v>..</v>
      </c>
      <c r="G204" s="190" t="str">
        <f>IFERROR('22A-22G'!G84/'22A-22G'!G54*1000,"..")</f>
        <v>..</v>
      </c>
      <c r="H204" s="296">
        <f>IFERROR('22A-22G'!H84/'22A-22G'!H54*1000,"..")</f>
        <v>61.006500666869705</v>
      </c>
      <c r="I204" s="296">
        <f>IFERROR('22A-22G'!I84/'22A-22G'!I54*1000,"..")</f>
        <v>63.515478911281953</v>
      </c>
      <c r="J204" s="296">
        <f>IFERROR('22A-22G'!J84/'22A-22G'!J54*1000,"..")</f>
        <v>54.423197212045388</v>
      </c>
      <c r="K204" s="296">
        <f>IFERROR('22A-22G'!K84/'22A-22G'!K54*1000,"..")</f>
        <v>68.182575378977177</v>
      </c>
      <c r="L204" s="296">
        <f>IFERROR('22A-22G'!L84/'22A-22G'!L54*1000,"..")</f>
        <v>77.513441499738306</v>
      </c>
      <c r="M204" s="296">
        <f>IFERROR('22A-22G'!M84/'22A-22G'!M54*1000,"..")</f>
        <v>54.90967268848744</v>
      </c>
      <c r="N204" s="296">
        <f>IFERROR('22A-22G'!N84/'22A-22G'!N54*1000,"..")</f>
        <v>48.356988089285487</v>
      </c>
      <c r="O204" s="296">
        <f>IFERROR('22A-22G'!O84/'22A-22G'!O54*1000,"..")</f>
        <v>43.188073394495419</v>
      </c>
      <c r="P204" s="296">
        <f>IFERROR('22A-22G'!P84/'22A-22G'!P54*1000,"..")</f>
        <v>36.316287878787875</v>
      </c>
      <c r="Q204" s="296">
        <f>IFERROR('22A-22G'!Q84/'22A-22G'!Q54*1000,"..")</f>
        <v>59.7015719339309</v>
      </c>
      <c r="R204" s="296">
        <f>IFERROR('22A-22G'!R84/'22A-22G'!R54*1000,"..")</f>
        <v>59.639126305792971</v>
      </c>
      <c r="S204" s="296">
        <f>IFERROR('22A-22G'!S84/'22A-22G'!S54*1000,"..")</f>
        <v>60.198354732067344</v>
      </c>
      <c r="T204" s="296">
        <f>IFERROR('22A-22G'!T84/'22A-22G'!T54*1000,"..")</f>
        <v>62.21408602043558</v>
      </c>
      <c r="U204" s="296">
        <f>IFERROR('22A-22G'!U84/'22A-22G'!U54*1000,"..")</f>
        <v>59.309754330501214</v>
      </c>
      <c r="V204" s="296">
        <f>IFERROR('22A-22G'!V84/'22A-22G'!V54*1000,"..")</f>
        <v>65.321578375019428</v>
      </c>
      <c r="W204" s="296">
        <f>IFERROR('22A-22G'!W84/'22A-22G'!W54*1000,"..")</f>
        <v>58.362378679821973</v>
      </c>
      <c r="X204" s="296">
        <f>IFERROR('22A-22G'!X84/'22A-22G'!X54*1000,"..")</f>
        <v>61.692554240631168</v>
      </c>
      <c r="Y204" s="296">
        <f>IFERROR('22A-22G'!Y84/'22A-22G'!Y54*1000,"..")</f>
        <v>34.432989690721648</v>
      </c>
    </row>
    <row r="205" spans="1:25">
      <c r="A205" s="223"/>
      <c r="B205" s="190"/>
      <c r="C205" s="190"/>
      <c r="D205" s="190"/>
      <c r="E205" s="190"/>
      <c r="F205" s="190"/>
      <c r="G205" s="190"/>
      <c r="H205" s="296"/>
      <c r="I205" s="296"/>
      <c r="J205" s="296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</row>
    <row r="206" spans="1:25">
      <c r="A206" s="223" t="s">
        <v>32</v>
      </c>
      <c r="B206" s="190"/>
      <c r="C206" s="190"/>
      <c r="D206" s="190"/>
      <c r="E206" s="190"/>
      <c r="F206" s="190"/>
      <c r="G206" s="190"/>
      <c r="H206" s="296"/>
      <c r="I206" s="296"/>
      <c r="J206" s="296"/>
      <c r="K206" s="296"/>
      <c r="L206" s="296"/>
      <c r="M206" s="296"/>
      <c r="N206" s="296"/>
      <c r="O206" s="296"/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</row>
    <row r="207" spans="1:25">
      <c r="A207" s="295" t="s">
        <v>444</v>
      </c>
      <c r="B207" s="296" t="str">
        <f t="shared" ref="B207:Y207" si="55">IFERROR(((B204/B188)^(1/16)-1)*100,"..")</f>
        <v>..</v>
      </c>
      <c r="C207" s="296" t="str">
        <f t="shared" si="55"/>
        <v>..</v>
      </c>
      <c r="D207" s="296" t="str">
        <f t="shared" si="55"/>
        <v>..</v>
      </c>
      <c r="E207" s="296" t="str">
        <f t="shared" si="55"/>
        <v>..</v>
      </c>
      <c r="F207" s="296" t="str">
        <f t="shared" si="55"/>
        <v>..</v>
      </c>
      <c r="G207" s="296" t="str">
        <f t="shared" si="55"/>
        <v>..</v>
      </c>
      <c r="H207" s="296" t="str">
        <f t="shared" si="55"/>
        <v>..</v>
      </c>
      <c r="I207" s="296">
        <f t="shared" si="55"/>
        <v>8.1247017744114025</v>
      </c>
      <c r="J207" s="296">
        <f t="shared" si="55"/>
        <v>4.0331763145808663</v>
      </c>
      <c r="K207" s="296" t="str">
        <f t="shared" si="55"/>
        <v>..</v>
      </c>
      <c r="L207" s="296" t="str">
        <f t="shared" si="55"/>
        <v>..</v>
      </c>
      <c r="M207" s="296" t="str">
        <f t="shared" si="55"/>
        <v>..</v>
      </c>
      <c r="N207" s="296">
        <f t="shared" si="55"/>
        <v>1.5718803227405598</v>
      </c>
      <c r="O207" s="296">
        <f t="shared" si="55"/>
        <v>2.1646769473102179</v>
      </c>
      <c r="P207" s="296">
        <f t="shared" si="55"/>
        <v>3.5088145241739088</v>
      </c>
      <c r="Q207" s="296">
        <f t="shared" si="55"/>
        <v>0.51589429507714613</v>
      </c>
      <c r="R207" s="296">
        <f t="shared" si="55"/>
        <v>1.3451213248618643</v>
      </c>
      <c r="S207" s="296">
        <f t="shared" si="55"/>
        <v>-5.6829771451050171E-3</v>
      </c>
      <c r="T207" s="296">
        <f t="shared" si="55"/>
        <v>3.9997253297367363</v>
      </c>
      <c r="U207" s="296">
        <f t="shared" si="55"/>
        <v>2.8817199390596793</v>
      </c>
      <c r="V207" s="296">
        <f t="shared" si="55"/>
        <v>5.6337026301568338</v>
      </c>
      <c r="W207" s="296">
        <f t="shared" si="55"/>
        <v>1.950658031387853</v>
      </c>
      <c r="X207" s="296">
        <f t="shared" si="55"/>
        <v>2.3483247534456408</v>
      </c>
      <c r="Y207" s="296">
        <f t="shared" si="55"/>
        <v>-2.2757457369022571</v>
      </c>
    </row>
    <row r="208" spans="1:25">
      <c r="A208" s="295" t="s">
        <v>445</v>
      </c>
      <c r="B208" s="296" t="str">
        <f t="shared" ref="B208:Y208" si="56">IFERROR(((B204/B191)^(1/13)-1)*100,"..")</f>
        <v>..</v>
      </c>
      <c r="C208" s="296" t="str">
        <f t="shared" si="56"/>
        <v>..</v>
      </c>
      <c r="D208" s="296" t="str">
        <f t="shared" si="56"/>
        <v>..</v>
      </c>
      <c r="E208" s="296" t="str">
        <f t="shared" si="56"/>
        <v>..</v>
      </c>
      <c r="F208" s="296" t="str">
        <f t="shared" si="56"/>
        <v>..</v>
      </c>
      <c r="G208" s="296" t="str">
        <f t="shared" si="56"/>
        <v>..</v>
      </c>
      <c r="H208" s="296">
        <f t="shared" si="56"/>
        <v>3.7254363315275318</v>
      </c>
      <c r="I208" s="296">
        <f t="shared" si="56"/>
        <v>6.7036440535314767</v>
      </c>
      <c r="J208" s="296">
        <f t="shared" si="56"/>
        <v>4.7647243378084791</v>
      </c>
      <c r="K208" s="296">
        <f t="shared" si="56"/>
        <v>1.8236171817263447</v>
      </c>
      <c r="L208" s="296">
        <f t="shared" si="56"/>
        <v>2.4923639841529788</v>
      </c>
      <c r="M208" s="296">
        <f t="shared" si="56"/>
        <v>1.0338406580407522</v>
      </c>
      <c r="N208" s="296">
        <f t="shared" si="56"/>
        <v>0.95801422184320639</v>
      </c>
      <c r="O208" s="296">
        <f t="shared" si="56"/>
        <v>0.59162727409065585</v>
      </c>
      <c r="P208" s="296">
        <f t="shared" si="56"/>
        <v>2.6057884986204316</v>
      </c>
      <c r="Q208" s="296">
        <f t="shared" si="56"/>
        <v>2.6817179980409556E-2</v>
      </c>
      <c r="R208" s="296">
        <f t="shared" si="56"/>
        <v>-0.54945329461562054</v>
      </c>
      <c r="S208" s="296">
        <f t="shared" si="56"/>
        <v>1.1312322978172196</v>
      </c>
      <c r="T208" s="296">
        <f t="shared" si="56"/>
        <v>3.5300683982967263</v>
      </c>
      <c r="U208" s="296">
        <f t="shared" si="56"/>
        <v>3.1455839311938627</v>
      </c>
      <c r="V208" s="296">
        <f t="shared" si="56"/>
        <v>4.7893795782678161</v>
      </c>
      <c r="W208" s="296">
        <f t="shared" si="56"/>
        <v>1.0166566369896213</v>
      </c>
      <c r="X208" s="296" t="str">
        <f t="shared" si="56"/>
        <v>..</v>
      </c>
      <c r="Y208" s="296" t="str">
        <f t="shared" si="56"/>
        <v>..</v>
      </c>
    </row>
    <row r="209" spans="1:25">
      <c r="A209" s="295" t="s">
        <v>446</v>
      </c>
      <c r="B209" s="296" t="str">
        <f t="shared" ref="B209:Y209" si="57">IFERROR(((B198/B191)^(1/7)-1)*100,"..")</f>
        <v>..</v>
      </c>
      <c r="C209" s="296" t="str">
        <f t="shared" si="57"/>
        <v>..</v>
      </c>
      <c r="D209" s="296" t="str">
        <f t="shared" si="57"/>
        <v>..</v>
      </c>
      <c r="E209" s="296" t="str">
        <f t="shared" si="57"/>
        <v>..</v>
      </c>
      <c r="F209" s="296" t="str">
        <f t="shared" si="57"/>
        <v>..</v>
      </c>
      <c r="G209" s="296" t="str">
        <f t="shared" si="57"/>
        <v>..</v>
      </c>
      <c r="H209" s="296">
        <f t="shared" si="57"/>
        <v>3.7047568209460424</v>
      </c>
      <c r="I209" s="296">
        <f t="shared" si="57"/>
        <v>3.9623219720691605</v>
      </c>
      <c r="J209" s="296">
        <f t="shared" si="57"/>
        <v>6.2871852072850176</v>
      </c>
      <c r="K209" s="296">
        <f t="shared" si="57"/>
        <v>1.1550956466403361</v>
      </c>
      <c r="L209" s="296">
        <f t="shared" si="57"/>
        <v>1.4384901529010508</v>
      </c>
      <c r="M209" s="296">
        <f t="shared" si="57"/>
        <v>1.188638985091317</v>
      </c>
      <c r="N209" s="296">
        <f t="shared" si="57"/>
        <v>1.1622343264604984</v>
      </c>
      <c r="O209" s="296">
        <f t="shared" si="57"/>
        <v>0.55173189104709142</v>
      </c>
      <c r="P209" s="296">
        <f t="shared" si="57"/>
        <v>3.8055452837816528</v>
      </c>
      <c r="Q209" s="296">
        <f t="shared" si="57"/>
        <v>-0.12230004844223652</v>
      </c>
      <c r="R209" s="296">
        <f t="shared" si="57"/>
        <v>1.7131517331859136</v>
      </c>
      <c r="S209" s="296">
        <f t="shared" si="57"/>
        <v>0.20414664479371236</v>
      </c>
      <c r="T209" s="296">
        <f t="shared" si="57"/>
        <v>4.2453511831233026</v>
      </c>
      <c r="U209" s="296">
        <f t="shared" si="57"/>
        <v>3.5409505552629783</v>
      </c>
      <c r="V209" s="296">
        <f t="shared" si="57"/>
        <v>5.598364565532421</v>
      </c>
      <c r="W209" s="296">
        <f t="shared" si="57"/>
        <v>2.0394534371714013</v>
      </c>
      <c r="X209" s="296" t="str">
        <f t="shared" si="57"/>
        <v>..</v>
      </c>
      <c r="Y209" s="296" t="str">
        <f t="shared" si="57"/>
        <v>..</v>
      </c>
    </row>
    <row r="210" spans="1:25">
      <c r="A210" s="300" t="s">
        <v>447</v>
      </c>
      <c r="B210" s="296" t="str">
        <f t="shared" ref="B210:Y210" si="58">IFERROR(((B204/B198)^(1/6)-1)*100,"..")</f>
        <v>..</v>
      </c>
      <c r="C210" s="296" t="str">
        <f t="shared" si="58"/>
        <v>..</v>
      </c>
      <c r="D210" s="296" t="str">
        <f t="shared" si="58"/>
        <v>..</v>
      </c>
      <c r="E210" s="296" t="str">
        <f t="shared" si="58"/>
        <v>..</v>
      </c>
      <c r="F210" s="296" t="str">
        <f t="shared" si="58"/>
        <v>..</v>
      </c>
      <c r="G210" s="296" t="str">
        <f t="shared" si="58"/>
        <v>..</v>
      </c>
      <c r="H210" s="296">
        <f t="shared" si="58"/>
        <v>3.7495676390995492</v>
      </c>
      <c r="I210" s="296">
        <f t="shared" si="58"/>
        <v>9.9933456149350128</v>
      </c>
      <c r="J210" s="296">
        <f t="shared" si="58"/>
        <v>3.0160605959799858</v>
      </c>
      <c r="K210" s="296">
        <f t="shared" si="58"/>
        <v>2.609145103988153</v>
      </c>
      <c r="L210" s="296">
        <f t="shared" si="58"/>
        <v>3.7357297437013326</v>
      </c>
      <c r="M210" s="296">
        <f t="shared" si="58"/>
        <v>0.8535418864027422</v>
      </c>
      <c r="N210" s="296">
        <f t="shared" si="58"/>
        <v>0.72027843434443461</v>
      </c>
      <c r="O210" s="296">
        <f t="shared" si="58"/>
        <v>0.63819189428302447</v>
      </c>
      <c r="P210" s="296">
        <f t="shared" si="58"/>
        <v>1.2235866445885035</v>
      </c>
      <c r="Q210" s="296">
        <f t="shared" si="58"/>
        <v>0.20106868494242924</v>
      </c>
      <c r="R210" s="296">
        <f t="shared" si="58"/>
        <v>-3.1256246449039904</v>
      </c>
      <c r="S210" s="296">
        <f t="shared" si="58"/>
        <v>2.2236786275102061</v>
      </c>
      <c r="T210" s="296">
        <f t="shared" si="58"/>
        <v>2.7017725331938358</v>
      </c>
      <c r="U210" s="296">
        <f t="shared" si="58"/>
        <v>2.6862305454641522</v>
      </c>
      <c r="V210" s="296">
        <f t="shared" si="58"/>
        <v>3.8533935018205456</v>
      </c>
      <c r="W210" s="296">
        <f t="shared" si="58"/>
        <v>-0.16365607864521348</v>
      </c>
      <c r="X210" s="296">
        <f t="shared" si="58"/>
        <v>0.10752866581120735</v>
      </c>
      <c r="Y210" s="296">
        <f t="shared" si="58"/>
        <v>-3.6823038616513593</v>
      </c>
    </row>
    <row r="211" spans="1:25">
      <c r="A211" s="297"/>
      <c r="B211" s="297"/>
      <c r="C211" s="297"/>
      <c r="D211" s="297"/>
      <c r="E211" s="297"/>
      <c r="F211" s="297"/>
      <c r="G211" s="297"/>
      <c r="H211" s="297"/>
      <c r="I211" s="297"/>
      <c r="J211" s="297"/>
      <c r="K211" s="297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297"/>
      <c r="Y211" s="297"/>
    </row>
    <row r="212" spans="1:25">
      <c r="A212" s="297" t="s">
        <v>453</v>
      </c>
      <c r="B212" s="297"/>
      <c r="C212" s="297"/>
      <c r="D212" s="297"/>
      <c r="E212" s="297"/>
      <c r="F212" s="297"/>
      <c r="G212" s="297"/>
      <c r="H212" s="297"/>
      <c r="I212" s="297"/>
      <c r="J212" s="297"/>
      <c r="K212" s="297"/>
      <c r="L212" s="297"/>
      <c r="M212" s="297"/>
      <c r="N212" s="297"/>
      <c r="O212" s="297"/>
      <c r="P212" s="297"/>
      <c r="Q212" s="297"/>
      <c r="R212" s="297"/>
      <c r="S212" s="297"/>
      <c r="T212" s="297"/>
      <c r="U212" s="297"/>
      <c r="V212" s="297"/>
      <c r="W212" s="297"/>
      <c r="X212" s="297"/>
      <c r="Y212" s="297"/>
    </row>
    <row r="216" spans="1:25">
      <c r="B216" s="298"/>
      <c r="C216" s="480" t="s">
        <v>454</v>
      </c>
      <c r="D216" s="480"/>
      <c r="E216" s="480"/>
      <c r="F216" s="480"/>
      <c r="G216" s="480"/>
      <c r="H216" s="298"/>
      <c r="I216" s="480" t="s">
        <v>455</v>
      </c>
      <c r="J216" s="480"/>
      <c r="K216" s="480"/>
      <c r="L216" s="480"/>
      <c r="M216" s="480"/>
    </row>
    <row r="217" spans="1:25">
      <c r="B217" s="298"/>
      <c r="C217" s="298" t="s">
        <v>456</v>
      </c>
      <c r="D217" s="298" t="s">
        <v>457</v>
      </c>
      <c r="E217" s="298" t="s">
        <v>458</v>
      </c>
      <c r="F217" s="298" t="s">
        <v>459</v>
      </c>
      <c r="G217" s="298" t="s">
        <v>460</v>
      </c>
      <c r="H217" s="298"/>
      <c r="I217" s="298" t="s">
        <v>456</v>
      </c>
      <c r="J217" s="298" t="s">
        <v>457</v>
      </c>
      <c r="K217" s="298" t="s">
        <v>458</v>
      </c>
      <c r="L217" s="298" t="s">
        <v>459</v>
      </c>
      <c r="M217" s="298" t="s">
        <v>460</v>
      </c>
    </row>
    <row r="218" spans="1:25">
      <c r="B218" s="298" t="s">
        <v>15</v>
      </c>
      <c r="C218" s="299">
        <f>LN('22A-22G'!H144)-LN('22A-22G'!H131)</f>
        <v>0.28176340210271789</v>
      </c>
      <c r="D218" s="299">
        <f>LN('22A-22G'!H114)-LN('22A-22G'!H101)</f>
        <v>-8.4224613445478991E-2</v>
      </c>
      <c r="E218" s="299">
        <f>LN('16A'!B20)-LN('16A'!B7)</f>
        <v>-0.36598801554819677</v>
      </c>
      <c r="F218" s="299">
        <f>LN('22A-22G'!H204)-LN('22A-22G'!H191)</f>
        <v>0.47550342892936159</v>
      </c>
      <c r="G218" s="299">
        <f>LN('22A-22G'!H174)-LN('22A-22G'!H161)</f>
        <v>0.39127881548388288</v>
      </c>
      <c r="H218" s="299"/>
      <c r="I218" s="299">
        <f>LN('22A-22G'!N144)-LN('22A-22G'!N131)</f>
        <v>0.57136111782851895</v>
      </c>
      <c r="J218" s="299">
        <f>LN('22A-22G'!N114)-LN('22A-22G'!N101)</f>
        <v>0.20537310228032218</v>
      </c>
      <c r="K218" s="299">
        <f>LN('16A'!B20)-LN('16A'!B7)</f>
        <v>-0.36598801554819677</v>
      </c>
      <c r="L218" s="299">
        <f>LN('22A-22G'!N204)-LN('22A-22G'!N191)</f>
        <v>0.1239490674736472</v>
      </c>
      <c r="M218" s="299">
        <f>LN('22A-22G'!N174)-LN('22A-22G'!N161)</f>
        <v>0.329322169753969</v>
      </c>
    </row>
    <row r="219" spans="1:25">
      <c r="C219" s="299">
        <f>C218*100</f>
        <v>28.176340210271789</v>
      </c>
      <c r="D219" s="299">
        <f>D218*100</f>
        <v>-8.4224613445478997</v>
      </c>
      <c r="E219" s="299">
        <f>E218*100</f>
        <v>-36.59880155481968</v>
      </c>
      <c r="F219" s="299">
        <f>F218*100</f>
        <v>47.550342892936158</v>
      </c>
      <c r="G219" s="299">
        <f>G218*100</f>
        <v>39.127881548388288</v>
      </c>
      <c r="H219" s="299"/>
      <c r="I219" s="299">
        <f>I218*100</f>
        <v>57.136111782851899</v>
      </c>
      <c r="J219" s="299">
        <f>J218*100</f>
        <v>20.537310228032219</v>
      </c>
      <c r="K219" s="299">
        <f>K218*100</f>
        <v>-36.59880155481968</v>
      </c>
      <c r="L219" s="299">
        <f>L218*100</f>
        <v>12.39490674736472</v>
      </c>
      <c r="M219" s="299">
        <f>M218*100</f>
        <v>32.932216975396898</v>
      </c>
    </row>
    <row r="220" spans="1:25">
      <c r="C220" s="299">
        <v>100</v>
      </c>
      <c r="D220" s="299">
        <f>D219/C219*100</f>
        <v>-29.891963547052363</v>
      </c>
      <c r="E220" s="299">
        <f>-E219/C219*100</f>
        <v>129.89196354705231</v>
      </c>
      <c r="F220" s="299" t="s">
        <v>10</v>
      </c>
      <c r="G220" s="299" t="s">
        <v>10</v>
      </c>
      <c r="H220" s="299"/>
      <c r="I220" s="299">
        <v>100</v>
      </c>
      <c r="J220" s="299">
        <f>J219/I219*100</f>
        <v>35.944535928669943</v>
      </c>
      <c r="K220" s="299">
        <f>-K219/I219*100</f>
        <v>64.055464071330064</v>
      </c>
      <c r="L220" s="299" t="s">
        <v>10</v>
      </c>
      <c r="M220" s="299" t="s">
        <v>10</v>
      </c>
    </row>
    <row r="221" spans="1:25">
      <c r="C221" s="299">
        <v>100</v>
      </c>
      <c r="D221" s="299" t="s">
        <v>10</v>
      </c>
      <c r="E221" s="299">
        <f>-E219/C219*100</f>
        <v>129.89196354705231</v>
      </c>
      <c r="F221" s="299">
        <f>-F219/C219*100</f>
        <v>-168.75982664207575</v>
      </c>
      <c r="G221" s="299">
        <f>G219/C219*100</f>
        <v>138.86786309502349</v>
      </c>
      <c r="H221" s="299"/>
      <c r="I221" s="299">
        <v>100</v>
      </c>
      <c r="J221" s="299" t="s">
        <v>10</v>
      </c>
      <c r="K221" s="299">
        <f>-K219/I219*100</f>
        <v>64.055464071330064</v>
      </c>
      <c r="L221" s="299">
        <f>-L219/I219*100</f>
        <v>-21.693647608489819</v>
      </c>
      <c r="M221" s="299">
        <f>M219/I219*100</f>
        <v>57.638183537159684</v>
      </c>
    </row>
    <row r="222" spans="1:25">
      <c r="C222" s="299">
        <v>100</v>
      </c>
      <c r="D222" s="299" t="s">
        <v>10</v>
      </c>
      <c r="E222" s="299" t="s">
        <v>10</v>
      </c>
      <c r="F222" s="299">
        <f>-F219/D219*100</f>
        <v>564.56587863970253</v>
      </c>
      <c r="G222" s="299">
        <f>G219/D219*100</f>
        <v>-464.56587863970293</v>
      </c>
      <c r="I222" s="299">
        <v>100</v>
      </c>
      <c r="J222" s="299" t="s">
        <v>10</v>
      </c>
      <c r="K222" s="299" t="s">
        <v>10</v>
      </c>
      <c r="L222" s="299">
        <f>-L219/J219*100</f>
        <v>-60.353116400055164</v>
      </c>
      <c r="M222" s="299">
        <f>M219/J219*100</f>
        <v>160.35311640005497</v>
      </c>
    </row>
  </sheetData>
  <mergeCells count="38">
    <mergeCell ref="A1:Y1"/>
    <mergeCell ref="A34:Y34"/>
    <mergeCell ref="A64:Y64"/>
    <mergeCell ref="A94:Y94"/>
    <mergeCell ref="A124:Y124"/>
    <mergeCell ref="B96:G96"/>
    <mergeCell ref="H96:M96"/>
    <mergeCell ref="N96:S96"/>
    <mergeCell ref="T96:Y96"/>
    <mergeCell ref="B36:G36"/>
    <mergeCell ref="H36:M36"/>
    <mergeCell ref="N36:S36"/>
    <mergeCell ref="T36:Y36"/>
    <mergeCell ref="B66:G66"/>
    <mergeCell ref="H66:M66"/>
    <mergeCell ref="N66:S66"/>
    <mergeCell ref="C216:G216"/>
    <mergeCell ref="I216:M216"/>
    <mergeCell ref="A184:Y184"/>
    <mergeCell ref="B126:G126"/>
    <mergeCell ref="H126:M126"/>
    <mergeCell ref="N126:S126"/>
    <mergeCell ref="T126:Y126"/>
    <mergeCell ref="B156:G156"/>
    <mergeCell ref="H156:M156"/>
    <mergeCell ref="N156:S156"/>
    <mergeCell ref="T156:Y156"/>
    <mergeCell ref="A154:Y154"/>
    <mergeCell ref="B186:G186"/>
    <mergeCell ref="H186:M186"/>
    <mergeCell ref="N186:S186"/>
    <mergeCell ref="T186:Y186"/>
    <mergeCell ref="A3:Y3"/>
    <mergeCell ref="T66:Y66"/>
    <mergeCell ref="B5:G5"/>
    <mergeCell ref="H5:M5"/>
    <mergeCell ref="N5:S5"/>
    <mergeCell ref="T5:Y5"/>
  </mergeCells>
  <printOptions gridLines="1"/>
  <pageMargins left="0.7" right="0.7" top="0.75" bottom="0.75" header="0.3" footer="0.3"/>
  <pageSetup scale="38" fitToHeight="0" orientation="landscape" horizontalDpi="0" verticalDpi="0" r:id="rId1"/>
  <rowBreaks count="3" manualBreakCount="3">
    <brk id="63" max="16383" man="1"/>
    <brk id="123" max="16383" man="1"/>
    <brk id="183" max="24" man="1"/>
  </rowBreaks>
  <colBreaks count="1" manualBreakCount="1">
    <brk id="13" max="1048575" man="1"/>
  </colBreaks>
</worksheet>
</file>

<file path=xl/worksheets/sheet181.xml><?xml version="1.0" encoding="utf-8"?>
<worksheet xmlns="http://schemas.openxmlformats.org/spreadsheetml/2006/main" xmlns:r="http://schemas.openxmlformats.org/officeDocument/2006/relationships">
  <dimension ref="A1:P53"/>
  <sheetViews>
    <sheetView view="pageBreakPreview" zoomScaleNormal="100" zoomScaleSheetLayoutView="100" workbookViewId="0">
      <selection sqref="A1:P1"/>
    </sheetView>
  </sheetViews>
  <sheetFormatPr defaultRowHeight="15"/>
  <cols>
    <col min="1" max="1" width="5.42578125" style="3" customWidth="1"/>
    <col min="2" max="16" width="10.7109375" style="3" customWidth="1"/>
    <col min="17" max="16384" width="9.140625" style="3"/>
  </cols>
  <sheetData>
    <row r="1" spans="1:16">
      <c r="A1" s="475" t="s">
        <v>602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ht="10.5" customHeight="1">
      <c r="A2" s="215"/>
      <c r="B2" s="297"/>
      <c r="C2" s="297"/>
      <c r="D2" s="297"/>
      <c r="E2" s="297"/>
      <c r="F2" s="297"/>
      <c r="G2" s="297"/>
      <c r="H2" s="297"/>
      <c r="I2" s="297"/>
      <c r="J2" s="297"/>
      <c r="K2" s="297"/>
    </row>
    <row r="3" spans="1:16">
      <c r="A3" s="482" t="s">
        <v>439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</row>
    <row r="4" spans="1:16">
      <c r="B4" s="482" t="s">
        <v>473</v>
      </c>
      <c r="C4" s="482"/>
      <c r="D4" s="482"/>
      <c r="E4" s="482"/>
      <c r="F4" s="482"/>
      <c r="G4" s="482" t="s">
        <v>474</v>
      </c>
      <c r="H4" s="482"/>
      <c r="I4" s="482"/>
      <c r="J4" s="482"/>
      <c r="K4" s="482"/>
      <c r="L4" s="482" t="s">
        <v>476</v>
      </c>
      <c r="M4" s="482"/>
      <c r="N4" s="482"/>
      <c r="O4" s="482"/>
      <c r="P4" s="482"/>
    </row>
    <row r="5" spans="1:16" ht="105">
      <c r="A5" s="307"/>
      <c r="B5" s="308" t="s">
        <v>477</v>
      </c>
      <c r="C5" s="308" t="s">
        <v>478</v>
      </c>
      <c r="D5" s="308" t="s">
        <v>479</v>
      </c>
      <c r="E5" s="308" t="s">
        <v>480</v>
      </c>
      <c r="F5" s="301" t="s">
        <v>481</v>
      </c>
      <c r="G5" s="308" t="s">
        <v>477</v>
      </c>
      <c r="H5" s="308" t="s">
        <v>478</v>
      </c>
      <c r="I5" s="308" t="s">
        <v>479</v>
      </c>
      <c r="J5" s="308" t="s">
        <v>480</v>
      </c>
      <c r="K5" s="301" t="s">
        <v>481</v>
      </c>
      <c r="L5" s="308" t="s">
        <v>477</v>
      </c>
      <c r="M5" s="308" t="s">
        <v>478</v>
      </c>
      <c r="N5" s="308" t="s">
        <v>479</v>
      </c>
      <c r="O5" s="308" t="s">
        <v>480</v>
      </c>
      <c r="P5" s="301" t="s">
        <v>481</v>
      </c>
    </row>
    <row r="6" spans="1:16">
      <c r="A6" s="223">
        <v>2007</v>
      </c>
      <c r="B6" s="309">
        <v>508000.1</v>
      </c>
      <c r="C6" s="309">
        <v>523.20000000000005</v>
      </c>
      <c r="D6" s="309">
        <v>10652.9</v>
      </c>
      <c r="E6" s="309">
        <v>18776.2</v>
      </c>
      <c r="F6" s="309">
        <f>C6+D6+E6</f>
        <v>29952.300000000003</v>
      </c>
      <c r="G6" s="309">
        <v>504141</v>
      </c>
      <c r="H6" s="309">
        <v>378.9</v>
      </c>
      <c r="I6" s="309">
        <v>3225.8</v>
      </c>
      <c r="J6" s="309">
        <v>7562.1</v>
      </c>
      <c r="K6" s="309">
        <f>H6+I6+J6</f>
        <v>11166.800000000001</v>
      </c>
      <c r="L6" s="302">
        <f>B6-G6</f>
        <v>3859.0999999999767</v>
      </c>
      <c r="M6" s="302">
        <f t="shared" ref="M6:P10" si="0">C6-H6</f>
        <v>144.30000000000007</v>
      </c>
      <c r="N6" s="302">
        <f t="shared" si="0"/>
        <v>7427.0999999999995</v>
      </c>
      <c r="O6" s="302">
        <f t="shared" si="0"/>
        <v>11214.1</v>
      </c>
      <c r="P6" s="302">
        <f t="shared" si="0"/>
        <v>18785.5</v>
      </c>
    </row>
    <row r="7" spans="1:16">
      <c r="A7" s="223">
        <v>2008</v>
      </c>
      <c r="B7" s="309">
        <v>539233.80000000005</v>
      </c>
      <c r="C7" s="309">
        <v>366.7</v>
      </c>
      <c r="D7" s="309">
        <v>8015.6</v>
      </c>
      <c r="E7" s="309">
        <v>17971.2</v>
      </c>
      <c r="F7" s="309">
        <f t="shared" ref="F7:F10" si="1">C7+D7+E7</f>
        <v>26353.5</v>
      </c>
      <c r="G7" s="309">
        <v>538871</v>
      </c>
      <c r="H7" s="309">
        <v>366.3</v>
      </c>
      <c r="I7" s="309">
        <v>3087.8</v>
      </c>
      <c r="J7" s="309">
        <v>7625.1</v>
      </c>
      <c r="K7" s="309">
        <f t="shared" ref="K7:K10" si="2">H7+I7+J7</f>
        <v>11079.2</v>
      </c>
      <c r="L7" s="302">
        <f t="shared" ref="L7:L10" si="3">B7-G7</f>
        <v>362.80000000004657</v>
      </c>
      <c r="M7" s="302">
        <f t="shared" si="0"/>
        <v>0.39999999999997726</v>
      </c>
      <c r="N7" s="302">
        <f t="shared" si="0"/>
        <v>4927.8</v>
      </c>
      <c r="O7" s="302">
        <f t="shared" si="0"/>
        <v>10346.1</v>
      </c>
      <c r="P7" s="302">
        <f t="shared" si="0"/>
        <v>15274.3</v>
      </c>
    </row>
    <row r="8" spans="1:16">
      <c r="A8" s="223">
        <v>2009</v>
      </c>
      <c r="B8" s="309">
        <v>420509.1</v>
      </c>
      <c r="C8" s="309">
        <v>273.10000000000002</v>
      </c>
      <c r="D8" s="309">
        <v>6109.8</v>
      </c>
      <c r="E8" s="309">
        <v>14414.9</v>
      </c>
      <c r="F8" s="309">
        <f t="shared" si="1"/>
        <v>20797.8</v>
      </c>
      <c r="G8" s="309">
        <v>468701.6</v>
      </c>
      <c r="H8" s="309">
        <v>357.1</v>
      </c>
      <c r="I8" s="309">
        <v>2791</v>
      </c>
      <c r="J8" s="309">
        <v>6746.7</v>
      </c>
      <c r="K8" s="309">
        <f t="shared" si="2"/>
        <v>9894.7999999999993</v>
      </c>
      <c r="L8" s="302">
        <f t="shared" si="3"/>
        <v>-48192.5</v>
      </c>
      <c r="M8" s="302">
        <f t="shared" si="0"/>
        <v>-84</v>
      </c>
      <c r="N8" s="302">
        <f t="shared" si="0"/>
        <v>3318.8</v>
      </c>
      <c r="O8" s="302">
        <f t="shared" si="0"/>
        <v>7668.2</v>
      </c>
      <c r="P8" s="302">
        <f t="shared" si="0"/>
        <v>10903</v>
      </c>
    </row>
    <row r="9" spans="1:16">
      <c r="A9" s="223">
        <v>2010</v>
      </c>
      <c r="B9" s="309">
        <v>458505.2</v>
      </c>
      <c r="C9" s="309">
        <v>374.8</v>
      </c>
      <c r="D9" s="309">
        <v>7000</v>
      </c>
      <c r="E9" s="309">
        <v>15010.9</v>
      </c>
      <c r="F9" s="309">
        <f t="shared" si="1"/>
        <v>22385.7</v>
      </c>
      <c r="G9" s="309">
        <v>514817</v>
      </c>
      <c r="H9" s="309">
        <v>332.3</v>
      </c>
      <c r="I9" s="309">
        <v>3131.9</v>
      </c>
      <c r="J9" s="309">
        <v>6709.4</v>
      </c>
      <c r="K9" s="309">
        <f t="shared" si="2"/>
        <v>10173.6</v>
      </c>
      <c r="L9" s="302">
        <f t="shared" si="3"/>
        <v>-56311.799999999988</v>
      </c>
      <c r="M9" s="302">
        <f t="shared" si="0"/>
        <v>42.5</v>
      </c>
      <c r="N9" s="302">
        <f t="shared" si="0"/>
        <v>3868.1</v>
      </c>
      <c r="O9" s="302">
        <f t="shared" si="0"/>
        <v>8301.5</v>
      </c>
      <c r="P9" s="302">
        <f t="shared" si="0"/>
        <v>12212.1</v>
      </c>
    </row>
    <row r="10" spans="1:16">
      <c r="A10" s="223">
        <v>2011</v>
      </c>
      <c r="B10" s="309">
        <v>513654.6</v>
      </c>
      <c r="C10" s="309">
        <v>543.9</v>
      </c>
      <c r="D10" s="309">
        <v>6927.8</v>
      </c>
      <c r="E10" s="309">
        <v>15119.4</v>
      </c>
      <c r="F10" s="309">
        <f t="shared" si="1"/>
        <v>22591.1</v>
      </c>
      <c r="G10" s="309">
        <v>562198</v>
      </c>
      <c r="H10" s="309">
        <v>284.5</v>
      </c>
      <c r="I10" s="309">
        <v>3034.5</v>
      </c>
      <c r="J10" s="309">
        <v>6637.7</v>
      </c>
      <c r="K10" s="309">
        <f t="shared" si="2"/>
        <v>9956.7000000000007</v>
      </c>
      <c r="L10" s="302">
        <f t="shared" si="3"/>
        <v>-48543.400000000023</v>
      </c>
      <c r="M10" s="302">
        <f t="shared" si="0"/>
        <v>259.39999999999998</v>
      </c>
      <c r="N10" s="302">
        <f t="shared" si="0"/>
        <v>3893.3</v>
      </c>
      <c r="O10" s="302">
        <f t="shared" si="0"/>
        <v>8481.7000000000007</v>
      </c>
      <c r="P10" s="302">
        <f t="shared" si="0"/>
        <v>12634.399999999998</v>
      </c>
    </row>
    <row r="11" spans="1:16">
      <c r="A11" s="223"/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2"/>
      <c r="M11" s="302"/>
      <c r="N11" s="302"/>
      <c r="O11" s="302"/>
      <c r="P11" s="302"/>
    </row>
    <row r="12" spans="1:16">
      <c r="A12" s="223" t="s">
        <v>32</v>
      </c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2"/>
      <c r="M12" s="302"/>
      <c r="N12" s="302"/>
      <c r="O12" s="302"/>
      <c r="P12" s="302"/>
    </row>
    <row r="13" spans="1:16">
      <c r="A13" s="310" t="s">
        <v>482</v>
      </c>
      <c r="B13" s="311">
        <f t="shared" ref="B13:P13" si="4">IFERROR(((B10/B6)^(1/4)-1)*100,"..")</f>
        <v>0.27711853319827284</v>
      </c>
      <c r="C13" s="311">
        <f t="shared" si="4"/>
        <v>0.97476029675149789</v>
      </c>
      <c r="D13" s="311">
        <f t="shared" si="4"/>
        <v>-10.198855275172869</v>
      </c>
      <c r="E13" s="311">
        <f t="shared" si="4"/>
        <v>-5.2712702867062866</v>
      </c>
      <c r="F13" s="311">
        <f t="shared" si="4"/>
        <v>-6.8083931133461668</v>
      </c>
      <c r="G13" s="311">
        <f t="shared" si="4"/>
        <v>2.7624191311474977</v>
      </c>
      <c r="H13" s="311">
        <f t="shared" si="4"/>
        <v>-6.9129180702169553</v>
      </c>
      <c r="I13" s="311">
        <f t="shared" si="4"/>
        <v>-1.5167377654303649</v>
      </c>
      <c r="J13" s="311">
        <f t="shared" si="4"/>
        <v>-3.2070333445907595</v>
      </c>
      <c r="K13" s="311">
        <f t="shared" si="4"/>
        <v>-2.8267627870005918</v>
      </c>
      <c r="L13" s="311" t="str">
        <f t="shared" si="4"/>
        <v>..</v>
      </c>
      <c r="M13" s="311">
        <f t="shared" si="4"/>
        <v>15.791294758228647</v>
      </c>
      <c r="N13" s="311">
        <f t="shared" si="4"/>
        <v>-14.910759029732713</v>
      </c>
      <c r="O13" s="311">
        <f t="shared" si="4"/>
        <v>-6.7433907610841226</v>
      </c>
      <c r="P13" s="311">
        <f t="shared" si="4"/>
        <v>-9.4407189744205695</v>
      </c>
    </row>
    <row r="14" spans="1:16">
      <c r="A14" s="215"/>
      <c r="B14" s="312"/>
      <c r="C14" s="312"/>
      <c r="D14" s="312"/>
      <c r="E14" s="312"/>
      <c r="F14" s="312"/>
      <c r="G14" s="312"/>
      <c r="H14" s="312"/>
      <c r="I14" s="312"/>
      <c r="J14" s="312"/>
      <c r="K14" s="312"/>
    </row>
    <row r="15" spans="1:16">
      <c r="A15" s="482" t="s">
        <v>132</v>
      </c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</row>
    <row r="16" spans="1:16">
      <c r="A16" s="215"/>
      <c r="B16" s="482" t="s">
        <v>473</v>
      </c>
      <c r="C16" s="482"/>
      <c r="D16" s="482"/>
      <c r="E16" s="482"/>
      <c r="F16" s="482"/>
      <c r="G16" s="482" t="s">
        <v>474</v>
      </c>
      <c r="H16" s="482"/>
      <c r="I16" s="482"/>
      <c r="J16" s="482"/>
      <c r="K16" s="482"/>
      <c r="L16" s="482" t="s">
        <v>476</v>
      </c>
      <c r="M16" s="482"/>
      <c r="N16" s="482"/>
      <c r="O16" s="482"/>
      <c r="P16" s="482"/>
    </row>
    <row r="17" spans="1:16" ht="105">
      <c r="A17" s="313"/>
      <c r="B17" s="308" t="s">
        <v>477</v>
      </c>
      <c r="C17" s="308" t="s">
        <v>478</v>
      </c>
      <c r="D17" s="308" t="s">
        <v>479</v>
      </c>
      <c r="E17" s="308" t="s">
        <v>480</v>
      </c>
      <c r="F17" s="301" t="s">
        <v>481</v>
      </c>
      <c r="G17" s="308" t="s">
        <v>477</v>
      </c>
      <c r="H17" s="308" t="s">
        <v>478</v>
      </c>
      <c r="I17" s="308" t="s">
        <v>479</v>
      </c>
      <c r="J17" s="308" t="s">
        <v>480</v>
      </c>
      <c r="K17" s="301" t="s">
        <v>481</v>
      </c>
      <c r="L17" s="308" t="s">
        <v>477</v>
      </c>
      <c r="M17" s="308" t="s">
        <v>478</v>
      </c>
      <c r="N17" s="308" t="s">
        <v>479</v>
      </c>
      <c r="O17" s="308" t="s">
        <v>480</v>
      </c>
      <c r="P17" s="301" t="s">
        <v>481</v>
      </c>
    </row>
    <row r="18" spans="1:16">
      <c r="A18" s="223">
        <v>2007</v>
      </c>
      <c r="B18" s="309">
        <v>88042.2</v>
      </c>
      <c r="C18" s="309">
        <v>40.299999999999997</v>
      </c>
      <c r="D18" s="309">
        <v>2296.3000000000002</v>
      </c>
      <c r="E18" s="309">
        <v>6147.2</v>
      </c>
      <c r="F18" s="309">
        <f>C18+D18+E18</f>
        <v>8483.7999999999993</v>
      </c>
      <c r="G18" s="309">
        <v>95900</v>
      </c>
      <c r="H18" s="309">
        <v>237.2</v>
      </c>
      <c r="I18" s="309">
        <v>735</v>
      </c>
      <c r="J18" s="309">
        <v>1539.8</v>
      </c>
      <c r="K18" s="309">
        <f>H18+I18+J18</f>
        <v>2512</v>
      </c>
      <c r="L18" s="302">
        <f>B18-G18</f>
        <v>-7857.8000000000029</v>
      </c>
      <c r="M18" s="302">
        <f t="shared" ref="M18:P22" si="5">C18-H18</f>
        <v>-196.89999999999998</v>
      </c>
      <c r="N18" s="302">
        <f t="shared" si="5"/>
        <v>1561.3000000000002</v>
      </c>
      <c r="O18" s="302">
        <f t="shared" si="5"/>
        <v>4607.3999999999996</v>
      </c>
      <c r="P18" s="302">
        <f t="shared" si="5"/>
        <v>5971.7999999999993</v>
      </c>
    </row>
    <row r="19" spans="1:16">
      <c r="A19" s="223">
        <v>2008</v>
      </c>
      <c r="B19" s="309">
        <v>90196.4</v>
      </c>
      <c r="C19" s="309">
        <v>33.1</v>
      </c>
      <c r="D19" s="309">
        <v>1575.9</v>
      </c>
      <c r="E19" s="309">
        <v>6039.8</v>
      </c>
      <c r="F19" s="309">
        <f t="shared" ref="F19:F22" si="6">C19+D19+E19</f>
        <v>7648.8</v>
      </c>
      <c r="G19" s="309">
        <v>106084.5</v>
      </c>
      <c r="H19" s="309">
        <v>182</v>
      </c>
      <c r="I19" s="309">
        <v>606.6</v>
      </c>
      <c r="J19" s="309">
        <v>1523.5</v>
      </c>
      <c r="K19" s="309">
        <f t="shared" ref="K19:K22" si="7">H19+I19+J19</f>
        <v>2312.1</v>
      </c>
      <c r="L19" s="302">
        <f t="shared" ref="L19:L22" si="8">B19-G19</f>
        <v>-15888.100000000006</v>
      </c>
      <c r="M19" s="302">
        <f t="shared" si="5"/>
        <v>-148.9</v>
      </c>
      <c r="N19" s="302">
        <f t="shared" si="5"/>
        <v>969.30000000000007</v>
      </c>
      <c r="O19" s="302">
        <f t="shared" si="5"/>
        <v>4516.3</v>
      </c>
      <c r="P19" s="302">
        <f t="shared" si="5"/>
        <v>5336.7000000000007</v>
      </c>
    </row>
    <row r="20" spans="1:16">
      <c r="A20" s="223">
        <v>2009</v>
      </c>
      <c r="B20" s="309">
        <v>76536.5</v>
      </c>
      <c r="C20" s="309">
        <v>62.6</v>
      </c>
      <c r="D20" s="309">
        <v>1360.5</v>
      </c>
      <c r="E20" s="309">
        <v>5099.8999999999996</v>
      </c>
      <c r="F20" s="309">
        <f t="shared" si="6"/>
        <v>6523</v>
      </c>
      <c r="G20" s="309">
        <v>94752.7</v>
      </c>
      <c r="H20" s="309">
        <v>216.9</v>
      </c>
      <c r="I20" s="309">
        <v>503.9</v>
      </c>
      <c r="J20" s="309">
        <v>1522.9</v>
      </c>
      <c r="K20" s="309">
        <f t="shared" si="7"/>
        <v>2243.6999999999998</v>
      </c>
      <c r="L20" s="302">
        <f t="shared" si="8"/>
        <v>-18216.199999999997</v>
      </c>
      <c r="M20" s="302">
        <f t="shared" si="5"/>
        <v>-154.30000000000001</v>
      </c>
      <c r="N20" s="302">
        <f t="shared" si="5"/>
        <v>856.6</v>
      </c>
      <c r="O20" s="302">
        <f t="shared" si="5"/>
        <v>3576.9999999999995</v>
      </c>
      <c r="P20" s="302">
        <f t="shared" si="5"/>
        <v>4279.3</v>
      </c>
    </row>
    <row r="21" spans="1:16">
      <c r="A21" s="223">
        <v>2010</v>
      </c>
      <c r="B21" s="309">
        <v>78082.8</v>
      </c>
      <c r="C21" s="309">
        <v>77.3</v>
      </c>
      <c r="D21" s="309">
        <v>1565</v>
      </c>
      <c r="E21" s="309">
        <v>4679.3999999999996</v>
      </c>
      <c r="F21" s="309">
        <f t="shared" si="6"/>
        <v>6321.7</v>
      </c>
      <c r="G21" s="309">
        <v>101006.2</v>
      </c>
      <c r="H21" s="309">
        <v>156.80000000000001</v>
      </c>
      <c r="I21" s="309">
        <v>521.5</v>
      </c>
      <c r="J21" s="309">
        <v>1472</v>
      </c>
      <c r="K21" s="309">
        <f t="shared" si="7"/>
        <v>2150.3000000000002</v>
      </c>
      <c r="L21" s="302">
        <f t="shared" si="8"/>
        <v>-22923.399999999994</v>
      </c>
      <c r="M21" s="302">
        <f t="shared" si="5"/>
        <v>-79.500000000000014</v>
      </c>
      <c r="N21" s="302">
        <f t="shared" si="5"/>
        <v>1043.5</v>
      </c>
      <c r="O21" s="302">
        <f t="shared" si="5"/>
        <v>3207.3999999999996</v>
      </c>
      <c r="P21" s="302">
        <f t="shared" si="5"/>
        <v>4171.3999999999996</v>
      </c>
    </row>
    <row r="22" spans="1:16">
      <c r="A22" s="223">
        <v>2011</v>
      </c>
      <c r="B22" s="309">
        <v>84269.4</v>
      </c>
      <c r="C22" s="309">
        <v>169.7</v>
      </c>
      <c r="D22" s="309">
        <v>1392.6</v>
      </c>
      <c r="E22" s="309">
        <v>4743.6000000000004</v>
      </c>
      <c r="F22" s="309">
        <f t="shared" si="6"/>
        <v>6305.9000000000005</v>
      </c>
      <c r="G22" s="309">
        <v>108395.3</v>
      </c>
      <c r="H22" s="309">
        <v>118.8</v>
      </c>
      <c r="I22" s="309">
        <v>468.9</v>
      </c>
      <c r="J22" s="309">
        <v>1387.3</v>
      </c>
      <c r="K22" s="309">
        <f t="shared" si="7"/>
        <v>1975</v>
      </c>
      <c r="L22" s="302">
        <f t="shared" si="8"/>
        <v>-24125.900000000009</v>
      </c>
      <c r="M22" s="302">
        <f t="shared" si="5"/>
        <v>50.899999999999991</v>
      </c>
      <c r="N22" s="302">
        <f t="shared" si="5"/>
        <v>923.69999999999993</v>
      </c>
      <c r="O22" s="302">
        <f t="shared" si="5"/>
        <v>3356.3</v>
      </c>
      <c r="P22" s="302">
        <f t="shared" si="5"/>
        <v>4330.9000000000005</v>
      </c>
    </row>
    <row r="23" spans="1:16">
      <c r="A23" s="223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2"/>
      <c r="M23" s="302"/>
      <c r="N23" s="302"/>
      <c r="O23" s="302"/>
      <c r="P23" s="302"/>
    </row>
    <row r="24" spans="1:16">
      <c r="A24" s="223" t="s">
        <v>32</v>
      </c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2"/>
      <c r="M24" s="302"/>
      <c r="N24" s="302"/>
      <c r="O24" s="302"/>
      <c r="P24" s="302"/>
    </row>
    <row r="25" spans="1:16">
      <c r="A25" s="310" t="s">
        <v>482</v>
      </c>
      <c r="B25" s="311">
        <f t="shared" ref="B25:P25" si="9">IFERROR(((B22/B18)^(1/4)-1)*100,"..")</f>
        <v>-1.0889632757027368</v>
      </c>
      <c r="C25" s="311">
        <f t="shared" si="9"/>
        <v>43.249857640387866</v>
      </c>
      <c r="D25" s="311">
        <f t="shared" si="9"/>
        <v>-11.753103426951061</v>
      </c>
      <c r="E25" s="311">
        <f t="shared" si="9"/>
        <v>-6.274518697906295</v>
      </c>
      <c r="F25" s="311">
        <f t="shared" si="9"/>
        <v>-7.1484486213168275</v>
      </c>
      <c r="G25" s="311">
        <f t="shared" si="9"/>
        <v>3.1093291189149941</v>
      </c>
      <c r="H25" s="311">
        <f t="shared" si="9"/>
        <v>-15.874929925995795</v>
      </c>
      <c r="I25" s="311">
        <f t="shared" si="9"/>
        <v>-10.628669510713051</v>
      </c>
      <c r="J25" s="311">
        <f t="shared" si="9"/>
        <v>-2.5736308452886214</v>
      </c>
      <c r="K25" s="311">
        <f t="shared" si="9"/>
        <v>-5.8355733898284301</v>
      </c>
      <c r="L25" s="311">
        <f t="shared" si="9"/>
        <v>32.371849891448591</v>
      </c>
      <c r="M25" s="311" t="str">
        <f t="shared" si="9"/>
        <v>..</v>
      </c>
      <c r="N25" s="311">
        <f t="shared" si="9"/>
        <v>-12.297667072433072</v>
      </c>
      <c r="O25" s="311">
        <f t="shared" si="9"/>
        <v>-7.6150530547340551</v>
      </c>
      <c r="P25" s="311">
        <f t="shared" si="9"/>
        <v>-7.7177392543649859</v>
      </c>
    </row>
    <row r="26" spans="1:16">
      <c r="A26" s="297"/>
      <c r="B26" s="312"/>
      <c r="C26" s="312"/>
      <c r="D26" s="312"/>
      <c r="E26" s="312"/>
      <c r="F26" s="312"/>
      <c r="G26" s="312"/>
      <c r="H26" s="312"/>
      <c r="I26" s="312"/>
      <c r="J26" s="312"/>
      <c r="K26" s="312"/>
    </row>
    <row r="27" spans="1:16">
      <c r="A27" s="482" t="s">
        <v>133</v>
      </c>
      <c r="B27" s="482"/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</row>
    <row r="28" spans="1:16">
      <c r="A28" s="297"/>
      <c r="B28" s="482" t="s">
        <v>473</v>
      </c>
      <c r="C28" s="482"/>
      <c r="D28" s="482"/>
      <c r="E28" s="482"/>
      <c r="F28" s="482"/>
      <c r="G28" s="482" t="s">
        <v>474</v>
      </c>
      <c r="H28" s="482"/>
      <c r="I28" s="482"/>
      <c r="J28" s="482"/>
      <c r="K28" s="482"/>
      <c r="L28" s="482" t="s">
        <v>476</v>
      </c>
      <c r="M28" s="482"/>
      <c r="N28" s="482"/>
      <c r="O28" s="482"/>
      <c r="P28" s="482"/>
    </row>
    <row r="29" spans="1:16" ht="105">
      <c r="A29" s="314"/>
      <c r="B29" s="308" t="s">
        <v>477</v>
      </c>
      <c r="C29" s="308" t="s">
        <v>478</v>
      </c>
      <c r="D29" s="308" t="s">
        <v>479</v>
      </c>
      <c r="E29" s="308" t="s">
        <v>480</v>
      </c>
      <c r="F29" s="301" t="s">
        <v>481</v>
      </c>
      <c r="G29" s="308" t="s">
        <v>477</v>
      </c>
      <c r="H29" s="308" t="s">
        <v>478</v>
      </c>
      <c r="I29" s="308" t="s">
        <v>479</v>
      </c>
      <c r="J29" s="308" t="s">
        <v>480</v>
      </c>
      <c r="K29" s="301" t="s">
        <v>481</v>
      </c>
      <c r="L29" s="308" t="s">
        <v>477</v>
      </c>
      <c r="M29" s="308" t="s">
        <v>478</v>
      </c>
      <c r="N29" s="308" t="s">
        <v>479</v>
      </c>
      <c r="O29" s="308" t="s">
        <v>480</v>
      </c>
      <c r="P29" s="301" t="s">
        <v>481</v>
      </c>
    </row>
    <row r="30" spans="1:16">
      <c r="A30" s="223">
        <v>2007</v>
      </c>
      <c r="B30" s="309">
        <v>216635.4</v>
      </c>
      <c r="C30" s="309">
        <v>35</v>
      </c>
      <c r="D30" s="309">
        <v>1572.8</v>
      </c>
      <c r="E30" s="309">
        <v>4496.3999999999996</v>
      </c>
      <c r="F30" s="309">
        <f>C30+D30+E30</f>
        <v>6104.2</v>
      </c>
      <c r="G30" s="309">
        <v>218346.9</v>
      </c>
      <c r="H30" s="309">
        <v>54.8</v>
      </c>
      <c r="I30" s="309">
        <v>1131.8</v>
      </c>
      <c r="J30" s="309">
        <v>3830.9</v>
      </c>
      <c r="K30" s="309">
        <f>H30+I30+J30</f>
        <v>5017.5</v>
      </c>
      <c r="L30" s="302">
        <f>B30-G30</f>
        <v>-1711.5</v>
      </c>
      <c r="M30" s="302">
        <f t="shared" ref="M30:P34" si="10">C30-H30</f>
        <v>-19.799999999999997</v>
      </c>
      <c r="N30" s="302">
        <f t="shared" si="10"/>
        <v>441</v>
      </c>
      <c r="O30" s="302">
        <f t="shared" si="10"/>
        <v>665.49999999999955</v>
      </c>
      <c r="P30" s="302">
        <f t="shared" si="10"/>
        <v>1086.6999999999998</v>
      </c>
    </row>
    <row r="31" spans="1:16">
      <c r="A31" s="223">
        <v>2008</v>
      </c>
      <c r="B31" s="309">
        <v>205699.20000000001</v>
      </c>
      <c r="C31" s="309">
        <v>27.5</v>
      </c>
      <c r="D31" s="309">
        <v>1075.3</v>
      </c>
      <c r="E31" s="309">
        <v>4549.3999999999996</v>
      </c>
      <c r="F31" s="309">
        <f t="shared" ref="F31:F34" si="11">C31+D31+E31</f>
        <v>5652.2</v>
      </c>
      <c r="G31" s="309">
        <v>227287.8</v>
      </c>
      <c r="H31" s="309">
        <v>116.9</v>
      </c>
      <c r="I31" s="309">
        <v>1110.0999999999999</v>
      </c>
      <c r="J31" s="309">
        <v>3830.4</v>
      </c>
      <c r="K31" s="309">
        <f t="shared" ref="K31:K34" si="12">H31+I31+J31</f>
        <v>5057.3999999999996</v>
      </c>
      <c r="L31" s="302">
        <f t="shared" ref="L31:L34" si="13">B31-G31</f>
        <v>-21588.599999999977</v>
      </c>
      <c r="M31" s="302">
        <f t="shared" si="10"/>
        <v>-89.4</v>
      </c>
      <c r="N31" s="302">
        <f t="shared" si="10"/>
        <v>-34.799999999999955</v>
      </c>
      <c r="O31" s="302">
        <f t="shared" si="10"/>
        <v>718.99999999999955</v>
      </c>
      <c r="P31" s="302">
        <f t="shared" si="10"/>
        <v>594.80000000000018</v>
      </c>
    </row>
    <row r="32" spans="1:16">
      <c r="A32" s="223">
        <v>2009</v>
      </c>
      <c r="B32" s="309">
        <v>166953.20000000001</v>
      </c>
      <c r="C32" s="309">
        <v>21.6</v>
      </c>
      <c r="D32" s="309">
        <v>731.7</v>
      </c>
      <c r="E32" s="309">
        <v>3241.3</v>
      </c>
      <c r="F32" s="309">
        <f t="shared" si="11"/>
        <v>3994.6000000000004</v>
      </c>
      <c r="G32" s="309">
        <v>192257.7</v>
      </c>
      <c r="H32" s="309">
        <v>44.2</v>
      </c>
      <c r="I32" s="309">
        <v>1058.8</v>
      </c>
      <c r="J32" s="309">
        <v>2974.9</v>
      </c>
      <c r="K32" s="309">
        <f t="shared" si="12"/>
        <v>4077.9</v>
      </c>
      <c r="L32" s="302">
        <f t="shared" si="13"/>
        <v>-25304.5</v>
      </c>
      <c r="M32" s="302">
        <f t="shared" si="10"/>
        <v>-22.6</v>
      </c>
      <c r="N32" s="302">
        <f t="shared" si="10"/>
        <v>-327.09999999999991</v>
      </c>
      <c r="O32" s="302">
        <f t="shared" si="10"/>
        <v>266.40000000000009</v>
      </c>
      <c r="P32" s="302">
        <f t="shared" si="10"/>
        <v>-83.299999999999727</v>
      </c>
    </row>
    <row r="33" spans="1:16">
      <c r="A33" s="223">
        <v>2010</v>
      </c>
      <c r="B33" s="309">
        <v>186974.8</v>
      </c>
      <c r="C33" s="309">
        <v>41.5</v>
      </c>
      <c r="D33" s="309">
        <v>734.7</v>
      </c>
      <c r="E33" s="309">
        <v>3126.9</v>
      </c>
      <c r="F33" s="309">
        <f t="shared" si="11"/>
        <v>3903.1000000000004</v>
      </c>
      <c r="G33" s="309">
        <v>214390.3</v>
      </c>
      <c r="H33" s="309">
        <v>33.200000000000003</v>
      </c>
      <c r="I33" s="309">
        <v>1229.3</v>
      </c>
      <c r="J33" s="309">
        <v>2835.4</v>
      </c>
      <c r="K33" s="309">
        <f t="shared" si="12"/>
        <v>4097.8999999999996</v>
      </c>
      <c r="L33" s="302">
        <f t="shared" si="13"/>
        <v>-27415.5</v>
      </c>
      <c r="M33" s="302">
        <f t="shared" si="10"/>
        <v>8.2999999999999972</v>
      </c>
      <c r="N33" s="302">
        <f t="shared" si="10"/>
        <v>-494.59999999999991</v>
      </c>
      <c r="O33" s="302">
        <f t="shared" si="10"/>
        <v>291.5</v>
      </c>
      <c r="P33" s="302">
        <f t="shared" si="10"/>
        <v>-194.79999999999927</v>
      </c>
    </row>
    <row r="34" spans="1:16">
      <c r="A34" s="223">
        <v>2011</v>
      </c>
      <c r="B34" s="309">
        <v>202448.1</v>
      </c>
      <c r="C34" s="309">
        <v>44.6</v>
      </c>
      <c r="D34" s="309">
        <v>649.20000000000005</v>
      </c>
      <c r="E34" s="309">
        <v>3209.1</v>
      </c>
      <c r="F34" s="309">
        <f t="shared" si="11"/>
        <v>3902.9</v>
      </c>
      <c r="G34" s="309">
        <v>233719.4</v>
      </c>
      <c r="H34" s="309">
        <v>29.9</v>
      </c>
      <c r="I34" s="309">
        <v>1269</v>
      </c>
      <c r="J34" s="309">
        <v>2807.9</v>
      </c>
      <c r="K34" s="309">
        <f t="shared" si="12"/>
        <v>4106.8</v>
      </c>
      <c r="L34" s="302">
        <f t="shared" si="13"/>
        <v>-31271.299999999988</v>
      </c>
      <c r="M34" s="302">
        <f t="shared" si="10"/>
        <v>14.700000000000003</v>
      </c>
      <c r="N34" s="302">
        <f t="shared" si="10"/>
        <v>-619.79999999999995</v>
      </c>
      <c r="O34" s="302">
        <f t="shared" si="10"/>
        <v>401.19999999999982</v>
      </c>
      <c r="P34" s="302">
        <f t="shared" si="10"/>
        <v>-203.90000000000009</v>
      </c>
    </row>
    <row r="35" spans="1:16">
      <c r="A35" s="223"/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2"/>
      <c r="M35" s="302"/>
      <c r="N35" s="302"/>
      <c r="O35" s="302"/>
      <c r="P35" s="302"/>
    </row>
    <row r="36" spans="1:16">
      <c r="A36" s="223" t="s">
        <v>32</v>
      </c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2"/>
      <c r="M36" s="302"/>
      <c r="N36" s="302"/>
      <c r="O36" s="302"/>
      <c r="P36" s="302"/>
    </row>
    <row r="37" spans="1:16">
      <c r="A37" s="310" t="s">
        <v>482</v>
      </c>
      <c r="B37" s="311">
        <f t="shared" ref="B37:P37" si="14">IFERROR(((B34/B30)^(1/4)-1)*100,"..")</f>
        <v>-1.6790491376154515</v>
      </c>
      <c r="C37" s="311">
        <f t="shared" si="14"/>
        <v>6.2470067212340386</v>
      </c>
      <c r="D37" s="311">
        <f t="shared" si="14"/>
        <v>-19.845805761434665</v>
      </c>
      <c r="E37" s="311">
        <f t="shared" si="14"/>
        <v>-8.0864420521860385</v>
      </c>
      <c r="F37" s="311">
        <f t="shared" si="14"/>
        <v>-10.578970134155464</v>
      </c>
      <c r="G37" s="311">
        <f t="shared" si="14"/>
        <v>1.7154519411931135</v>
      </c>
      <c r="H37" s="311">
        <f t="shared" si="14"/>
        <v>-14.054595987192487</v>
      </c>
      <c r="I37" s="311">
        <f t="shared" si="14"/>
        <v>2.901802710557333</v>
      </c>
      <c r="J37" s="311">
        <f t="shared" si="14"/>
        <v>-7.4726326869493542</v>
      </c>
      <c r="K37" s="311">
        <f t="shared" si="14"/>
        <v>-4.8838981951011773</v>
      </c>
      <c r="L37" s="311">
        <f t="shared" si="14"/>
        <v>106.74844800323382</v>
      </c>
      <c r="M37" s="311" t="str">
        <f t="shared" si="14"/>
        <v>..</v>
      </c>
      <c r="N37" s="311" t="str">
        <f t="shared" si="14"/>
        <v>..</v>
      </c>
      <c r="O37" s="311">
        <f t="shared" si="14"/>
        <v>-11.884316133754957</v>
      </c>
      <c r="P37" s="311" t="str">
        <f t="shared" si="14"/>
        <v>..</v>
      </c>
    </row>
    <row r="38" spans="1:16">
      <c r="A38" s="297"/>
      <c r="B38" s="312"/>
      <c r="C38" s="312"/>
      <c r="D38" s="312"/>
      <c r="E38" s="312"/>
      <c r="F38" s="312"/>
      <c r="G38" s="312"/>
      <c r="H38" s="312"/>
      <c r="I38" s="312"/>
      <c r="J38" s="312"/>
      <c r="K38" s="312"/>
    </row>
    <row r="39" spans="1:16">
      <c r="A39" s="482" t="s">
        <v>440</v>
      </c>
      <c r="B39" s="482"/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</row>
    <row r="40" spans="1:16">
      <c r="A40" s="297"/>
      <c r="B40" s="482" t="s">
        <v>473</v>
      </c>
      <c r="C40" s="482"/>
      <c r="D40" s="482"/>
      <c r="E40" s="482"/>
      <c r="F40" s="482"/>
      <c r="G40" s="482" t="s">
        <v>474</v>
      </c>
      <c r="H40" s="482"/>
      <c r="I40" s="482"/>
      <c r="J40" s="482"/>
      <c r="K40" s="482"/>
      <c r="L40" s="482" t="s">
        <v>476</v>
      </c>
      <c r="M40" s="482"/>
      <c r="N40" s="482"/>
      <c r="O40" s="482"/>
      <c r="P40" s="482"/>
    </row>
    <row r="41" spans="1:16" ht="105">
      <c r="A41" s="314"/>
      <c r="B41" s="308" t="s">
        <v>477</v>
      </c>
      <c r="C41" s="308" t="s">
        <v>478</v>
      </c>
      <c r="D41" s="308" t="s">
        <v>479</v>
      </c>
      <c r="E41" s="308" t="s">
        <v>480</v>
      </c>
      <c r="F41" s="301" t="s">
        <v>481</v>
      </c>
      <c r="G41" s="308" t="s">
        <v>477</v>
      </c>
      <c r="H41" s="308" t="s">
        <v>478</v>
      </c>
      <c r="I41" s="308" t="s">
        <v>479</v>
      </c>
      <c r="J41" s="308" t="s">
        <v>480</v>
      </c>
      <c r="K41" s="301" t="s">
        <v>481</v>
      </c>
      <c r="L41" s="308" t="s">
        <v>477</v>
      </c>
      <c r="M41" s="308" t="s">
        <v>478</v>
      </c>
      <c r="N41" s="308" t="s">
        <v>479</v>
      </c>
      <c r="O41" s="308" t="s">
        <v>480</v>
      </c>
      <c r="P41" s="301" t="s">
        <v>481</v>
      </c>
    </row>
    <row r="42" spans="1:16">
      <c r="A42" s="223">
        <v>2007</v>
      </c>
      <c r="B42" s="309">
        <v>46185.1</v>
      </c>
      <c r="C42" s="309">
        <v>329</v>
      </c>
      <c r="D42" s="309">
        <v>4812.3</v>
      </c>
      <c r="E42" s="309">
        <v>4590.8999999999996</v>
      </c>
      <c r="F42" s="309">
        <f>C42+D42+E42</f>
        <v>9732.2000000000007</v>
      </c>
      <c r="G42" s="309">
        <v>46464.6</v>
      </c>
      <c r="H42" s="309">
        <v>23.4</v>
      </c>
      <c r="I42" s="309">
        <v>597.6</v>
      </c>
      <c r="J42" s="309">
        <v>796.3</v>
      </c>
      <c r="K42" s="309">
        <f>H42+I42+J42</f>
        <v>1417.3</v>
      </c>
      <c r="L42" s="302">
        <f>B42-G42</f>
        <v>-279.5</v>
      </c>
      <c r="M42" s="302">
        <f t="shared" ref="M42:P46" si="15">C42-H42</f>
        <v>305.60000000000002</v>
      </c>
      <c r="N42" s="302">
        <f t="shared" si="15"/>
        <v>4214.7</v>
      </c>
      <c r="O42" s="302">
        <f t="shared" si="15"/>
        <v>3794.5999999999995</v>
      </c>
      <c r="P42" s="302">
        <f t="shared" si="15"/>
        <v>8314.9000000000015</v>
      </c>
    </row>
    <row r="43" spans="1:16">
      <c r="A43" s="223">
        <v>2008</v>
      </c>
      <c r="B43" s="309">
        <v>46658.5</v>
      </c>
      <c r="C43" s="309">
        <v>193.7</v>
      </c>
      <c r="D43" s="309">
        <v>3761.4</v>
      </c>
      <c r="E43" s="309">
        <v>4107.3999999999996</v>
      </c>
      <c r="F43" s="309">
        <f t="shared" ref="F43:F46" si="16">C43+D43+E43</f>
        <v>8062.5</v>
      </c>
      <c r="G43" s="309">
        <v>50249.4</v>
      </c>
      <c r="H43" s="309">
        <v>39.799999999999997</v>
      </c>
      <c r="I43" s="309">
        <v>629.20000000000005</v>
      </c>
      <c r="J43" s="309">
        <v>828.6</v>
      </c>
      <c r="K43" s="309">
        <f t="shared" ref="K43:K46" si="17">H43+I43+J43</f>
        <v>1497.6</v>
      </c>
      <c r="L43" s="302">
        <f t="shared" ref="L43:L46" si="18">B43-G43</f>
        <v>-3590.9000000000015</v>
      </c>
      <c r="M43" s="302">
        <f t="shared" si="15"/>
        <v>153.89999999999998</v>
      </c>
      <c r="N43" s="302">
        <f t="shared" si="15"/>
        <v>3132.2</v>
      </c>
      <c r="O43" s="302">
        <f t="shared" si="15"/>
        <v>3278.7999999999997</v>
      </c>
      <c r="P43" s="302">
        <f t="shared" si="15"/>
        <v>6564.9</v>
      </c>
    </row>
    <row r="44" spans="1:16">
      <c r="A44" s="223">
        <v>2009</v>
      </c>
      <c r="B44" s="309">
        <v>37653.199999999997</v>
      </c>
      <c r="C44" s="309">
        <v>144.80000000000001</v>
      </c>
      <c r="D44" s="309">
        <v>3020.3</v>
      </c>
      <c r="E44" s="309">
        <v>3250.1</v>
      </c>
      <c r="F44" s="309">
        <f t="shared" si="16"/>
        <v>6415.2000000000007</v>
      </c>
      <c r="G44" s="309">
        <v>44957.3</v>
      </c>
      <c r="H44" s="309">
        <v>40.700000000000003</v>
      </c>
      <c r="I44" s="309">
        <v>558.29999999999995</v>
      </c>
      <c r="J44" s="309">
        <v>807.9</v>
      </c>
      <c r="K44" s="309">
        <f t="shared" si="17"/>
        <v>1406.9</v>
      </c>
      <c r="L44" s="302">
        <f t="shared" si="18"/>
        <v>-7304.1000000000058</v>
      </c>
      <c r="M44" s="302">
        <f t="shared" si="15"/>
        <v>104.10000000000001</v>
      </c>
      <c r="N44" s="302">
        <f t="shared" si="15"/>
        <v>2462</v>
      </c>
      <c r="O44" s="302">
        <f t="shared" si="15"/>
        <v>2442.1999999999998</v>
      </c>
      <c r="P44" s="302">
        <f t="shared" si="15"/>
        <v>5008.3000000000011</v>
      </c>
    </row>
    <row r="45" spans="1:16">
      <c r="A45" s="223">
        <v>2010</v>
      </c>
      <c r="B45" s="309">
        <v>41527.300000000003</v>
      </c>
      <c r="C45" s="309">
        <v>178.1</v>
      </c>
      <c r="D45" s="309">
        <v>3594.7</v>
      </c>
      <c r="E45" s="309">
        <v>3873.6</v>
      </c>
      <c r="F45" s="309">
        <f t="shared" si="16"/>
        <v>7646.4</v>
      </c>
      <c r="G45" s="309">
        <v>49766.3</v>
      </c>
      <c r="H45" s="309">
        <v>59.4</v>
      </c>
      <c r="I45" s="309">
        <v>615.70000000000005</v>
      </c>
      <c r="J45" s="309">
        <v>812.8</v>
      </c>
      <c r="K45" s="309">
        <f t="shared" si="17"/>
        <v>1487.9</v>
      </c>
      <c r="L45" s="302">
        <f t="shared" si="18"/>
        <v>-8239</v>
      </c>
      <c r="M45" s="302">
        <f t="shared" si="15"/>
        <v>118.69999999999999</v>
      </c>
      <c r="N45" s="302">
        <f t="shared" si="15"/>
        <v>2979</v>
      </c>
      <c r="O45" s="302">
        <f t="shared" si="15"/>
        <v>3060.8</v>
      </c>
      <c r="P45" s="302">
        <f t="shared" si="15"/>
        <v>6158.5</v>
      </c>
    </row>
    <row r="46" spans="1:16">
      <c r="A46" s="223">
        <v>2011</v>
      </c>
      <c r="B46" s="309">
        <v>45318.7</v>
      </c>
      <c r="C46" s="309">
        <v>227.8</v>
      </c>
      <c r="D46" s="309">
        <v>3719.6</v>
      </c>
      <c r="E46" s="309">
        <v>4006.7</v>
      </c>
      <c r="F46" s="309">
        <f t="shared" si="16"/>
        <v>7954.1</v>
      </c>
      <c r="G46" s="309">
        <v>53800.7</v>
      </c>
      <c r="H46" s="309">
        <v>65.400000000000006</v>
      </c>
      <c r="I46" s="309">
        <v>573.6</v>
      </c>
      <c r="J46" s="309">
        <v>793.2</v>
      </c>
      <c r="K46" s="309">
        <f t="shared" si="17"/>
        <v>1432.2</v>
      </c>
      <c r="L46" s="302">
        <f t="shared" si="18"/>
        <v>-8482</v>
      </c>
      <c r="M46" s="302">
        <f t="shared" si="15"/>
        <v>162.4</v>
      </c>
      <c r="N46" s="302">
        <f t="shared" si="15"/>
        <v>3146</v>
      </c>
      <c r="O46" s="302">
        <f t="shared" si="15"/>
        <v>3213.5</v>
      </c>
      <c r="P46" s="302">
        <f t="shared" si="15"/>
        <v>6521.9000000000005</v>
      </c>
    </row>
    <row r="47" spans="1:16">
      <c r="A47" s="223"/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2"/>
      <c r="M47" s="302"/>
      <c r="N47" s="302"/>
      <c r="O47" s="302"/>
      <c r="P47" s="302"/>
    </row>
    <row r="48" spans="1:16">
      <c r="A48" s="223" t="s">
        <v>32</v>
      </c>
      <c r="B48" s="309"/>
      <c r="C48" s="309"/>
      <c r="D48" s="309"/>
      <c r="E48" s="309"/>
      <c r="F48" s="309"/>
      <c r="G48" s="309"/>
      <c r="H48" s="309"/>
      <c r="I48" s="309"/>
      <c r="J48" s="309"/>
      <c r="K48" s="309"/>
      <c r="L48" s="302"/>
      <c r="M48" s="302"/>
      <c r="N48" s="302"/>
      <c r="O48" s="302"/>
      <c r="P48" s="302"/>
    </row>
    <row r="49" spans="1:16">
      <c r="A49" s="310" t="s">
        <v>482</v>
      </c>
      <c r="B49" s="311">
        <f t="shared" ref="B49:P49" si="19">IFERROR(((B46/B42)^(1/4)-1)*100,"..")</f>
        <v>-0.47231816320485454</v>
      </c>
      <c r="C49" s="311">
        <f t="shared" si="19"/>
        <v>-8.7801286414124</v>
      </c>
      <c r="D49" s="311">
        <f t="shared" si="19"/>
        <v>-6.2360517781885445</v>
      </c>
      <c r="E49" s="311">
        <f t="shared" si="19"/>
        <v>-3.3454622261405165</v>
      </c>
      <c r="F49" s="311">
        <f t="shared" si="19"/>
        <v>-4.9187231261887394</v>
      </c>
      <c r="G49" s="311">
        <f t="shared" si="19"/>
        <v>3.7328788604752194</v>
      </c>
      <c r="H49" s="311">
        <f t="shared" si="19"/>
        <v>29.29760270132935</v>
      </c>
      <c r="I49" s="311">
        <f t="shared" si="19"/>
        <v>-1.0195011067751669</v>
      </c>
      <c r="J49" s="311">
        <f t="shared" si="19"/>
        <v>-9.7467534955064661E-2</v>
      </c>
      <c r="K49" s="311">
        <f t="shared" si="19"/>
        <v>0.26179384317606136</v>
      </c>
      <c r="L49" s="311">
        <f t="shared" si="19"/>
        <v>134.70866000089327</v>
      </c>
      <c r="M49" s="311">
        <f t="shared" si="19"/>
        <v>-14.619603215414866</v>
      </c>
      <c r="N49" s="311">
        <f t="shared" si="19"/>
        <v>-7.0502956415268496</v>
      </c>
      <c r="O49" s="311">
        <f t="shared" si="19"/>
        <v>-4.0703023945241723</v>
      </c>
      <c r="P49" s="311">
        <f t="shared" si="19"/>
        <v>-5.8914079013072325</v>
      </c>
    </row>
    <row r="50" spans="1:16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297"/>
    </row>
    <row r="51" spans="1:16">
      <c r="A51" s="297" t="s">
        <v>483</v>
      </c>
      <c r="B51" s="297"/>
      <c r="C51" s="297"/>
      <c r="D51" s="297"/>
      <c r="E51" s="297"/>
      <c r="F51" s="297"/>
      <c r="G51" s="297"/>
      <c r="H51" s="297"/>
      <c r="I51" s="297"/>
      <c r="J51" s="297"/>
      <c r="K51" s="297"/>
    </row>
    <row r="52" spans="1:16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297"/>
    </row>
    <row r="53" spans="1:16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297"/>
    </row>
  </sheetData>
  <mergeCells count="17">
    <mergeCell ref="A1:P1"/>
    <mergeCell ref="A39:P39"/>
    <mergeCell ref="A27:P27"/>
    <mergeCell ref="A15:P15"/>
    <mergeCell ref="A3:P3"/>
    <mergeCell ref="B16:F16"/>
    <mergeCell ref="G16:K16"/>
    <mergeCell ref="L16:P16"/>
    <mergeCell ref="B4:F4"/>
    <mergeCell ref="G4:K4"/>
    <mergeCell ref="L4:P4"/>
    <mergeCell ref="B40:F40"/>
    <mergeCell ref="G40:K40"/>
    <mergeCell ref="L40:P40"/>
    <mergeCell ref="B28:F28"/>
    <mergeCell ref="G28:K28"/>
    <mergeCell ref="L28:P28"/>
  </mergeCells>
  <printOptions gridLines="1"/>
  <pageMargins left="0.70866141732283472" right="0.70866141732283472" top="0.74803149606299213" bottom="0.74803149606299213" header="0.31496062992125984" footer="0.31496062992125984"/>
  <pageSetup scale="70" fitToWidth="2" orientation="landscape" horizontalDpi="0" verticalDpi="0" r:id="rId1"/>
  <rowBreaks count="1" manualBreakCount="1">
    <brk id="26" max="15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>
  <dimension ref="A1:P53"/>
  <sheetViews>
    <sheetView view="pageBreakPreview" zoomScaleNormal="100" zoomScaleSheetLayoutView="100" workbookViewId="0">
      <selection activeCell="F5" sqref="F5"/>
    </sheetView>
  </sheetViews>
  <sheetFormatPr defaultRowHeight="15"/>
  <cols>
    <col min="1" max="1" width="5.42578125" style="3" customWidth="1"/>
    <col min="2" max="16" width="10.7109375" style="3" customWidth="1"/>
    <col min="17" max="16384" width="9.140625" style="3"/>
  </cols>
  <sheetData>
    <row r="1" spans="1:16">
      <c r="A1" s="475" t="s">
        <v>603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ht="10.5" customHeight="1">
      <c r="A2" s="215"/>
      <c r="B2" s="297"/>
      <c r="C2" s="297"/>
      <c r="D2" s="297"/>
      <c r="E2" s="297"/>
      <c r="F2" s="297"/>
      <c r="G2" s="297"/>
      <c r="H2" s="297"/>
      <c r="I2" s="297"/>
      <c r="J2" s="297"/>
      <c r="K2" s="297"/>
    </row>
    <row r="3" spans="1:16">
      <c r="A3" s="482" t="s">
        <v>439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</row>
    <row r="4" spans="1:16">
      <c r="B4" s="482" t="s">
        <v>471</v>
      </c>
      <c r="C4" s="482"/>
      <c r="D4" s="482"/>
      <c r="E4" s="482"/>
      <c r="F4" s="482"/>
      <c r="G4" s="482" t="s">
        <v>472</v>
      </c>
      <c r="H4" s="482"/>
      <c r="I4" s="482"/>
      <c r="J4" s="482"/>
      <c r="K4" s="482"/>
      <c r="L4" s="482" t="s">
        <v>475</v>
      </c>
      <c r="M4" s="482"/>
      <c r="N4" s="482"/>
      <c r="O4" s="482"/>
      <c r="P4" s="482"/>
    </row>
    <row r="5" spans="1:16" ht="105">
      <c r="A5" s="307"/>
      <c r="B5" s="308" t="s">
        <v>477</v>
      </c>
      <c r="C5" s="308" t="s">
        <v>478</v>
      </c>
      <c r="D5" s="308" t="s">
        <v>479</v>
      </c>
      <c r="E5" s="308" t="s">
        <v>480</v>
      </c>
      <c r="F5" s="301" t="s">
        <v>481</v>
      </c>
      <c r="G5" s="308" t="s">
        <v>477</v>
      </c>
      <c r="H5" s="308" t="s">
        <v>478</v>
      </c>
      <c r="I5" s="308" t="s">
        <v>479</v>
      </c>
      <c r="J5" s="308" t="s">
        <v>480</v>
      </c>
      <c r="K5" s="301" t="s">
        <v>481</v>
      </c>
      <c r="L5" s="308" t="s">
        <v>477</v>
      </c>
      <c r="M5" s="308" t="s">
        <v>478</v>
      </c>
      <c r="N5" s="308" t="s">
        <v>479</v>
      </c>
      <c r="O5" s="308" t="s">
        <v>480</v>
      </c>
      <c r="P5" s="301" t="s">
        <v>481</v>
      </c>
    </row>
    <row r="6" spans="1:16">
      <c r="A6" s="223">
        <v>2007</v>
      </c>
      <c r="B6" s="309">
        <v>313192</v>
      </c>
      <c r="C6" s="309">
        <v>1162.5</v>
      </c>
      <c r="D6" s="309">
        <v>5466.9</v>
      </c>
      <c r="E6" s="309">
        <v>4289.6000000000004</v>
      </c>
      <c r="F6" s="309">
        <f>C6+D6+E6</f>
        <v>10919</v>
      </c>
      <c r="G6" s="309">
        <v>313192</v>
      </c>
      <c r="H6" s="309">
        <v>1162.5</v>
      </c>
      <c r="I6" s="309">
        <v>5466.9</v>
      </c>
      <c r="J6" s="309">
        <v>4289.6000000000004</v>
      </c>
      <c r="K6" s="309">
        <f>H6+I6+J6</f>
        <v>10919</v>
      </c>
      <c r="L6" s="302">
        <f>B6-G6</f>
        <v>0</v>
      </c>
      <c r="M6" s="302">
        <f t="shared" ref="M6:P10" si="0">C6-H6</f>
        <v>0</v>
      </c>
      <c r="N6" s="302">
        <f t="shared" si="0"/>
        <v>0</v>
      </c>
      <c r="O6" s="302">
        <f t="shared" si="0"/>
        <v>0</v>
      </c>
      <c r="P6" s="302">
        <f t="shared" si="0"/>
        <v>0</v>
      </c>
    </row>
    <row r="7" spans="1:16">
      <c r="A7" s="223">
        <v>2008</v>
      </c>
      <c r="B7" s="309">
        <v>328049</v>
      </c>
      <c r="C7" s="309">
        <v>983.5</v>
      </c>
      <c r="D7" s="309">
        <v>4973.3999999999996</v>
      </c>
      <c r="E7" s="309">
        <v>4291.5</v>
      </c>
      <c r="F7" s="309">
        <f t="shared" ref="F7:F10" si="1">C7+D7+E7</f>
        <v>10248.4</v>
      </c>
      <c r="G7" s="309">
        <v>328049</v>
      </c>
      <c r="H7" s="309">
        <v>983.5</v>
      </c>
      <c r="I7" s="309">
        <v>4973.3999999999996</v>
      </c>
      <c r="J7" s="309">
        <v>4291.5</v>
      </c>
      <c r="K7" s="309">
        <f t="shared" ref="K7:K10" si="2">H7+I7+J7</f>
        <v>10248.4</v>
      </c>
      <c r="L7" s="302">
        <f t="shared" ref="L7:L10" si="3">B7-G7</f>
        <v>0</v>
      </c>
      <c r="M7" s="302">
        <f t="shared" si="0"/>
        <v>0</v>
      </c>
      <c r="N7" s="302">
        <f t="shared" si="0"/>
        <v>0</v>
      </c>
      <c r="O7" s="302">
        <f t="shared" si="0"/>
        <v>0</v>
      </c>
      <c r="P7" s="302">
        <f t="shared" si="0"/>
        <v>0</v>
      </c>
    </row>
    <row r="8" spans="1:16">
      <c r="A8" s="223">
        <v>2009</v>
      </c>
      <c r="B8" s="309">
        <v>314438.5</v>
      </c>
      <c r="C8" s="309">
        <v>902.7</v>
      </c>
      <c r="D8" s="309">
        <v>4328</v>
      </c>
      <c r="E8" s="309">
        <v>4062.8</v>
      </c>
      <c r="F8" s="309">
        <f t="shared" si="1"/>
        <v>9293.5</v>
      </c>
      <c r="G8" s="309">
        <v>314438.5</v>
      </c>
      <c r="H8" s="309">
        <v>902.7</v>
      </c>
      <c r="I8" s="309">
        <v>4328</v>
      </c>
      <c r="J8" s="309">
        <v>4062.8</v>
      </c>
      <c r="K8" s="309">
        <f t="shared" si="2"/>
        <v>9293.5</v>
      </c>
      <c r="L8" s="302">
        <f t="shared" si="3"/>
        <v>0</v>
      </c>
      <c r="M8" s="302">
        <f t="shared" si="0"/>
        <v>0</v>
      </c>
      <c r="N8" s="302">
        <f t="shared" si="0"/>
        <v>0</v>
      </c>
      <c r="O8" s="302">
        <f t="shared" si="0"/>
        <v>0</v>
      </c>
      <c r="P8" s="302">
        <f t="shared" si="0"/>
        <v>0</v>
      </c>
    </row>
    <row r="9" spans="1:16">
      <c r="A9" s="223">
        <v>2010</v>
      </c>
      <c r="B9" s="309">
        <v>335307.90000000002</v>
      </c>
      <c r="C9" s="309">
        <v>952.7</v>
      </c>
      <c r="D9" s="309">
        <v>4538.8</v>
      </c>
      <c r="E9" s="309">
        <v>4956.3999999999996</v>
      </c>
      <c r="F9" s="309">
        <f t="shared" si="1"/>
        <v>10447.9</v>
      </c>
      <c r="G9" s="309">
        <v>335307.90000000002</v>
      </c>
      <c r="H9" s="309">
        <v>952.7</v>
      </c>
      <c r="I9" s="309">
        <v>4538.8</v>
      </c>
      <c r="J9" s="309">
        <v>4956.3999999999996</v>
      </c>
      <c r="K9" s="309">
        <f t="shared" si="2"/>
        <v>10447.9</v>
      </c>
      <c r="L9" s="302">
        <f t="shared" si="3"/>
        <v>0</v>
      </c>
      <c r="M9" s="302">
        <f t="shared" si="0"/>
        <v>0</v>
      </c>
      <c r="N9" s="302">
        <f t="shared" si="0"/>
        <v>0</v>
      </c>
      <c r="O9" s="302">
        <f t="shared" si="0"/>
        <v>0</v>
      </c>
      <c r="P9" s="302">
        <f t="shared" si="0"/>
        <v>0</v>
      </c>
    </row>
    <row r="10" spans="1:16">
      <c r="A10" s="223">
        <v>2011</v>
      </c>
      <c r="B10" s="309">
        <v>357944.4</v>
      </c>
      <c r="C10" s="309">
        <v>925.1</v>
      </c>
      <c r="D10" s="309">
        <v>4202.1000000000004</v>
      </c>
      <c r="E10" s="309">
        <v>4093.8</v>
      </c>
      <c r="F10" s="309">
        <f t="shared" si="1"/>
        <v>9221</v>
      </c>
      <c r="G10" s="309">
        <v>357944.4</v>
      </c>
      <c r="H10" s="309">
        <v>925.1</v>
      </c>
      <c r="I10" s="309">
        <v>4202.1000000000004</v>
      </c>
      <c r="J10" s="309">
        <v>4093.8</v>
      </c>
      <c r="K10" s="309">
        <f t="shared" si="2"/>
        <v>9221</v>
      </c>
      <c r="L10" s="302">
        <f t="shared" si="3"/>
        <v>0</v>
      </c>
      <c r="M10" s="302">
        <f t="shared" si="0"/>
        <v>0</v>
      </c>
      <c r="N10" s="302">
        <f t="shared" si="0"/>
        <v>0</v>
      </c>
      <c r="O10" s="302">
        <f t="shared" si="0"/>
        <v>0</v>
      </c>
      <c r="P10" s="302">
        <f t="shared" si="0"/>
        <v>0</v>
      </c>
    </row>
    <row r="11" spans="1:16">
      <c r="A11" s="223"/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2"/>
      <c r="M11" s="302"/>
      <c r="N11" s="302"/>
      <c r="O11" s="302"/>
      <c r="P11" s="302"/>
    </row>
    <row r="12" spans="1:16">
      <c r="A12" s="223" t="s">
        <v>32</v>
      </c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2"/>
      <c r="M12" s="302"/>
      <c r="N12" s="302"/>
      <c r="O12" s="302"/>
      <c r="P12" s="302"/>
    </row>
    <row r="13" spans="1:16">
      <c r="A13" s="310" t="s">
        <v>482</v>
      </c>
      <c r="B13" s="311">
        <f t="shared" ref="B13:P13" si="4">IFERROR(((B10/B6)^(1/4)-1)*100,"..")</f>
        <v>3.3954024658185533</v>
      </c>
      <c r="C13" s="311">
        <f t="shared" si="4"/>
        <v>-5.5506594835345924</v>
      </c>
      <c r="D13" s="311">
        <f t="shared" si="4"/>
        <v>-6.3664879593907546</v>
      </c>
      <c r="E13" s="311">
        <f t="shared" si="4"/>
        <v>-1.1612017625935223</v>
      </c>
      <c r="F13" s="311">
        <f t="shared" si="4"/>
        <v>-4.1374915613788144</v>
      </c>
      <c r="G13" s="311">
        <f t="shared" si="4"/>
        <v>3.3954024658185533</v>
      </c>
      <c r="H13" s="311">
        <f t="shared" si="4"/>
        <v>-5.5506594835345924</v>
      </c>
      <c r="I13" s="311">
        <f t="shared" si="4"/>
        <v>-6.3664879593907546</v>
      </c>
      <c r="J13" s="311">
        <f t="shared" si="4"/>
        <v>-1.1612017625935223</v>
      </c>
      <c r="K13" s="311">
        <f t="shared" si="4"/>
        <v>-4.1374915613788144</v>
      </c>
      <c r="L13" s="311" t="str">
        <f t="shared" si="4"/>
        <v>..</v>
      </c>
      <c r="M13" s="311" t="str">
        <f t="shared" si="4"/>
        <v>..</v>
      </c>
      <c r="N13" s="311" t="str">
        <f t="shared" si="4"/>
        <v>..</v>
      </c>
      <c r="O13" s="311" t="str">
        <f t="shared" si="4"/>
        <v>..</v>
      </c>
      <c r="P13" s="311" t="str">
        <f t="shared" si="4"/>
        <v>..</v>
      </c>
    </row>
    <row r="14" spans="1:16">
      <c r="A14" s="215"/>
      <c r="B14" s="312"/>
      <c r="C14" s="312"/>
      <c r="D14" s="312"/>
      <c r="E14" s="312"/>
      <c r="F14" s="312"/>
      <c r="G14" s="312"/>
      <c r="H14" s="312"/>
      <c r="I14" s="312"/>
      <c r="J14" s="312"/>
      <c r="K14" s="312"/>
    </row>
    <row r="15" spans="1:16">
      <c r="A15" s="482" t="s">
        <v>132</v>
      </c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</row>
    <row r="16" spans="1:16">
      <c r="A16" s="215"/>
      <c r="B16" s="482" t="s">
        <v>471</v>
      </c>
      <c r="C16" s="482"/>
      <c r="D16" s="482"/>
      <c r="E16" s="482"/>
      <c r="F16" s="482"/>
      <c r="G16" s="482" t="s">
        <v>472</v>
      </c>
      <c r="H16" s="482"/>
      <c r="I16" s="482"/>
      <c r="J16" s="482"/>
      <c r="K16" s="482"/>
      <c r="L16" s="482" t="s">
        <v>475</v>
      </c>
      <c r="M16" s="482"/>
      <c r="N16" s="482"/>
      <c r="O16" s="482"/>
      <c r="P16" s="482"/>
    </row>
    <row r="17" spans="1:16" ht="105">
      <c r="A17" s="313"/>
      <c r="B17" s="308" t="s">
        <v>477</v>
      </c>
      <c r="C17" s="308" t="s">
        <v>478</v>
      </c>
      <c r="D17" s="308" t="s">
        <v>479</v>
      </c>
      <c r="E17" s="308" t="s">
        <v>480</v>
      </c>
      <c r="F17" s="301" t="s">
        <v>481</v>
      </c>
      <c r="G17" s="308" t="s">
        <v>477</v>
      </c>
      <c r="H17" s="308" t="s">
        <v>478</v>
      </c>
      <c r="I17" s="308" t="s">
        <v>479</v>
      </c>
      <c r="J17" s="308" t="s">
        <v>480</v>
      </c>
      <c r="K17" s="301" t="s">
        <v>481</v>
      </c>
      <c r="L17" s="308" t="s">
        <v>477</v>
      </c>
      <c r="M17" s="308" t="s">
        <v>478</v>
      </c>
      <c r="N17" s="308" t="s">
        <v>479</v>
      </c>
      <c r="O17" s="308" t="s">
        <v>480</v>
      </c>
      <c r="P17" s="301" t="s">
        <v>481</v>
      </c>
    </row>
    <row r="18" spans="1:16">
      <c r="A18" s="223">
        <v>2007</v>
      </c>
      <c r="B18" s="309">
        <v>60234</v>
      </c>
      <c r="C18" s="309">
        <v>242</v>
      </c>
      <c r="D18" s="309">
        <v>1398.9</v>
      </c>
      <c r="E18" s="309">
        <v>1485.5</v>
      </c>
      <c r="F18" s="309">
        <f>C18+D18+E18</f>
        <v>3126.4</v>
      </c>
      <c r="G18" s="309">
        <v>61921</v>
      </c>
      <c r="H18" s="309">
        <v>260</v>
      </c>
      <c r="I18" s="309">
        <v>1000.5</v>
      </c>
      <c r="J18" s="309">
        <v>979.4</v>
      </c>
      <c r="K18" s="309">
        <f>H18+I18+J18</f>
        <v>2239.9</v>
      </c>
      <c r="L18" s="302">
        <f>B18-G18</f>
        <v>-1687</v>
      </c>
      <c r="M18" s="302">
        <f t="shared" ref="M18:P22" si="5">C18-H18</f>
        <v>-18</v>
      </c>
      <c r="N18" s="302">
        <f t="shared" si="5"/>
        <v>398.40000000000009</v>
      </c>
      <c r="O18" s="302">
        <f t="shared" si="5"/>
        <v>506.1</v>
      </c>
      <c r="P18" s="302">
        <f t="shared" si="5"/>
        <v>886.5</v>
      </c>
    </row>
    <row r="19" spans="1:16">
      <c r="A19" s="223">
        <v>2008</v>
      </c>
      <c r="B19" s="309">
        <v>61379</v>
      </c>
      <c r="C19" s="309">
        <v>232.3</v>
      </c>
      <c r="D19" s="309">
        <v>1326.9</v>
      </c>
      <c r="E19" s="309">
        <v>1549.3</v>
      </c>
      <c r="F19" s="309">
        <f t="shared" ref="F19:F22" si="6">C19+D19+E19</f>
        <v>3108.5</v>
      </c>
      <c r="G19" s="309">
        <v>62393</v>
      </c>
      <c r="H19" s="309">
        <v>189.2</v>
      </c>
      <c r="I19" s="309">
        <v>866.7</v>
      </c>
      <c r="J19" s="309">
        <v>956.2</v>
      </c>
      <c r="K19" s="309">
        <f t="shared" ref="K19:K22" si="7">H19+I19+J19</f>
        <v>2012.1000000000001</v>
      </c>
      <c r="L19" s="302">
        <f t="shared" ref="L19:L22" si="8">B19-G19</f>
        <v>-1014</v>
      </c>
      <c r="M19" s="302">
        <f t="shared" si="5"/>
        <v>43.100000000000023</v>
      </c>
      <c r="N19" s="302">
        <f t="shared" si="5"/>
        <v>460.20000000000005</v>
      </c>
      <c r="O19" s="302">
        <f t="shared" si="5"/>
        <v>593.09999999999991</v>
      </c>
      <c r="P19" s="302">
        <f t="shared" si="5"/>
        <v>1096.3999999999999</v>
      </c>
    </row>
    <row r="20" spans="1:16">
      <c r="A20" s="223">
        <v>2009</v>
      </c>
      <c r="B20" s="309">
        <v>61685.4</v>
      </c>
      <c r="C20" s="309">
        <v>242.4</v>
      </c>
      <c r="D20" s="309">
        <v>1127.4000000000001</v>
      </c>
      <c r="E20" s="309">
        <v>1465.4</v>
      </c>
      <c r="F20" s="309">
        <f t="shared" si="6"/>
        <v>2835.2000000000003</v>
      </c>
      <c r="G20" s="309">
        <v>60386.3</v>
      </c>
      <c r="H20" s="309">
        <v>129.30000000000001</v>
      </c>
      <c r="I20" s="309">
        <v>854.3</v>
      </c>
      <c r="J20" s="309">
        <v>944.4</v>
      </c>
      <c r="K20" s="309">
        <f t="shared" si="7"/>
        <v>1928</v>
      </c>
      <c r="L20" s="302">
        <f t="shared" si="8"/>
        <v>1299.0999999999985</v>
      </c>
      <c r="M20" s="302">
        <f t="shared" si="5"/>
        <v>113.1</v>
      </c>
      <c r="N20" s="302">
        <f t="shared" si="5"/>
        <v>273.10000000000014</v>
      </c>
      <c r="O20" s="302">
        <f t="shared" si="5"/>
        <v>521.00000000000011</v>
      </c>
      <c r="P20" s="302">
        <f t="shared" si="5"/>
        <v>907.20000000000027</v>
      </c>
    </row>
    <row r="21" spans="1:16">
      <c r="A21" s="223">
        <v>2010</v>
      </c>
      <c r="B21" s="309">
        <v>64691.9</v>
      </c>
      <c r="C21" s="309">
        <v>342.7</v>
      </c>
      <c r="D21" s="309">
        <v>1192.0999999999999</v>
      </c>
      <c r="E21" s="309">
        <v>1879.9</v>
      </c>
      <c r="F21" s="309">
        <f t="shared" si="6"/>
        <v>3414.7</v>
      </c>
      <c r="G21" s="309">
        <v>62350.2</v>
      </c>
      <c r="H21" s="309">
        <v>82.2</v>
      </c>
      <c r="I21" s="309">
        <v>868.9</v>
      </c>
      <c r="J21" s="309">
        <v>973.2</v>
      </c>
      <c r="K21" s="309">
        <f t="shared" si="7"/>
        <v>1924.3000000000002</v>
      </c>
      <c r="L21" s="302">
        <f t="shared" si="8"/>
        <v>2341.7000000000044</v>
      </c>
      <c r="M21" s="302">
        <f t="shared" si="5"/>
        <v>260.5</v>
      </c>
      <c r="N21" s="302">
        <f t="shared" si="5"/>
        <v>323.19999999999993</v>
      </c>
      <c r="O21" s="302">
        <f t="shared" si="5"/>
        <v>906.7</v>
      </c>
      <c r="P21" s="302">
        <f t="shared" si="5"/>
        <v>1490.3999999999996</v>
      </c>
    </row>
    <row r="22" spans="1:16">
      <c r="A22" s="223">
        <v>2011</v>
      </c>
      <c r="B22" s="309">
        <v>67916.7</v>
      </c>
      <c r="C22" s="309">
        <v>346.3</v>
      </c>
      <c r="D22" s="309">
        <v>975.7</v>
      </c>
      <c r="E22" s="309">
        <v>1625.1</v>
      </c>
      <c r="F22" s="309">
        <f t="shared" si="6"/>
        <v>2947.1</v>
      </c>
      <c r="G22" s="309">
        <v>65350.1</v>
      </c>
      <c r="H22" s="309">
        <v>76.5</v>
      </c>
      <c r="I22" s="309">
        <v>768.1</v>
      </c>
      <c r="J22" s="309">
        <v>813.7</v>
      </c>
      <c r="K22" s="309">
        <f t="shared" si="7"/>
        <v>1658.3000000000002</v>
      </c>
      <c r="L22" s="302">
        <f t="shared" si="8"/>
        <v>2566.5999999999985</v>
      </c>
      <c r="M22" s="302">
        <f t="shared" si="5"/>
        <v>269.8</v>
      </c>
      <c r="N22" s="302">
        <f t="shared" si="5"/>
        <v>207.60000000000002</v>
      </c>
      <c r="O22" s="302">
        <f t="shared" si="5"/>
        <v>811.39999999999986</v>
      </c>
      <c r="P22" s="302">
        <f t="shared" si="5"/>
        <v>1288.7999999999997</v>
      </c>
    </row>
    <row r="23" spans="1:16">
      <c r="A23" s="223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2"/>
      <c r="M23" s="302"/>
      <c r="N23" s="302"/>
      <c r="O23" s="302"/>
      <c r="P23" s="302"/>
    </row>
    <row r="24" spans="1:16">
      <c r="A24" s="223" t="s">
        <v>32</v>
      </c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2"/>
      <c r="M24" s="302"/>
      <c r="N24" s="302"/>
      <c r="O24" s="302"/>
      <c r="P24" s="302"/>
    </row>
    <row r="25" spans="1:16">
      <c r="A25" s="310" t="s">
        <v>482</v>
      </c>
      <c r="B25" s="311">
        <f t="shared" ref="B25:P25" si="9">IFERROR(((B22/B18)^(1/4)-1)*100,"..")</f>
        <v>3.0466120787645989</v>
      </c>
      <c r="C25" s="311">
        <f t="shared" si="9"/>
        <v>9.3727876530414367</v>
      </c>
      <c r="D25" s="311">
        <f t="shared" si="9"/>
        <v>-8.6134233950566301</v>
      </c>
      <c r="E25" s="311">
        <f t="shared" si="9"/>
        <v>2.2708483615481168</v>
      </c>
      <c r="F25" s="311">
        <f t="shared" si="9"/>
        <v>-1.4656666602130941</v>
      </c>
      <c r="G25" s="311">
        <f t="shared" si="9"/>
        <v>1.3566093409583146</v>
      </c>
      <c r="H25" s="311">
        <f t="shared" si="9"/>
        <v>-26.350123692589666</v>
      </c>
      <c r="I25" s="311">
        <f t="shared" si="9"/>
        <v>-6.3947585106696181</v>
      </c>
      <c r="J25" s="311">
        <f t="shared" si="9"/>
        <v>-4.5279926183945278</v>
      </c>
      <c r="K25" s="311">
        <f t="shared" si="9"/>
        <v>-7.2404532792667347</v>
      </c>
      <c r="L25" s="311" t="str">
        <f t="shared" si="9"/>
        <v>..</v>
      </c>
      <c r="M25" s="311" t="str">
        <f t="shared" si="9"/>
        <v>..</v>
      </c>
      <c r="N25" s="311">
        <f t="shared" si="9"/>
        <v>-15.037554400565856</v>
      </c>
      <c r="O25" s="311">
        <f t="shared" si="9"/>
        <v>12.525167093804779</v>
      </c>
      <c r="P25" s="311">
        <f t="shared" si="9"/>
        <v>9.8061581409599974</v>
      </c>
    </row>
    <row r="26" spans="1:16">
      <c r="A26" s="297"/>
      <c r="B26" s="312"/>
      <c r="C26" s="312"/>
      <c r="D26" s="312"/>
      <c r="E26" s="312"/>
      <c r="F26" s="312"/>
      <c r="G26" s="312"/>
      <c r="H26" s="312"/>
      <c r="I26" s="312"/>
      <c r="J26" s="312"/>
      <c r="K26" s="312"/>
    </row>
    <row r="27" spans="1:16">
      <c r="A27" s="482" t="s">
        <v>133</v>
      </c>
      <c r="B27" s="482"/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</row>
    <row r="28" spans="1:16">
      <c r="A28" s="297"/>
      <c r="B28" s="482" t="s">
        <v>471</v>
      </c>
      <c r="C28" s="482"/>
      <c r="D28" s="482"/>
      <c r="E28" s="482"/>
      <c r="F28" s="482"/>
      <c r="G28" s="482" t="s">
        <v>472</v>
      </c>
      <c r="H28" s="482"/>
      <c r="I28" s="482"/>
      <c r="J28" s="482"/>
      <c r="K28" s="482"/>
      <c r="L28" s="482" t="s">
        <v>475</v>
      </c>
      <c r="M28" s="482"/>
      <c r="N28" s="482"/>
      <c r="O28" s="482"/>
      <c r="P28" s="482"/>
    </row>
    <row r="29" spans="1:16" ht="105">
      <c r="A29" s="314"/>
      <c r="B29" s="308" t="s">
        <v>477</v>
      </c>
      <c r="C29" s="308" t="s">
        <v>478</v>
      </c>
      <c r="D29" s="308" t="s">
        <v>479</v>
      </c>
      <c r="E29" s="308" t="s">
        <v>480</v>
      </c>
      <c r="F29" s="301" t="s">
        <v>481</v>
      </c>
      <c r="G29" s="308" t="s">
        <v>477</v>
      </c>
      <c r="H29" s="308" t="s">
        <v>478</v>
      </c>
      <c r="I29" s="308" t="s">
        <v>479</v>
      </c>
      <c r="J29" s="308" t="s">
        <v>480</v>
      </c>
      <c r="K29" s="301" t="s">
        <v>481</v>
      </c>
      <c r="L29" s="308" t="s">
        <v>477</v>
      </c>
      <c r="M29" s="308" t="s">
        <v>478</v>
      </c>
      <c r="N29" s="308" t="s">
        <v>479</v>
      </c>
      <c r="O29" s="308" t="s">
        <v>480</v>
      </c>
      <c r="P29" s="301" t="s">
        <v>481</v>
      </c>
    </row>
    <row r="30" spans="1:16">
      <c r="A30" s="223">
        <v>2007</v>
      </c>
      <c r="B30" s="309">
        <v>109999.6</v>
      </c>
      <c r="C30" s="309">
        <v>174.6</v>
      </c>
      <c r="D30" s="309">
        <v>542.9</v>
      </c>
      <c r="E30" s="309">
        <v>1022.5</v>
      </c>
      <c r="F30" s="309">
        <f>C30+D30+E30</f>
        <v>1740</v>
      </c>
      <c r="G30" s="309">
        <v>82735.399999999994</v>
      </c>
      <c r="H30" s="309">
        <v>179.5</v>
      </c>
      <c r="I30" s="309">
        <v>1866.1</v>
      </c>
      <c r="J30" s="309">
        <v>1424.1</v>
      </c>
      <c r="K30" s="309">
        <f>H30+I30+J30</f>
        <v>3469.7</v>
      </c>
      <c r="L30" s="302">
        <f>B30-G30</f>
        <v>27264.200000000012</v>
      </c>
      <c r="M30" s="302">
        <f t="shared" ref="M30:P34" si="10">C30-H30</f>
        <v>-4.9000000000000057</v>
      </c>
      <c r="N30" s="302">
        <f t="shared" si="10"/>
        <v>-1323.1999999999998</v>
      </c>
      <c r="O30" s="302">
        <f t="shared" si="10"/>
        <v>-401.59999999999991</v>
      </c>
      <c r="P30" s="302">
        <f t="shared" si="10"/>
        <v>-1729.6999999999998</v>
      </c>
    </row>
    <row r="31" spans="1:16">
      <c r="A31" s="223">
        <v>2008</v>
      </c>
      <c r="B31" s="309">
        <v>111817.2</v>
      </c>
      <c r="C31" s="309">
        <v>130.4</v>
      </c>
      <c r="D31" s="309">
        <v>498.1</v>
      </c>
      <c r="E31" s="309">
        <v>935.5</v>
      </c>
      <c r="F31" s="309">
        <f t="shared" ref="F31:F34" si="11">C31+D31+E31</f>
        <v>1564</v>
      </c>
      <c r="G31" s="309">
        <v>86800.5</v>
      </c>
      <c r="H31" s="309">
        <v>136.69999999999999</v>
      </c>
      <c r="I31" s="309">
        <v>1677.6</v>
      </c>
      <c r="J31" s="309">
        <v>1490.8</v>
      </c>
      <c r="K31" s="309">
        <f t="shared" ref="K31:K34" si="12">H31+I31+J31</f>
        <v>3305.1</v>
      </c>
      <c r="L31" s="302">
        <f t="shared" ref="L31:L34" si="13">B31-G31</f>
        <v>25016.699999999997</v>
      </c>
      <c r="M31" s="302">
        <f t="shared" si="10"/>
        <v>-6.2999999999999829</v>
      </c>
      <c r="N31" s="302">
        <f t="shared" si="10"/>
        <v>-1179.5</v>
      </c>
      <c r="O31" s="302">
        <f t="shared" si="10"/>
        <v>-555.29999999999995</v>
      </c>
      <c r="P31" s="302">
        <f t="shared" si="10"/>
        <v>-1741.1</v>
      </c>
    </row>
    <row r="32" spans="1:16">
      <c r="A32" s="223">
        <v>2009</v>
      </c>
      <c r="B32" s="309">
        <v>107098.8</v>
      </c>
      <c r="C32" s="309">
        <v>97.4</v>
      </c>
      <c r="D32" s="309">
        <v>429.8</v>
      </c>
      <c r="E32" s="309">
        <v>1110.5</v>
      </c>
      <c r="F32" s="309">
        <f t="shared" si="11"/>
        <v>1637.7</v>
      </c>
      <c r="G32" s="309">
        <v>82997.100000000006</v>
      </c>
      <c r="H32" s="309">
        <v>110.2</v>
      </c>
      <c r="I32" s="309">
        <v>1224.4000000000001</v>
      </c>
      <c r="J32" s="309">
        <v>1395.5</v>
      </c>
      <c r="K32" s="309">
        <f t="shared" si="12"/>
        <v>2730.1000000000004</v>
      </c>
      <c r="L32" s="302">
        <f t="shared" si="13"/>
        <v>24101.699999999997</v>
      </c>
      <c r="M32" s="302">
        <f t="shared" si="10"/>
        <v>-12.799999999999997</v>
      </c>
      <c r="N32" s="302">
        <f t="shared" si="10"/>
        <v>-794.60000000000014</v>
      </c>
      <c r="O32" s="302">
        <f t="shared" si="10"/>
        <v>-285</v>
      </c>
      <c r="P32" s="302">
        <f t="shared" si="10"/>
        <v>-1092.4000000000003</v>
      </c>
    </row>
    <row r="33" spans="1:16">
      <c r="A33" s="223">
        <v>2010</v>
      </c>
      <c r="B33" s="309">
        <v>113737.4</v>
      </c>
      <c r="C33" s="309">
        <v>110.5</v>
      </c>
      <c r="D33" s="309">
        <v>567</v>
      </c>
      <c r="E33" s="309">
        <v>1289</v>
      </c>
      <c r="F33" s="309">
        <f t="shared" si="11"/>
        <v>1966.5</v>
      </c>
      <c r="G33" s="309">
        <v>87933.6</v>
      </c>
      <c r="H33" s="309">
        <v>225.4</v>
      </c>
      <c r="I33" s="309">
        <v>1136</v>
      </c>
      <c r="J33" s="309">
        <v>1973.2</v>
      </c>
      <c r="K33" s="309">
        <f t="shared" si="12"/>
        <v>3334.6000000000004</v>
      </c>
      <c r="L33" s="302">
        <f t="shared" si="13"/>
        <v>25803.799999999988</v>
      </c>
      <c r="M33" s="302">
        <f t="shared" si="10"/>
        <v>-114.9</v>
      </c>
      <c r="N33" s="302">
        <f t="shared" si="10"/>
        <v>-569</v>
      </c>
      <c r="O33" s="302">
        <f t="shared" si="10"/>
        <v>-684.2</v>
      </c>
      <c r="P33" s="302">
        <f t="shared" si="10"/>
        <v>-1368.1000000000004</v>
      </c>
    </row>
    <row r="34" spans="1:16">
      <c r="A34" s="223">
        <v>2011</v>
      </c>
      <c r="B34" s="309">
        <v>120507.3</v>
      </c>
      <c r="C34" s="309">
        <v>96.1</v>
      </c>
      <c r="D34" s="309">
        <v>432.1</v>
      </c>
      <c r="E34" s="309">
        <v>983.2</v>
      </c>
      <c r="F34" s="309">
        <f t="shared" si="11"/>
        <v>1511.4</v>
      </c>
      <c r="G34" s="309">
        <v>92391.4</v>
      </c>
      <c r="H34" s="309">
        <v>212.9</v>
      </c>
      <c r="I34" s="309">
        <v>1110.2</v>
      </c>
      <c r="J34" s="309">
        <v>1606.9</v>
      </c>
      <c r="K34" s="309">
        <f t="shared" si="12"/>
        <v>2930</v>
      </c>
      <c r="L34" s="302">
        <f t="shared" si="13"/>
        <v>28115.900000000009</v>
      </c>
      <c r="M34" s="302">
        <f t="shared" si="10"/>
        <v>-116.80000000000001</v>
      </c>
      <c r="N34" s="302">
        <f t="shared" si="10"/>
        <v>-678.1</v>
      </c>
      <c r="O34" s="302">
        <f t="shared" si="10"/>
        <v>-623.70000000000005</v>
      </c>
      <c r="P34" s="302">
        <f t="shared" si="10"/>
        <v>-1418.6</v>
      </c>
    </row>
    <row r="35" spans="1:16">
      <c r="A35" s="223"/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2"/>
      <c r="M35" s="302"/>
      <c r="N35" s="302"/>
      <c r="O35" s="302"/>
      <c r="P35" s="302"/>
    </row>
    <row r="36" spans="1:16">
      <c r="A36" s="223" t="s">
        <v>32</v>
      </c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2"/>
      <c r="M36" s="302"/>
      <c r="N36" s="302"/>
      <c r="O36" s="302"/>
      <c r="P36" s="302"/>
    </row>
    <row r="37" spans="1:16">
      <c r="A37" s="310" t="s">
        <v>482</v>
      </c>
      <c r="B37" s="311">
        <f t="shared" ref="B37:P37" si="14">IFERROR(((B34/B30)^(1/4)-1)*100,"..")</f>
        <v>2.307050112091602</v>
      </c>
      <c r="C37" s="311">
        <f t="shared" si="14"/>
        <v>-13.866957720144979</v>
      </c>
      <c r="D37" s="311">
        <f t="shared" si="14"/>
        <v>-5.546923945078075</v>
      </c>
      <c r="E37" s="311">
        <f t="shared" si="14"/>
        <v>-0.9750485159175315</v>
      </c>
      <c r="F37" s="311">
        <f t="shared" si="14"/>
        <v>-3.4599448901005858</v>
      </c>
      <c r="G37" s="311">
        <f t="shared" si="14"/>
        <v>2.7980897096536284</v>
      </c>
      <c r="H37" s="311">
        <f t="shared" si="14"/>
        <v>4.3584937529697498</v>
      </c>
      <c r="I37" s="311">
        <f t="shared" si="14"/>
        <v>-12.175319703025412</v>
      </c>
      <c r="J37" s="311">
        <f t="shared" si="14"/>
        <v>3.0652096645722215</v>
      </c>
      <c r="K37" s="311">
        <f t="shared" si="14"/>
        <v>-4.1385655122952336</v>
      </c>
      <c r="L37" s="311">
        <f t="shared" si="14"/>
        <v>0.77198370458597676</v>
      </c>
      <c r="M37" s="311">
        <f t="shared" si="14"/>
        <v>120.95899742864415</v>
      </c>
      <c r="N37" s="311">
        <f t="shared" si="14"/>
        <v>-15.390902411030449</v>
      </c>
      <c r="O37" s="311">
        <f t="shared" si="14"/>
        <v>11.633749016975226</v>
      </c>
      <c r="P37" s="311">
        <f t="shared" si="14"/>
        <v>-4.8360867278602004</v>
      </c>
    </row>
    <row r="38" spans="1:16">
      <c r="A38" s="297"/>
      <c r="B38" s="312"/>
      <c r="C38" s="312"/>
      <c r="D38" s="312"/>
      <c r="E38" s="312"/>
      <c r="F38" s="312"/>
      <c r="G38" s="312"/>
      <c r="H38" s="312"/>
      <c r="I38" s="312"/>
      <c r="J38" s="312"/>
      <c r="K38" s="312"/>
    </row>
    <row r="39" spans="1:16">
      <c r="A39" s="482" t="s">
        <v>440</v>
      </c>
      <c r="B39" s="482"/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</row>
    <row r="40" spans="1:16">
      <c r="A40" s="297"/>
      <c r="B40" s="482" t="s">
        <v>471</v>
      </c>
      <c r="C40" s="482"/>
      <c r="D40" s="482"/>
      <c r="E40" s="482"/>
      <c r="F40" s="482"/>
      <c r="G40" s="482" t="s">
        <v>472</v>
      </c>
      <c r="H40" s="482"/>
      <c r="I40" s="482"/>
      <c r="J40" s="482"/>
      <c r="K40" s="482"/>
      <c r="L40" s="482" t="s">
        <v>475</v>
      </c>
      <c r="M40" s="482"/>
      <c r="N40" s="482"/>
      <c r="O40" s="482"/>
      <c r="P40" s="482"/>
    </row>
    <row r="41" spans="1:16" ht="105">
      <c r="A41" s="314"/>
      <c r="B41" s="308" t="s">
        <v>477</v>
      </c>
      <c r="C41" s="308" t="s">
        <v>478</v>
      </c>
      <c r="D41" s="308" t="s">
        <v>479</v>
      </c>
      <c r="E41" s="308" t="s">
        <v>480</v>
      </c>
      <c r="F41" s="301" t="s">
        <v>481</v>
      </c>
      <c r="G41" s="308" t="s">
        <v>477</v>
      </c>
      <c r="H41" s="308" t="s">
        <v>478</v>
      </c>
      <c r="I41" s="308" t="s">
        <v>479</v>
      </c>
      <c r="J41" s="308" t="s">
        <v>480</v>
      </c>
      <c r="K41" s="301" t="s">
        <v>481</v>
      </c>
      <c r="L41" s="308" t="s">
        <v>477</v>
      </c>
      <c r="M41" s="308" t="s">
        <v>478</v>
      </c>
      <c r="N41" s="308" t="s">
        <v>479</v>
      </c>
      <c r="O41" s="308" t="s">
        <v>480</v>
      </c>
      <c r="P41" s="301" t="s">
        <v>481</v>
      </c>
    </row>
    <row r="42" spans="1:16">
      <c r="A42" s="223">
        <v>2007</v>
      </c>
      <c r="B42" s="309">
        <v>31321</v>
      </c>
      <c r="C42" s="309">
        <v>264</v>
      </c>
      <c r="D42" s="309">
        <v>1787.4</v>
      </c>
      <c r="E42" s="309">
        <v>415.9</v>
      </c>
      <c r="F42" s="309">
        <f>C42+D42+E42</f>
        <v>2467.3000000000002</v>
      </c>
      <c r="G42" s="309">
        <v>40563</v>
      </c>
      <c r="H42" s="309">
        <v>78.7</v>
      </c>
      <c r="I42" s="309">
        <v>310</v>
      </c>
      <c r="J42" s="309">
        <v>276.5</v>
      </c>
      <c r="K42" s="309">
        <f>H42+I42+J42</f>
        <v>665.2</v>
      </c>
      <c r="L42" s="302">
        <f>B42-G42</f>
        <v>-9242</v>
      </c>
      <c r="M42" s="302">
        <f t="shared" ref="M42:P46" si="15">C42-H42</f>
        <v>185.3</v>
      </c>
      <c r="N42" s="302">
        <f t="shared" si="15"/>
        <v>1477.4</v>
      </c>
      <c r="O42" s="302">
        <f t="shared" si="15"/>
        <v>139.39999999999998</v>
      </c>
      <c r="P42" s="302">
        <f t="shared" si="15"/>
        <v>1802.1000000000001</v>
      </c>
    </row>
    <row r="43" spans="1:16">
      <c r="A43" s="223">
        <v>2008</v>
      </c>
      <c r="B43" s="309">
        <v>33200</v>
      </c>
      <c r="C43" s="309">
        <v>219.7</v>
      </c>
      <c r="D43" s="309">
        <v>1623</v>
      </c>
      <c r="E43" s="309">
        <v>521.4</v>
      </c>
      <c r="F43" s="309">
        <f t="shared" ref="F43:F46" si="16">C43+D43+E43</f>
        <v>2364.1</v>
      </c>
      <c r="G43" s="309">
        <v>42623</v>
      </c>
      <c r="H43" s="309">
        <v>67.400000000000006</v>
      </c>
      <c r="I43" s="309">
        <v>256.7</v>
      </c>
      <c r="J43" s="309">
        <v>303.39999999999998</v>
      </c>
      <c r="K43" s="309">
        <f t="shared" ref="K43:K46" si="17">H43+I43+J43</f>
        <v>627.5</v>
      </c>
      <c r="L43" s="302">
        <f t="shared" ref="L43:L46" si="18">B43-G43</f>
        <v>-9423</v>
      </c>
      <c r="M43" s="302">
        <f t="shared" si="15"/>
        <v>152.29999999999998</v>
      </c>
      <c r="N43" s="302">
        <f t="shared" si="15"/>
        <v>1366.3</v>
      </c>
      <c r="O43" s="302">
        <f t="shared" si="15"/>
        <v>218</v>
      </c>
      <c r="P43" s="302">
        <f t="shared" si="15"/>
        <v>1736.6</v>
      </c>
    </row>
    <row r="44" spans="1:16">
      <c r="A44" s="223">
        <v>2009</v>
      </c>
      <c r="B44" s="309">
        <v>31906.5</v>
      </c>
      <c r="C44" s="309">
        <v>231.5</v>
      </c>
      <c r="D44" s="309">
        <v>1258.4000000000001</v>
      </c>
      <c r="E44" s="309">
        <v>371.4</v>
      </c>
      <c r="F44" s="309">
        <f t="shared" si="16"/>
        <v>1861.3000000000002</v>
      </c>
      <c r="G44" s="309">
        <v>41419.300000000003</v>
      </c>
      <c r="H44" s="309">
        <v>105.5</v>
      </c>
      <c r="I44" s="309">
        <v>341.3</v>
      </c>
      <c r="J44" s="309">
        <v>311.5</v>
      </c>
      <c r="K44" s="309">
        <f t="shared" si="17"/>
        <v>758.3</v>
      </c>
      <c r="L44" s="302">
        <f t="shared" si="18"/>
        <v>-9512.8000000000029</v>
      </c>
      <c r="M44" s="302">
        <f t="shared" si="15"/>
        <v>126</v>
      </c>
      <c r="N44" s="302">
        <f t="shared" si="15"/>
        <v>917.10000000000014</v>
      </c>
      <c r="O44" s="302">
        <f t="shared" si="15"/>
        <v>59.899999999999977</v>
      </c>
      <c r="P44" s="302">
        <f t="shared" si="15"/>
        <v>1103.0000000000002</v>
      </c>
    </row>
    <row r="45" spans="1:16">
      <c r="A45" s="223">
        <v>2010</v>
      </c>
      <c r="B45" s="309">
        <v>34598.199999999997</v>
      </c>
      <c r="C45" s="309">
        <v>179.9</v>
      </c>
      <c r="D45" s="309">
        <v>1322.9</v>
      </c>
      <c r="E45" s="309">
        <v>411.4</v>
      </c>
      <c r="F45" s="309">
        <f t="shared" si="16"/>
        <v>1914.2000000000003</v>
      </c>
      <c r="G45" s="309">
        <v>44268.9</v>
      </c>
      <c r="H45" s="309">
        <v>91.1</v>
      </c>
      <c r="I45" s="309">
        <v>389.3</v>
      </c>
      <c r="J45" s="309">
        <v>392.5</v>
      </c>
      <c r="K45" s="309">
        <f t="shared" si="17"/>
        <v>872.9</v>
      </c>
      <c r="L45" s="302">
        <f t="shared" si="18"/>
        <v>-9670.7000000000044</v>
      </c>
      <c r="M45" s="302">
        <f t="shared" si="15"/>
        <v>88.800000000000011</v>
      </c>
      <c r="N45" s="302">
        <f t="shared" si="15"/>
        <v>933.60000000000014</v>
      </c>
      <c r="O45" s="302">
        <f t="shared" si="15"/>
        <v>18.899999999999977</v>
      </c>
      <c r="P45" s="302">
        <f t="shared" si="15"/>
        <v>1041.3000000000002</v>
      </c>
    </row>
    <row r="46" spans="1:16">
      <c r="A46" s="223">
        <v>2011</v>
      </c>
      <c r="B46" s="309">
        <v>37371.699999999997</v>
      </c>
      <c r="C46" s="309">
        <v>177.7</v>
      </c>
      <c r="D46" s="309">
        <v>1319.1</v>
      </c>
      <c r="E46" s="309">
        <v>404.6</v>
      </c>
      <c r="F46" s="309">
        <f t="shared" si="16"/>
        <v>1901.4</v>
      </c>
      <c r="G46" s="309">
        <v>45797.8</v>
      </c>
      <c r="H46" s="309">
        <v>95</v>
      </c>
      <c r="I46" s="309">
        <v>294.5</v>
      </c>
      <c r="J46" s="309">
        <v>324.3</v>
      </c>
      <c r="K46" s="309">
        <f t="shared" si="17"/>
        <v>713.8</v>
      </c>
      <c r="L46" s="302">
        <f t="shared" si="18"/>
        <v>-8426.1000000000058</v>
      </c>
      <c r="M46" s="302">
        <f t="shared" si="15"/>
        <v>82.699999999999989</v>
      </c>
      <c r="N46" s="302">
        <f t="shared" si="15"/>
        <v>1024.5999999999999</v>
      </c>
      <c r="O46" s="302">
        <f t="shared" si="15"/>
        <v>80.300000000000011</v>
      </c>
      <c r="P46" s="302">
        <f t="shared" si="15"/>
        <v>1187.6000000000001</v>
      </c>
    </row>
    <row r="47" spans="1:16">
      <c r="A47" s="223"/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2"/>
      <c r="M47" s="302"/>
      <c r="N47" s="302"/>
      <c r="O47" s="302"/>
      <c r="P47" s="302"/>
    </row>
    <row r="48" spans="1:16">
      <c r="A48" s="223" t="s">
        <v>32</v>
      </c>
      <c r="B48" s="309"/>
      <c r="C48" s="309"/>
      <c r="D48" s="309"/>
      <c r="E48" s="309"/>
      <c r="F48" s="309"/>
      <c r="G48" s="309"/>
      <c r="H48" s="309"/>
      <c r="I48" s="309"/>
      <c r="J48" s="309"/>
      <c r="K48" s="309"/>
      <c r="L48" s="302"/>
      <c r="M48" s="302"/>
      <c r="N48" s="302"/>
      <c r="O48" s="302"/>
      <c r="P48" s="302"/>
    </row>
    <row r="49" spans="1:16">
      <c r="A49" s="310" t="s">
        <v>482</v>
      </c>
      <c r="B49" s="311">
        <f t="shared" ref="B49:P49" si="19">IFERROR(((B46/B42)^(1/4)-1)*100,"..")</f>
        <v>4.5145628999160303</v>
      </c>
      <c r="C49" s="311">
        <f t="shared" si="19"/>
        <v>-9.4223862204438902</v>
      </c>
      <c r="D49" s="311">
        <f t="shared" si="19"/>
        <v>-7.314031642087448</v>
      </c>
      <c r="E49" s="311">
        <f t="shared" si="19"/>
        <v>-0.6862823033659704</v>
      </c>
      <c r="F49" s="311">
        <f t="shared" si="19"/>
        <v>-6.305762171942197</v>
      </c>
      <c r="G49" s="311">
        <f t="shared" si="19"/>
        <v>3.0810033547540305</v>
      </c>
      <c r="H49" s="311">
        <f t="shared" si="19"/>
        <v>4.8183256877022407</v>
      </c>
      <c r="I49" s="311">
        <f t="shared" si="19"/>
        <v>-1.2741455098566168</v>
      </c>
      <c r="J49" s="311">
        <f t="shared" si="19"/>
        <v>4.0669803930264203</v>
      </c>
      <c r="K49" s="311">
        <f t="shared" si="19"/>
        <v>1.7785069758793126</v>
      </c>
      <c r="L49" s="311">
        <f t="shared" si="19"/>
        <v>-2.2841169189257604</v>
      </c>
      <c r="M49" s="311">
        <f t="shared" si="19"/>
        <v>-18.265102457250968</v>
      </c>
      <c r="N49" s="311">
        <f t="shared" si="19"/>
        <v>-8.7434461779649197</v>
      </c>
      <c r="O49" s="311">
        <f t="shared" si="19"/>
        <v>-12.880937578656015</v>
      </c>
      <c r="P49" s="311">
        <f t="shared" si="19"/>
        <v>-9.9004077497678811</v>
      </c>
    </row>
    <row r="50" spans="1:16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297"/>
    </row>
    <row r="51" spans="1:16">
      <c r="A51" s="297" t="s">
        <v>483</v>
      </c>
      <c r="B51" s="297"/>
      <c r="C51" s="297"/>
      <c r="D51" s="297"/>
      <c r="E51" s="297"/>
      <c r="F51" s="297"/>
      <c r="G51" s="297"/>
      <c r="H51" s="297"/>
      <c r="I51" s="297"/>
      <c r="J51" s="297"/>
      <c r="K51" s="297"/>
    </row>
    <row r="52" spans="1:16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297"/>
    </row>
    <row r="53" spans="1:16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297"/>
    </row>
  </sheetData>
  <mergeCells count="17">
    <mergeCell ref="A1:P1"/>
    <mergeCell ref="A3:P3"/>
    <mergeCell ref="A15:P15"/>
    <mergeCell ref="A27:P27"/>
    <mergeCell ref="A39:P39"/>
    <mergeCell ref="B16:F16"/>
    <mergeCell ref="G16:K16"/>
    <mergeCell ref="L16:P16"/>
    <mergeCell ref="B4:F4"/>
    <mergeCell ref="G4:K4"/>
    <mergeCell ref="L4:P4"/>
    <mergeCell ref="B40:F40"/>
    <mergeCell ref="G40:K40"/>
    <mergeCell ref="L40:P40"/>
    <mergeCell ref="B28:F28"/>
    <mergeCell ref="G28:K28"/>
    <mergeCell ref="L28:P28"/>
  </mergeCells>
  <printOptions gridLines="1"/>
  <pageMargins left="0.70866141732283472" right="0.70866141732283472" top="0.74803149606299213" bottom="0.74803149606299213" header="0.31496062992125984" footer="0.31496062992125984"/>
  <pageSetup scale="70" fitToWidth="2" orientation="landscape" horizontalDpi="0" verticalDpi="0" r:id="rId1"/>
  <rowBreaks count="1" manualBreakCount="1">
    <brk id="26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1.85546875" style="154" customWidth="1"/>
    <col min="2" max="3" width="9.140625" style="154"/>
    <col min="4" max="4" width="15.28515625" style="154" customWidth="1"/>
    <col min="5" max="7" width="9.140625" style="154"/>
    <col min="8" max="8" width="10.5703125" style="154" customWidth="1"/>
    <col min="9" max="9" width="9.140625" style="154"/>
    <col min="10" max="10" width="19.7109375" style="154" customWidth="1"/>
    <col min="11" max="16384" width="9.140625" style="154"/>
  </cols>
  <sheetData>
    <row r="1" spans="1:10">
      <c r="A1" s="456" t="s">
        <v>208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 ht="15" customHeight="1">
      <c r="A2" s="152"/>
      <c r="B2" s="457" t="s">
        <v>194</v>
      </c>
      <c r="C2" s="456" t="s">
        <v>195</v>
      </c>
      <c r="D2" s="456"/>
      <c r="E2" s="456" t="s">
        <v>196</v>
      </c>
      <c r="F2" s="456"/>
      <c r="G2" s="456"/>
      <c r="H2" s="456"/>
      <c r="I2" s="456" t="s">
        <v>197</v>
      </c>
      <c r="J2" s="456"/>
    </row>
    <row r="3" spans="1:10" ht="135">
      <c r="A3" s="139"/>
      <c r="B3" s="457"/>
      <c r="C3" s="150" t="s">
        <v>198</v>
      </c>
      <c r="D3" s="150" t="s">
        <v>65</v>
      </c>
      <c r="E3" s="150" t="s">
        <v>199</v>
      </c>
      <c r="F3" s="150" t="s">
        <v>200</v>
      </c>
      <c r="G3" s="150" t="s">
        <v>201</v>
      </c>
      <c r="H3" s="150" t="s">
        <v>202</v>
      </c>
      <c r="I3" s="150" t="s">
        <v>203</v>
      </c>
      <c r="J3" s="150" t="s">
        <v>204</v>
      </c>
    </row>
    <row r="4" spans="1:10">
      <c r="A4" s="139"/>
      <c r="B4" s="137"/>
      <c r="C4" s="137"/>
      <c r="D4" s="137"/>
      <c r="E4" s="137"/>
      <c r="F4" s="137"/>
      <c r="G4" s="137"/>
      <c r="H4" s="137"/>
      <c r="I4" s="137"/>
      <c r="J4" s="137"/>
    </row>
    <row r="5" spans="1:10">
      <c r="A5" s="144">
        <v>2001</v>
      </c>
      <c r="B5" s="128">
        <v>31.7</v>
      </c>
      <c r="C5" s="128">
        <v>37.4</v>
      </c>
      <c r="D5" s="128">
        <v>37.4</v>
      </c>
      <c r="E5" s="128">
        <v>38.299999999999997</v>
      </c>
      <c r="F5" s="128">
        <v>39.1</v>
      </c>
      <c r="G5" s="128">
        <v>38.299999999999997</v>
      </c>
      <c r="H5" s="128">
        <v>37.9</v>
      </c>
      <c r="I5" s="128">
        <v>39.299999999999997</v>
      </c>
      <c r="J5" s="128">
        <v>39.6</v>
      </c>
    </row>
    <row r="6" spans="1:10">
      <c r="A6" s="144">
        <v>2002</v>
      </c>
      <c r="B6" s="128">
        <v>31.3</v>
      </c>
      <c r="C6" s="128">
        <v>36.799999999999997</v>
      </c>
      <c r="D6" s="128">
        <v>36.799999999999997</v>
      </c>
      <c r="E6" s="128">
        <v>38</v>
      </c>
      <c r="F6" s="128">
        <v>39.5</v>
      </c>
      <c r="G6" s="128">
        <v>37.9</v>
      </c>
      <c r="H6" s="128">
        <v>37.200000000000003</v>
      </c>
      <c r="I6" s="128">
        <v>39.6</v>
      </c>
      <c r="J6" s="128">
        <v>40.1</v>
      </c>
    </row>
    <row r="7" spans="1:10">
      <c r="A7" s="144">
        <v>2003</v>
      </c>
      <c r="B7" s="128">
        <v>31.4</v>
      </c>
      <c r="C7" s="128">
        <v>36.799999999999997</v>
      </c>
      <c r="D7" s="128">
        <v>36.799999999999997</v>
      </c>
      <c r="E7" s="128">
        <v>36.799999999999997</v>
      </c>
      <c r="F7" s="128">
        <v>37.5</v>
      </c>
      <c r="G7" s="128">
        <v>35.799999999999997</v>
      </c>
      <c r="H7" s="128">
        <v>36.799999999999997</v>
      </c>
      <c r="I7" s="128">
        <v>38.799999999999997</v>
      </c>
      <c r="J7" s="128">
        <v>39.1</v>
      </c>
    </row>
    <row r="8" spans="1:10">
      <c r="A8" s="144">
        <v>2004</v>
      </c>
      <c r="B8" s="128">
        <v>31.6</v>
      </c>
      <c r="C8" s="128">
        <v>39.700000000000003</v>
      </c>
      <c r="D8" s="128">
        <v>39.9</v>
      </c>
      <c r="E8" s="128">
        <v>37.1</v>
      </c>
      <c r="F8" s="128">
        <v>38</v>
      </c>
      <c r="G8" s="128">
        <v>35.5</v>
      </c>
      <c r="H8" s="128">
        <v>37.4</v>
      </c>
      <c r="I8" s="128">
        <v>39</v>
      </c>
      <c r="J8" s="128">
        <v>39.299999999999997</v>
      </c>
    </row>
    <row r="9" spans="1:10">
      <c r="A9" s="144">
        <v>2005</v>
      </c>
      <c r="B9" s="128">
        <v>31.4</v>
      </c>
      <c r="C9" s="128">
        <v>40.9</v>
      </c>
      <c r="D9" s="128">
        <v>41</v>
      </c>
      <c r="E9" s="128">
        <v>37.9</v>
      </c>
      <c r="F9" s="128">
        <v>40.1</v>
      </c>
      <c r="G9" s="128">
        <v>35.799999999999997</v>
      </c>
      <c r="H9" s="128">
        <v>37.700000000000003</v>
      </c>
      <c r="I9" s="128">
        <v>38.299999999999997</v>
      </c>
      <c r="J9" s="128">
        <v>38.700000000000003</v>
      </c>
    </row>
    <row r="10" spans="1:10">
      <c r="A10" s="144">
        <v>2006</v>
      </c>
      <c r="B10" s="128">
        <v>31.2</v>
      </c>
      <c r="C10" s="128">
        <v>44.1</v>
      </c>
      <c r="D10" s="128">
        <v>44.5</v>
      </c>
      <c r="E10" s="128">
        <v>36.799999999999997</v>
      </c>
      <c r="F10" s="128">
        <v>36.5</v>
      </c>
      <c r="G10" s="128">
        <v>34.5</v>
      </c>
      <c r="H10" s="128">
        <v>38.200000000000003</v>
      </c>
      <c r="I10" s="128">
        <v>38.700000000000003</v>
      </c>
      <c r="J10" s="128">
        <v>39</v>
      </c>
    </row>
    <row r="11" spans="1:10">
      <c r="A11" s="144">
        <v>2007</v>
      </c>
      <c r="B11" s="128">
        <v>30.8</v>
      </c>
      <c r="C11" s="128">
        <v>45.4</v>
      </c>
      <c r="D11" s="128">
        <v>45.8</v>
      </c>
      <c r="E11" s="128">
        <v>37.799999999999997</v>
      </c>
      <c r="F11" s="128">
        <v>36.299999999999997</v>
      </c>
      <c r="G11" s="128">
        <v>36</v>
      </c>
      <c r="H11" s="128">
        <v>39.4</v>
      </c>
      <c r="I11" s="128">
        <v>38.1</v>
      </c>
      <c r="J11" s="128">
        <v>38.700000000000003</v>
      </c>
    </row>
    <row r="12" spans="1:10">
      <c r="A12" s="144">
        <v>2008</v>
      </c>
      <c r="B12" s="128">
        <v>30.8</v>
      </c>
      <c r="C12" s="128">
        <v>43.9</v>
      </c>
      <c r="D12" s="128">
        <v>44.3</v>
      </c>
      <c r="E12" s="128">
        <v>36.5</v>
      </c>
      <c r="F12" s="128">
        <v>35.700000000000003</v>
      </c>
      <c r="G12" s="128">
        <v>33.799999999999997</v>
      </c>
      <c r="H12" s="128">
        <v>37.9</v>
      </c>
      <c r="I12" s="128">
        <v>37.200000000000003</v>
      </c>
      <c r="J12" s="128" t="s">
        <v>10</v>
      </c>
    </row>
    <row r="13" spans="1:10">
      <c r="A13" s="144">
        <v>2009</v>
      </c>
      <c r="B13" s="128">
        <v>30.3</v>
      </c>
      <c r="C13" s="128" t="s">
        <v>76</v>
      </c>
      <c r="D13" s="128" t="s">
        <v>76</v>
      </c>
      <c r="E13" s="128">
        <v>36.5</v>
      </c>
      <c r="F13" s="128" t="s">
        <v>76</v>
      </c>
      <c r="G13" s="128" t="s">
        <v>76</v>
      </c>
      <c r="H13" s="128" t="s">
        <v>76</v>
      </c>
      <c r="I13" s="128" t="s">
        <v>76</v>
      </c>
      <c r="J13" s="128" t="s">
        <v>76</v>
      </c>
    </row>
    <row r="14" spans="1:10">
      <c r="A14" s="144">
        <v>2010</v>
      </c>
      <c r="B14" s="128">
        <v>30.4</v>
      </c>
      <c r="C14" s="128" t="s">
        <v>76</v>
      </c>
      <c r="D14" s="128" t="s">
        <v>76</v>
      </c>
      <c r="E14" s="128">
        <v>34.299999999999997</v>
      </c>
      <c r="F14" s="128" t="s">
        <v>76</v>
      </c>
      <c r="G14" s="128" t="s">
        <v>76</v>
      </c>
      <c r="H14" s="128" t="s">
        <v>76</v>
      </c>
      <c r="I14" s="128">
        <v>39</v>
      </c>
      <c r="J14" s="128" t="s">
        <v>76</v>
      </c>
    </row>
    <row r="15" spans="1:10">
      <c r="A15" s="144">
        <v>2011</v>
      </c>
      <c r="B15" s="128">
        <v>30.5</v>
      </c>
      <c r="C15" s="128" t="s">
        <v>76</v>
      </c>
      <c r="D15" s="128" t="s">
        <v>76</v>
      </c>
      <c r="E15" s="128">
        <v>37</v>
      </c>
      <c r="F15" s="128" t="s">
        <v>76</v>
      </c>
      <c r="G15" s="128" t="s">
        <v>76</v>
      </c>
      <c r="H15" s="128" t="s">
        <v>76</v>
      </c>
      <c r="I15" s="128">
        <v>38.6</v>
      </c>
      <c r="J15" s="128" t="s">
        <v>76</v>
      </c>
    </row>
    <row r="16" spans="1:10">
      <c r="A16" s="144">
        <v>2012</v>
      </c>
      <c r="B16" s="128">
        <v>30.6</v>
      </c>
      <c r="C16" s="128" t="s">
        <v>76</v>
      </c>
      <c r="D16" s="128" t="s">
        <v>76</v>
      </c>
      <c r="E16" s="128" t="s">
        <v>76</v>
      </c>
      <c r="F16" s="128" t="s">
        <v>76</v>
      </c>
      <c r="G16" s="128" t="s">
        <v>76</v>
      </c>
      <c r="H16" s="128">
        <v>37.9</v>
      </c>
      <c r="I16" s="128">
        <v>38.9</v>
      </c>
      <c r="J16" s="128" t="s">
        <v>76</v>
      </c>
    </row>
    <row r="17" spans="1:10">
      <c r="A17" s="144">
        <v>2013</v>
      </c>
      <c r="B17" s="128">
        <v>30.3</v>
      </c>
      <c r="C17" s="128" t="s">
        <v>76</v>
      </c>
      <c r="D17" s="128" t="s">
        <v>76</v>
      </c>
      <c r="E17" s="128" t="s">
        <v>76</v>
      </c>
      <c r="F17" s="128" t="s">
        <v>76</v>
      </c>
      <c r="G17" s="128" t="s">
        <v>76</v>
      </c>
      <c r="H17" s="128" t="s">
        <v>76</v>
      </c>
      <c r="I17" s="128">
        <v>38.700000000000003</v>
      </c>
      <c r="J17" s="128" t="s">
        <v>76</v>
      </c>
    </row>
    <row r="18" spans="1:10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>
      <c r="A19" s="456" t="s">
        <v>11</v>
      </c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>
      <c r="A20" s="161" t="s">
        <v>71</v>
      </c>
      <c r="B20" s="153">
        <f>((B11/B5)^(1/6)-1)*100</f>
        <v>-0.47888286382258283</v>
      </c>
      <c r="C20" s="153">
        <f t="shared" ref="C20:J20" si="0">((C11/C5)^(1/6)-1)*100</f>
        <v>3.2834433665548834</v>
      </c>
      <c r="D20" s="153">
        <f t="shared" si="0"/>
        <v>3.4345539557654625</v>
      </c>
      <c r="E20" s="153">
        <f t="shared" si="0"/>
        <v>-0.21877356704532724</v>
      </c>
      <c r="F20" s="153">
        <f t="shared" si="0"/>
        <v>-1.2307753301342483</v>
      </c>
      <c r="G20" s="153">
        <f t="shared" si="0"/>
        <v>-1.0268739048873154</v>
      </c>
      <c r="H20" s="153">
        <f t="shared" si="0"/>
        <v>0.64900873036208839</v>
      </c>
      <c r="I20" s="153">
        <f t="shared" si="0"/>
        <v>-0.51550397317385865</v>
      </c>
      <c r="J20" s="153">
        <f t="shared" si="0"/>
        <v>-0.38242552100388183</v>
      </c>
    </row>
    <row r="21" spans="1:10">
      <c r="A21" s="161" t="s">
        <v>69</v>
      </c>
      <c r="B21" s="153">
        <f>((B17/B11)^(1/6)-1)*100</f>
        <v>-0.27241124309481668</v>
      </c>
      <c r="C21" s="153" t="s">
        <v>10</v>
      </c>
      <c r="D21" s="153" t="s">
        <v>10</v>
      </c>
      <c r="E21" s="153" t="s">
        <v>10</v>
      </c>
      <c r="F21" s="153" t="s">
        <v>10</v>
      </c>
      <c r="G21" s="153" t="s">
        <v>10</v>
      </c>
      <c r="H21" s="153" t="s">
        <v>10</v>
      </c>
      <c r="I21" s="153">
        <f t="shared" ref="I21" si="1">((I17/I11)^(1/6)-1)*100</f>
        <v>0.26076135760439989</v>
      </c>
      <c r="J21" s="153" t="s">
        <v>10</v>
      </c>
    </row>
    <row r="22" spans="1:10">
      <c r="A22" s="161" t="s">
        <v>72</v>
      </c>
      <c r="B22" s="153">
        <f>((B17/B5)^(1/12)-1)*100</f>
        <v>-0.37570054256597096</v>
      </c>
      <c r="C22" s="153" t="s">
        <v>10</v>
      </c>
      <c r="D22" s="153" t="s">
        <v>10</v>
      </c>
      <c r="E22" s="153" t="s">
        <v>10</v>
      </c>
      <c r="F22" s="153" t="s">
        <v>10</v>
      </c>
      <c r="G22" s="153" t="s">
        <v>10</v>
      </c>
      <c r="H22" s="153" t="s">
        <v>10</v>
      </c>
      <c r="I22" s="153">
        <f t="shared" ref="I22" si="2">((I17/I5)^(1/12)-1)*100</f>
        <v>-0.12812550609077045</v>
      </c>
      <c r="J22" s="153" t="s">
        <v>10</v>
      </c>
    </row>
    <row r="23" spans="1:10">
      <c r="A23" s="151"/>
      <c r="B23" s="153"/>
      <c r="C23" s="153"/>
      <c r="D23" s="153"/>
      <c r="E23" s="153"/>
      <c r="F23" s="153"/>
      <c r="G23" s="153"/>
      <c r="H23" s="153"/>
      <c r="I23" s="153"/>
      <c r="J23" s="153"/>
    </row>
    <row r="24" spans="1:10">
      <c r="A24" s="140" t="s">
        <v>205</v>
      </c>
      <c r="B24" s="140"/>
      <c r="C24" s="140"/>
      <c r="D24" s="140"/>
      <c r="E24" s="140"/>
      <c r="F24" s="140"/>
      <c r="G24" s="140"/>
      <c r="H24" s="140"/>
      <c r="I24" s="140"/>
      <c r="J24" s="140"/>
    </row>
    <row r="25" spans="1:10">
      <c r="A25" s="151" t="s">
        <v>206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6">
    <mergeCell ref="A19:J19"/>
    <mergeCell ref="A1:J1"/>
    <mergeCell ref="B2:B3"/>
    <mergeCell ref="C2:D2"/>
    <mergeCell ref="E2:H2"/>
    <mergeCell ref="I2:J2"/>
  </mergeCells>
  <printOptions gridLines="1"/>
  <pageMargins left="0.7" right="0.7" top="0.75" bottom="0.75" header="0.3" footer="0.3"/>
  <pageSetup scale="8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60"/>
  <sheetViews>
    <sheetView view="pageBreakPreview" topLeftCell="A7" zoomScaleNormal="100" zoomScaleSheetLayoutView="100" workbookViewId="0">
      <selection activeCell="K7" sqref="K7"/>
    </sheetView>
  </sheetViews>
  <sheetFormatPr defaultRowHeight="15"/>
  <cols>
    <col min="1" max="1" width="10.5703125" customWidth="1"/>
    <col min="2" max="2" width="9.140625" customWidth="1"/>
    <col min="3" max="3" width="9.140625" style="5" customWidth="1"/>
    <col min="4" max="4" width="9.140625" customWidth="1"/>
    <col min="5" max="5" width="14.7109375" customWidth="1"/>
    <col min="6" max="6" width="8.140625" style="5" customWidth="1"/>
    <col min="7" max="7" width="8.85546875" style="5" customWidth="1"/>
    <col min="8" max="8" width="10.5703125" style="5" customWidth="1"/>
    <col min="9" max="10" width="10.140625" customWidth="1"/>
    <col min="11" max="11" width="11.140625" customWidth="1"/>
    <col min="12" max="12" width="9.5703125" bestFit="1" customWidth="1"/>
    <col min="13" max="14" width="9.28515625" bestFit="1" customWidth="1"/>
    <col min="15" max="15" width="13.85546875" customWidth="1"/>
    <col min="16" max="16" width="8.7109375" style="33" customWidth="1"/>
    <col min="17" max="18" width="10.140625" style="33" customWidth="1"/>
    <col min="19" max="19" width="9.42578125" customWidth="1"/>
    <col min="20" max="20" width="8.42578125" customWidth="1"/>
    <col min="21" max="21" width="11.85546875" customWidth="1"/>
    <col min="23" max="23" width="9.140625" customWidth="1"/>
    <col min="24" max="30" width="9.28515625" hidden="1" customWidth="1"/>
    <col min="31" max="46" width="9.140625" hidden="1" customWidth="1"/>
    <col min="47" max="47" width="9.140625" customWidth="1"/>
  </cols>
  <sheetData>
    <row r="1" spans="1:47">
      <c r="A1" s="454" t="s">
        <v>148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>
      <c r="A2" s="18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50">
      <c r="A3" s="18"/>
      <c r="B3" s="18" t="s">
        <v>2</v>
      </c>
      <c r="C3" s="21" t="s">
        <v>8</v>
      </c>
      <c r="D3" s="18" t="s">
        <v>3</v>
      </c>
      <c r="E3" s="18" t="s">
        <v>4</v>
      </c>
      <c r="F3" s="21" t="s">
        <v>36</v>
      </c>
      <c r="G3" s="21" t="s">
        <v>37</v>
      </c>
      <c r="H3" s="21" t="s">
        <v>38</v>
      </c>
      <c r="I3" s="18" t="s">
        <v>5</v>
      </c>
      <c r="J3" s="18" t="s">
        <v>6</v>
      </c>
      <c r="K3" s="18" t="s">
        <v>7</v>
      </c>
      <c r="L3" s="18" t="s">
        <v>2</v>
      </c>
      <c r="M3" s="18" t="s">
        <v>8</v>
      </c>
      <c r="N3" s="18" t="s">
        <v>3</v>
      </c>
      <c r="O3" s="18" t="s">
        <v>4</v>
      </c>
      <c r="P3" s="21" t="s">
        <v>36</v>
      </c>
      <c r="Q3" s="21" t="s">
        <v>37</v>
      </c>
      <c r="R3" s="21" t="s">
        <v>38</v>
      </c>
      <c r="S3" s="18" t="s">
        <v>5</v>
      </c>
      <c r="T3" s="18" t="s">
        <v>6</v>
      </c>
      <c r="U3" s="18" t="s">
        <v>7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>
      <c r="A4" s="1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X4" s="2" t="s">
        <v>24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>
      <c r="A5" s="18">
        <v>1984</v>
      </c>
      <c r="B5" s="10">
        <v>92088.7</v>
      </c>
      <c r="C5" s="10">
        <f t="shared" ref="C5:C12" si="0">D5+E5+I5</f>
        <v>3414.8</v>
      </c>
      <c r="D5" s="10">
        <v>486.6</v>
      </c>
      <c r="E5" s="10">
        <v>813.4</v>
      </c>
      <c r="F5" s="29" t="s">
        <v>10</v>
      </c>
      <c r="G5" s="29" t="s">
        <v>10</v>
      </c>
      <c r="H5" s="29" t="s">
        <v>10</v>
      </c>
      <c r="I5" s="10">
        <v>2114.8000000000002</v>
      </c>
      <c r="J5" s="10">
        <v>1793.4</v>
      </c>
      <c r="K5" s="10">
        <v>321.39999999999998</v>
      </c>
      <c r="L5" s="10">
        <v>168936.8603224002</v>
      </c>
      <c r="M5" s="10">
        <v>5771.0369517131048</v>
      </c>
      <c r="N5" s="10">
        <v>479.86570657065715</v>
      </c>
      <c r="O5" s="10">
        <v>2668.2017543537645</v>
      </c>
      <c r="P5" s="29" t="s">
        <v>10</v>
      </c>
      <c r="Q5" s="29" t="s">
        <v>10</v>
      </c>
      <c r="R5" s="29" t="s">
        <v>10</v>
      </c>
      <c r="S5" s="10">
        <v>2622.9694907886833</v>
      </c>
      <c r="T5" s="10">
        <v>1897.4343259874174</v>
      </c>
      <c r="U5" s="10">
        <v>725.53516480126609</v>
      </c>
      <c r="X5" s="2" t="s">
        <v>2</v>
      </c>
      <c r="Y5" s="2" t="s">
        <v>8</v>
      </c>
      <c r="Z5" s="2" t="s">
        <v>3</v>
      </c>
      <c r="AA5" s="2" t="s">
        <v>4</v>
      </c>
      <c r="AB5" s="2" t="s">
        <v>5</v>
      </c>
      <c r="AC5" s="2" t="s">
        <v>6</v>
      </c>
      <c r="AD5" s="2" t="s">
        <v>7</v>
      </c>
      <c r="AE5" s="2"/>
      <c r="AF5" s="2" t="s">
        <v>26</v>
      </c>
      <c r="AG5" s="2" t="s">
        <v>2</v>
      </c>
      <c r="AH5" s="2" t="s">
        <v>23</v>
      </c>
      <c r="AI5" s="2" t="s">
        <v>3</v>
      </c>
      <c r="AJ5" s="2" t="s">
        <v>4</v>
      </c>
      <c r="AK5" s="2" t="s">
        <v>5</v>
      </c>
      <c r="AL5" s="2" t="s">
        <v>6</v>
      </c>
      <c r="AM5" s="2" t="s">
        <v>7</v>
      </c>
      <c r="AN5" s="2"/>
      <c r="AO5" s="2"/>
      <c r="AP5" s="2"/>
      <c r="AQ5" s="2"/>
      <c r="AR5" s="2"/>
      <c r="AS5" s="2"/>
      <c r="AT5" s="2"/>
      <c r="AU5" s="2"/>
    </row>
    <row r="6" spans="1:47">
      <c r="A6" s="18">
        <v>1985</v>
      </c>
      <c r="B6" s="10">
        <v>98747.8</v>
      </c>
      <c r="C6" s="10">
        <f t="shared" si="0"/>
        <v>3612.2</v>
      </c>
      <c r="D6" s="10">
        <v>509.5</v>
      </c>
      <c r="E6" s="10">
        <v>838.8</v>
      </c>
      <c r="F6" s="29" t="s">
        <v>10</v>
      </c>
      <c r="G6" s="29" t="s">
        <v>10</v>
      </c>
      <c r="H6" s="29" t="s">
        <v>10</v>
      </c>
      <c r="I6" s="10">
        <v>2263.9</v>
      </c>
      <c r="J6" s="10">
        <v>1894.2</v>
      </c>
      <c r="K6" s="10">
        <v>369.7</v>
      </c>
      <c r="L6" s="10">
        <v>175592.1672397478</v>
      </c>
      <c r="M6" s="10">
        <v>5595.3448937966932</v>
      </c>
      <c r="N6" s="10">
        <v>462.73694260605407</v>
      </c>
      <c r="O6" s="10">
        <v>2576.2297765075823</v>
      </c>
      <c r="P6" s="29" t="s">
        <v>10</v>
      </c>
      <c r="Q6" s="29" t="s">
        <v>10</v>
      </c>
      <c r="R6" s="29" t="s">
        <v>10</v>
      </c>
      <c r="S6" s="10">
        <v>2556.3781746830564</v>
      </c>
      <c r="T6" s="10">
        <v>1784.311931657279</v>
      </c>
      <c r="U6" s="10">
        <v>772.06624302577734</v>
      </c>
      <c r="X6" s="2">
        <f>((L6/L5)-1)*100</f>
        <v>3.9395232660572432</v>
      </c>
      <c r="Y6" s="2">
        <f>((M6/M5)-1)*100</f>
        <v>-3.0443758961595013</v>
      </c>
      <c r="Z6" s="2">
        <f>((N6/N5)-1)*100</f>
        <v>-3.5694911576434896</v>
      </c>
      <c r="AA6" s="2">
        <f>((O6/O5)-1)*100</f>
        <v>-3.4469648967177746</v>
      </c>
      <c r="AB6" s="2">
        <f t="shared" ref="AB6:AD6" si="1">((S6/S5)-1)*100</f>
        <v>-2.5387758545984407</v>
      </c>
      <c r="AC6" s="2">
        <f t="shared" si="1"/>
        <v>-5.9618608549874335</v>
      </c>
      <c r="AD6" s="2">
        <f t="shared" si="1"/>
        <v>6.4133456904541308</v>
      </c>
      <c r="AE6" s="2"/>
      <c r="AF6" s="2" t="s">
        <v>21</v>
      </c>
      <c r="AG6" s="2">
        <f>((L29/L21)^(1/8)-1)*100</f>
        <v>1.8100916185273874</v>
      </c>
      <c r="AH6" s="2">
        <f>((M29/M21)^(1/8)-1)*100</f>
        <v>-0.82892071951607971</v>
      </c>
      <c r="AI6" s="2">
        <f>((N29/N21)^(1/8)-1)*100</f>
        <v>-3.0319451559612798E-2</v>
      </c>
      <c r="AJ6" s="2">
        <f>((O29/O21)^(1/8)-1)*100</f>
        <v>0.13890101239759645</v>
      </c>
      <c r="AK6" s="2">
        <f t="shared" ref="AK6:AM6" si="2">((S29/S21)^(1/8)-1)*100</f>
        <v>-1.7870424789846351</v>
      </c>
      <c r="AL6" s="2">
        <f t="shared" si="2"/>
        <v>-2.39961298825766</v>
      </c>
      <c r="AM6" s="2">
        <f t="shared" si="2"/>
        <v>-0.21118828071270412</v>
      </c>
      <c r="AN6" s="2"/>
      <c r="AO6" s="2"/>
      <c r="AP6" s="2"/>
      <c r="AQ6" s="2"/>
      <c r="AR6" s="2"/>
      <c r="AS6" s="2"/>
      <c r="AT6" s="2"/>
      <c r="AU6" s="2"/>
    </row>
    <row r="7" spans="1:47">
      <c r="A7" s="18">
        <v>1986</v>
      </c>
      <c r="B7" s="10">
        <v>105251</v>
      </c>
      <c r="C7" s="10">
        <f t="shared" si="0"/>
        <v>3969.9</v>
      </c>
      <c r="D7" s="10">
        <v>517</v>
      </c>
      <c r="E7" s="10">
        <v>930.9</v>
      </c>
      <c r="F7" s="29" t="s">
        <v>10</v>
      </c>
      <c r="G7" s="29" t="s">
        <v>10</v>
      </c>
      <c r="H7" s="29" t="s">
        <v>10</v>
      </c>
      <c r="I7" s="10">
        <v>2522</v>
      </c>
      <c r="J7" s="10">
        <v>2170.1999999999998</v>
      </c>
      <c r="K7" s="10">
        <v>351.8</v>
      </c>
      <c r="L7" s="10">
        <v>180842.24000155315</v>
      </c>
      <c r="M7" s="10">
        <v>5599.9060544941458</v>
      </c>
      <c r="N7" s="10">
        <v>479.1648578811371</v>
      </c>
      <c r="O7" s="10">
        <v>2556.4674505057005</v>
      </c>
      <c r="P7" s="29" t="s">
        <v>10</v>
      </c>
      <c r="Q7" s="29" t="s">
        <v>10</v>
      </c>
      <c r="R7" s="29" t="s">
        <v>10</v>
      </c>
      <c r="S7" s="10">
        <v>2564.2737461073089</v>
      </c>
      <c r="T7" s="10">
        <v>1878.6799981634988</v>
      </c>
      <c r="U7" s="10">
        <v>685.59374794380994</v>
      </c>
      <c r="X7" s="2">
        <f t="shared" ref="X7:X34" si="3">((L7/L6)-1)*100</f>
        <v>2.9899242342837917</v>
      </c>
      <c r="Y7" s="2">
        <f t="shared" ref="Y7:Y34" si="4">((M7/M6)-1)*100</f>
        <v>8.151706077152987E-2</v>
      </c>
      <c r="Z7" s="2">
        <f t="shared" ref="Z7:Z34" si="5">((N7/N6)-1)*100</f>
        <v>3.550162903044618</v>
      </c>
      <c r="AA7" s="2">
        <f t="shared" ref="AA7:AA34" si="6">((O7/O6)-1)*100</f>
        <v>-0.76710261569417071</v>
      </c>
      <c r="AB7" s="2">
        <f t="shared" ref="AB7:AB34" si="7">((S7/S6)-1)*100</f>
        <v>0.30885772310396131</v>
      </c>
      <c r="AC7" s="2">
        <f t="shared" ref="AC7:AC34" si="8">((T7/T6)-1)*100</f>
        <v>5.2887650882079917</v>
      </c>
      <c r="AD7" s="2">
        <f t="shared" ref="AD7:AD34" si="9">((U7/U6)-1)*100</f>
        <v>-11.200139348545546</v>
      </c>
      <c r="AE7" s="2"/>
      <c r="AF7" s="2" t="s">
        <v>22</v>
      </c>
      <c r="AG7" s="2">
        <f>((L34/L29)^(1/5)-1)*100</f>
        <v>1.1306565497614107</v>
      </c>
      <c r="AH7" s="2">
        <f>((M34/M29)^(1/5)-1)*100</f>
        <v>-1.4177392595453142</v>
      </c>
      <c r="AI7" s="2">
        <f>((N34/N29)^(1/5)-1)*100</f>
        <v>1.1859683987871739</v>
      </c>
      <c r="AJ7" s="2">
        <f>((O34/O29)^(1/5)-1)*100</f>
        <v>-7.3728268928896501E-2</v>
      </c>
      <c r="AK7" s="2">
        <f t="shared" ref="AK7:AM7" si="10">((S34/S29)^(1/5)-1)*100</f>
        <v>-3.4660896955426401</v>
      </c>
      <c r="AL7" s="2">
        <f t="shared" si="10"/>
        <v>-2.7610486851278648</v>
      </c>
      <c r="AM7" s="2">
        <f t="shared" si="10"/>
        <v>-4.8346990019193958</v>
      </c>
      <c r="AN7" s="2"/>
      <c r="AO7" s="2"/>
      <c r="AP7" s="2"/>
      <c r="AQ7" s="2"/>
      <c r="AR7" s="2"/>
      <c r="AS7" s="2"/>
      <c r="AT7" s="2"/>
      <c r="AU7" s="2"/>
    </row>
    <row r="8" spans="1:47">
      <c r="A8" s="18">
        <v>1987</v>
      </c>
      <c r="B8" s="10">
        <v>116118</v>
      </c>
      <c r="C8" s="10">
        <f t="shared" si="0"/>
        <v>4546.3</v>
      </c>
      <c r="D8" s="10">
        <v>683.8</v>
      </c>
      <c r="E8" s="10">
        <v>1087.9000000000001</v>
      </c>
      <c r="F8" s="29" t="s">
        <v>10</v>
      </c>
      <c r="G8" s="29" t="s">
        <v>10</v>
      </c>
      <c r="H8" s="29" t="s">
        <v>10</v>
      </c>
      <c r="I8" s="10">
        <v>2774.6000000000004</v>
      </c>
      <c r="J8" s="10">
        <v>2380.8000000000002</v>
      </c>
      <c r="K8" s="10">
        <v>393.8</v>
      </c>
      <c r="L8" s="10">
        <v>189287.38988920013</v>
      </c>
      <c r="M8" s="10">
        <v>5309.4710612372801</v>
      </c>
      <c r="N8" s="10">
        <v>390.53625125904233</v>
      </c>
      <c r="O8" s="10">
        <v>2392.9173287530257</v>
      </c>
      <c r="P8" s="29" t="s">
        <v>10</v>
      </c>
      <c r="Q8" s="29" t="s">
        <v>10</v>
      </c>
      <c r="R8" s="29" t="s">
        <v>10</v>
      </c>
      <c r="S8" s="10">
        <v>2526.0174812252121</v>
      </c>
      <c r="T8" s="10">
        <v>1814.1995706982239</v>
      </c>
      <c r="U8" s="10">
        <v>711.81791052698827</v>
      </c>
      <c r="X8" s="2">
        <f t="shared" si="3"/>
        <v>4.6698989614232023</v>
      </c>
      <c r="Y8" s="2">
        <f t="shared" si="4"/>
        <v>-5.1864261726994538</v>
      </c>
      <c r="Z8" s="2">
        <f t="shared" si="5"/>
        <v>-18.496474681805697</v>
      </c>
      <c r="AA8" s="2">
        <f t="shared" si="6"/>
        <v>-6.3975045612383097</v>
      </c>
      <c r="AB8" s="2">
        <f t="shared" si="7"/>
        <v>-1.4918947300447738</v>
      </c>
      <c r="AC8" s="2">
        <f t="shared" si="8"/>
        <v>-3.4322198313873398</v>
      </c>
      <c r="AD8" s="2">
        <f t="shared" si="9"/>
        <v>3.82502942330325</v>
      </c>
      <c r="AE8" s="2"/>
      <c r="AF8" s="2" t="s">
        <v>15</v>
      </c>
      <c r="AG8" s="2">
        <f>((L34/L21)^(1/13)-1)*100</f>
        <v>1.5482319043684134</v>
      </c>
      <c r="AH8" s="2">
        <f>((M34/M21)^(1/13)-1)*100</f>
        <v>-1.0558044506406739</v>
      </c>
      <c r="AI8" s="2">
        <f>((N34/N21)^(1/13)-1)*100</f>
        <v>0.4357437018724708</v>
      </c>
      <c r="AJ8" s="2">
        <f>((O34/O21)^(1/13)-1)*100</f>
        <v>5.706702822898535E-2</v>
      </c>
      <c r="AK8" s="2">
        <f t="shared" ref="AK8:AM8" si="11">((S34/S21)^(1/13)-1)*100</f>
        <v>-2.4362585327697306</v>
      </c>
      <c r="AL8" s="2">
        <f t="shared" si="11"/>
        <v>-2.5387854339564808</v>
      </c>
      <c r="AM8" s="2">
        <f t="shared" si="11"/>
        <v>-2.015465534661165</v>
      </c>
      <c r="AN8" s="2"/>
      <c r="AO8" s="2"/>
      <c r="AP8" s="2"/>
      <c r="AQ8" s="2"/>
      <c r="AR8" s="2"/>
      <c r="AS8" s="2"/>
      <c r="AT8" s="2"/>
      <c r="AU8" s="2"/>
    </row>
    <row r="9" spans="1:47">
      <c r="A9" s="18">
        <v>1988</v>
      </c>
      <c r="B9" s="10">
        <v>126981.8</v>
      </c>
      <c r="C9" s="10">
        <f t="shared" si="0"/>
        <v>4990.1000000000004</v>
      </c>
      <c r="D9" s="10">
        <v>771.5</v>
      </c>
      <c r="E9" s="10">
        <v>1121.4000000000001</v>
      </c>
      <c r="F9" s="29" t="s">
        <v>10</v>
      </c>
      <c r="G9" s="29" t="s">
        <v>10</v>
      </c>
      <c r="H9" s="29" t="s">
        <v>10</v>
      </c>
      <c r="I9" s="10">
        <v>3097.2</v>
      </c>
      <c r="J9" s="10">
        <v>2673.5</v>
      </c>
      <c r="K9" s="10">
        <v>423.7</v>
      </c>
      <c r="L9" s="10">
        <v>197273.4583001032</v>
      </c>
      <c r="M9" s="10">
        <v>5081.7318230142482</v>
      </c>
      <c r="N9" s="10">
        <v>379.41877057201327</v>
      </c>
      <c r="O9" s="10">
        <v>2139.5599817314455</v>
      </c>
      <c r="P9" s="29" t="s">
        <v>10</v>
      </c>
      <c r="Q9" s="29" t="s">
        <v>10</v>
      </c>
      <c r="R9" s="29" t="s">
        <v>10</v>
      </c>
      <c r="S9" s="10">
        <v>2562.753070710789</v>
      </c>
      <c r="T9" s="10">
        <v>1821.8868570147417</v>
      </c>
      <c r="U9" s="10">
        <v>740.86621369604734</v>
      </c>
      <c r="X9" s="2">
        <f t="shared" si="3"/>
        <v>4.2190176617564079</v>
      </c>
      <c r="Y9" s="2">
        <f t="shared" si="4"/>
        <v>-4.2893018079650513</v>
      </c>
      <c r="Z9" s="2">
        <f t="shared" si="5"/>
        <v>-2.8467218219019652</v>
      </c>
      <c r="AA9" s="2">
        <f t="shared" si="6"/>
        <v>-10.587801926011686</v>
      </c>
      <c r="AB9" s="2">
        <f t="shared" si="7"/>
        <v>1.4542888067329951</v>
      </c>
      <c r="AC9" s="2">
        <f t="shared" si="8"/>
        <v>0.4237288135593209</v>
      </c>
      <c r="AD9" s="2">
        <f t="shared" si="9"/>
        <v>4.0808615152087668</v>
      </c>
      <c r="AE9" s="2"/>
      <c r="AF9" s="2" t="s">
        <v>29</v>
      </c>
      <c r="AG9" s="2">
        <f>((L21/L5)^(1/16)-1)*100</f>
        <v>2.5240863723126283</v>
      </c>
      <c r="AH9" s="2">
        <f>((M21/M5)^(1/16)-1)*100</f>
        <v>0.90758230307728116</v>
      </c>
      <c r="AI9" s="2">
        <f>((N21/N5)^(1/16)-1)*100</f>
        <v>3.7640269067226173</v>
      </c>
      <c r="AJ9" s="2">
        <f>((O21/O5)^(1/16)-1)*100</f>
        <v>-0.61351024958714584</v>
      </c>
      <c r="AK9" s="2">
        <f t="shared" ref="AK9:AM9" si="12">((S21/S5)^(1/16)-1)*100</f>
        <v>1.6051267144392867</v>
      </c>
      <c r="AL9" s="2">
        <f t="shared" si="12"/>
        <v>1.1429132876353831</v>
      </c>
      <c r="AM9" s="2">
        <f t="shared" si="12"/>
        <v>2.4775930740042584</v>
      </c>
      <c r="AN9" s="2"/>
      <c r="AO9" s="2"/>
      <c r="AP9" s="2"/>
      <c r="AQ9" s="2"/>
      <c r="AR9" s="2"/>
      <c r="AS9" s="2"/>
      <c r="AT9" s="2"/>
      <c r="AU9" s="2"/>
    </row>
    <row r="10" spans="1:47">
      <c r="A10" s="18">
        <v>1989</v>
      </c>
      <c r="B10" s="10">
        <v>134610.70000000001</v>
      </c>
      <c r="C10" s="10">
        <f t="shared" si="0"/>
        <v>4671.3999999999996</v>
      </c>
      <c r="D10" s="10">
        <v>855.3</v>
      </c>
      <c r="E10" s="10">
        <v>1066</v>
      </c>
      <c r="F10" s="29" t="s">
        <v>10</v>
      </c>
      <c r="G10" s="29" t="s">
        <v>10</v>
      </c>
      <c r="H10" s="29" t="s">
        <v>10</v>
      </c>
      <c r="I10" s="10">
        <v>2750.1</v>
      </c>
      <c r="J10" s="10">
        <v>2275.1999999999998</v>
      </c>
      <c r="K10" s="10">
        <v>474.9</v>
      </c>
      <c r="L10" s="10">
        <v>200418.42881947389</v>
      </c>
      <c r="M10" s="10">
        <v>5192.7878530012913</v>
      </c>
      <c r="N10" s="10">
        <v>374.15969821914211</v>
      </c>
      <c r="O10" s="10">
        <v>2377.2471690839416</v>
      </c>
      <c r="P10" s="29" t="s">
        <v>10</v>
      </c>
      <c r="Q10" s="29" t="s">
        <v>10</v>
      </c>
      <c r="R10" s="29" t="s">
        <v>10</v>
      </c>
      <c r="S10" s="10">
        <v>2441.3809856982075</v>
      </c>
      <c r="T10" s="10">
        <v>1675.2319896142753</v>
      </c>
      <c r="U10" s="10">
        <v>766.14899608393205</v>
      </c>
      <c r="X10" s="2">
        <f t="shared" si="3"/>
        <v>1.594218779591916</v>
      </c>
      <c r="Y10" s="2">
        <f t="shared" si="4"/>
        <v>2.1853972986943138</v>
      </c>
      <c r="Z10" s="2">
        <f t="shared" si="5"/>
        <v>-1.3860864988156862</v>
      </c>
      <c r="AA10" s="2">
        <f t="shared" si="6"/>
        <v>11.10916213529789</v>
      </c>
      <c r="AB10" s="2">
        <f t="shared" si="7"/>
        <v>-4.7360038858101365</v>
      </c>
      <c r="AC10" s="2">
        <f t="shared" si="8"/>
        <v>-8.0496144332896868</v>
      </c>
      <c r="AD10" s="2">
        <f t="shared" si="9"/>
        <v>3.4125975676166265</v>
      </c>
      <c r="AE10" s="2"/>
      <c r="AF10" s="2" t="s">
        <v>15</v>
      </c>
      <c r="AG10" s="2">
        <f t="shared" ref="AG10:AM10" si="13">AG8</f>
        <v>1.5482319043684134</v>
      </c>
      <c r="AH10" s="2">
        <f t="shared" si="13"/>
        <v>-1.0558044506406739</v>
      </c>
      <c r="AI10" s="2">
        <f t="shared" si="13"/>
        <v>0.4357437018724708</v>
      </c>
      <c r="AJ10" s="2">
        <f t="shared" si="13"/>
        <v>5.706702822898535E-2</v>
      </c>
      <c r="AK10" s="2">
        <f t="shared" si="13"/>
        <v>-2.4362585327697306</v>
      </c>
      <c r="AL10" s="2">
        <f t="shared" si="13"/>
        <v>-2.5387854339564808</v>
      </c>
      <c r="AM10" s="2">
        <f t="shared" si="13"/>
        <v>-2.015465534661165</v>
      </c>
      <c r="AN10" s="2"/>
      <c r="AO10" s="2"/>
      <c r="AP10" s="2"/>
      <c r="AQ10" s="2"/>
      <c r="AR10" s="2"/>
      <c r="AS10" s="2"/>
      <c r="AT10" s="2"/>
      <c r="AU10" s="2"/>
    </row>
    <row r="11" spans="1:47">
      <c r="A11" s="18">
        <v>1990</v>
      </c>
      <c r="B11" s="10">
        <v>140124.79999999999</v>
      </c>
      <c r="C11" s="10">
        <f t="shared" si="0"/>
        <v>4163.1000000000004</v>
      </c>
      <c r="D11" s="10">
        <v>722.4</v>
      </c>
      <c r="E11" s="10">
        <v>967.1</v>
      </c>
      <c r="F11" s="29" t="s">
        <v>10</v>
      </c>
      <c r="G11" s="29" t="s">
        <v>10</v>
      </c>
      <c r="H11" s="29" t="s">
        <v>10</v>
      </c>
      <c r="I11" s="10">
        <v>2473.6</v>
      </c>
      <c r="J11" s="10">
        <v>2013.8</v>
      </c>
      <c r="K11" s="10">
        <v>459.8</v>
      </c>
      <c r="L11" s="10">
        <v>201388.44773726462</v>
      </c>
      <c r="M11" s="10">
        <v>5592.1259922084291</v>
      </c>
      <c r="N11" s="10">
        <v>439.37842793860113</v>
      </c>
      <c r="O11" s="10">
        <v>2519.2427246324219</v>
      </c>
      <c r="P11" s="29" t="s">
        <v>10</v>
      </c>
      <c r="Q11" s="29" t="s">
        <v>10</v>
      </c>
      <c r="R11" s="29" t="s">
        <v>10</v>
      </c>
      <c r="S11" s="10">
        <v>2633.5048396374059</v>
      </c>
      <c r="T11" s="10">
        <v>1871.3903301047321</v>
      </c>
      <c r="U11" s="10">
        <v>762.11450953267388</v>
      </c>
      <c r="X11" s="2">
        <f t="shared" si="3"/>
        <v>0.48399686770546069</v>
      </c>
      <c r="Y11" s="2">
        <f t="shared" si="4"/>
        <v>7.6902455966178396</v>
      </c>
      <c r="Z11" s="2">
        <f t="shared" si="5"/>
        <v>17.430720098897702</v>
      </c>
      <c r="AA11" s="2">
        <f t="shared" si="6"/>
        <v>5.973108618873546</v>
      </c>
      <c r="AB11" s="2">
        <f t="shared" si="7"/>
        <v>7.8694744927020555</v>
      </c>
      <c r="AC11" s="2">
        <f t="shared" si="8"/>
        <v>11.709323944776306</v>
      </c>
      <c r="AD11" s="2">
        <f t="shared" si="9"/>
        <v>-0.5265929436545469</v>
      </c>
      <c r="AE11" s="2"/>
      <c r="AF11" s="2" t="s">
        <v>12</v>
      </c>
      <c r="AG11" s="2">
        <f>((L34/L5)^(1/29)-1)*100</f>
        <v>2.0854800461750145</v>
      </c>
      <c r="AH11" s="2">
        <f>((M34/M5)^(1/29)-1)*100</f>
        <v>2.2671103371019186E-2</v>
      </c>
      <c r="AI11" s="2">
        <f>((N34/N5)^(1/29)-1)*100</f>
        <v>2.2586125335208207</v>
      </c>
      <c r="AJ11" s="2">
        <f>((O34/O5)^(1/29)-1)*100</f>
        <v>-0.31346420776328099</v>
      </c>
      <c r="AK11" s="2">
        <f t="shared" ref="AK11:AM11" si="14">((S34/S5)^(1/29)-1)*100</f>
        <v>-0.22682682605354998</v>
      </c>
      <c r="AL11" s="2">
        <f t="shared" si="14"/>
        <v>-0.52439575000494676</v>
      </c>
      <c r="AM11" s="2">
        <f t="shared" si="14"/>
        <v>0.43853408651932657</v>
      </c>
      <c r="AN11" s="2"/>
      <c r="AO11" s="2"/>
      <c r="AP11" s="2"/>
      <c r="AQ11" s="2"/>
      <c r="AR11" s="2"/>
      <c r="AS11" s="2"/>
      <c r="AT11" s="2"/>
      <c r="AU11" s="2"/>
    </row>
    <row r="12" spans="1:47">
      <c r="A12" s="18">
        <v>1991</v>
      </c>
      <c r="B12" s="10">
        <v>141298.5</v>
      </c>
      <c r="C12" s="10">
        <f t="shared" si="0"/>
        <v>3774.2</v>
      </c>
      <c r="D12" s="10">
        <v>623.5</v>
      </c>
      <c r="E12" s="10">
        <v>912</v>
      </c>
      <c r="F12" s="29" t="s">
        <v>10</v>
      </c>
      <c r="G12" s="29" t="s">
        <v>10</v>
      </c>
      <c r="H12" s="29" t="s">
        <v>10</v>
      </c>
      <c r="I12" s="10">
        <v>2238.6999999999998</v>
      </c>
      <c r="J12" s="10">
        <v>1704.3</v>
      </c>
      <c r="K12" s="10">
        <v>534.4</v>
      </c>
      <c r="L12" s="10">
        <v>196248.45956473838</v>
      </c>
      <c r="M12" s="10">
        <v>5780.8947757094547</v>
      </c>
      <c r="N12" s="10">
        <v>522.67725490196085</v>
      </c>
      <c r="O12" s="10">
        <v>2630.2276059543706</v>
      </c>
      <c r="P12" s="29" t="s">
        <v>10</v>
      </c>
      <c r="Q12" s="29" t="s">
        <v>10</v>
      </c>
      <c r="R12" s="29" t="s">
        <v>10</v>
      </c>
      <c r="S12" s="10">
        <v>2627.9899148531231</v>
      </c>
      <c r="T12" s="10">
        <v>1798.0960312593115</v>
      </c>
      <c r="U12" s="10">
        <v>829.89388359381155</v>
      </c>
      <c r="X12" s="2">
        <f t="shared" si="3"/>
        <v>-2.5522755799935348</v>
      </c>
      <c r="Y12" s="2">
        <f t="shared" si="4"/>
        <v>3.3756174979612252</v>
      </c>
      <c r="Z12" s="2">
        <f t="shared" si="5"/>
        <v>18.958333333333321</v>
      </c>
      <c r="AA12" s="2">
        <f t="shared" si="6"/>
        <v>4.4054858325786039</v>
      </c>
      <c r="AB12" s="2">
        <f t="shared" si="7"/>
        <v>-0.20941388454186471</v>
      </c>
      <c r="AC12" s="2">
        <f t="shared" si="8"/>
        <v>-3.9165692836148569</v>
      </c>
      <c r="AD12" s="2">
        <f t="shared" si="9"/>
        <v>8.8935944944414924</v>
      </c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47">
      <c r="A13" s="18">
        <v>1992</v>
      </c>
      <c r="B13" s="10">
        <v>143198.70000000001</v>
      </c>
      <c r="C13" s="10" t="s">
        <v>9</v>
      </c>
      <c r="D13" s="10">
        <v>657.3</v>
      </c>
      <c r="E13" s="10">
        <v>1003.4</v>
      </c>
      <c r="F13" s="29" t="s">
        <v>10</v>
      </c>
      <c r="G13" s="29" t="s">
        <v>10</v>
      </c>
      <c r="H13" s="29" t="s">
        <v>10</v>
      </c>
      <c r="I13" s="10" t="s">
        <v>9</v>
      </c>
      <c r="J13" s="10">
        <v>1307</v>
      </c>
      <c r="K13" s="10" t="s">
        <v>9</v>
      </c>
      <c r="L13" s="10">
        <v>197618.58160951169</v>
      </c>
      <c r="M13" s="10" t="s">
        <v>9</v>
      </c>
      <c r="N13" s="10">
        <v>547.57303890101423</v>
      </c>
      <c r="O13" s="10">
        <v>2593.6500595076968</v>
      </c>
      <c r="P13" s="29" t="s">
        <v>10</v>
      </c>
      <c r="Q13" s="29" t="s">
        <v>10</v>
      </c>
      <c r="R13" s="29" t="s">
        <v>10</v>
      </c>
      <c r="S13" s="10" t="s">
        <v>9</v>
      </c>
      <c r="T13" s="10">
        <v>1823.6098694649959</v>
      </c>
      <c r="U13" s="10" t="s">
        <v>9</v>
      </c>
      <c r="X13" s="2">
        <f t="shared" si="3"/>
        <v>0.69815684047258575</v>
      </c>
      <c r="Y13" s="2"/>
      <c r="Z13" s="2">
        <f t="shared" si="5"/>
        <v>4.7631274874823326</v>
      </c>
      <c r="AA13" s="2">
        <f t="shared" si="6"/>
        <v>-1.3906608828782918</v>
      </c>
      <c r="AB13" s="2"/>
      <c r="AC13" s="2">
        <f t="shared" si="8"/>
        <v>1.4189363505694219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47">
      <c r="A14" s="18">
        <v>1993</v>
      </c>
      <c r="B14" s="10">
        <v>148174.5</v>
      </c>
      <c r="C14" s="10" t="s">
        <v>9</v>
      </c>
      <c r="D14" s="10">
        <v>730</v>
      </c>
      <c r="E14" s="10">
        <v>1396.7</v>
      </c>
      <c r="F14" s="29" t="s">
        <v>10</v>
      </c>
      <c r="G14" s="29" t="s">
        <v>10</v>
      </c>
      <c r="H14" s="29" t="s">
        <v>10</v>
      </c>
      <c r="I14" s="10" t="s">
        <v>9</v>
      </c>
      <c r="J14" s="10">
        <v>1617.6</v>
      </c>
      <c r="K14" s="10" t="s">
        <v>9</v>
      </c>
      <c r="L14" s="10">
        <v>202361.46555419575</v>
      </c>
      <c r="M14" s="10" t="s">
        <v>9</v>
      </c>
      <c r="N14" s="10">
        <v>578.70371777476248</v>
      </c>
      <c r="O14" s="10">
        <v>2412.0822456598635</v>
      </c>
      <c r="P14" s="29" t="s">
        <v>10</v>
      </c>
      <c r="Q14" s="29" t="s">
        <v>10</v>
      </c>
      <c r="R14" s="29" t="s">
        <v>10</v>
      </c>
      <c r="S14" s="10" t="s">
        <v>9</v>
      </c>
      <c r="T14" s="10">
        <v>1999.3571393909051</v>
      </c>
      <c r="U14" s="10" t="s">
        <v>9</v>
      </c>
      <c r="X14" s="2">
        <f t="shared" si="3"/>
        <v>2.4000192219048699</v>
      </c>
      <c r="Y14" s="2"/>
      <c r="Z14" s="2">
        <f t="shared" si="5"/>
        <v>5.6852103120759834</v>
      </c>
      <c r="AA14" s="2">
        <f t="shared" si="6"/>
        <v>-7.0004746084480267</v>
      </c>
      <c r="AB14" s="2"/>
      <c r="AC14" s="2">
        <f t="shared" si="8"/>
        <v>9.6373282942074248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47">
      <c r="A15" s="18">
        <v>1994</v>
      </c>
      <c r="B15" s="10">
        <v>155823.20000000001</v>
      </c>
      <c r="C15" s="10" t="s">
        <v>9</v>
      </c>
      <c r="D15" s="10">
        <v>732.8</v>
      </c>
      <c r="E15" s="10" t="s">
        <v>9</v>
      </c>
      <c r="F15" s="29" t="s">
        <v>10</v>
      </c>
      <c r="G15" s="29" t="s">
        <v>10</v>
      </c>
      <c r="H15" s="29" t="s">
        <v>10</v>
      </c>
      <c r="I15" s="10" t="s">
        <v>9</v>
      </c>
      <c r="J15" s="10">
        <v>1965.6</v>
      </c>
      <c r="K15" s="10" t="s">
        <v>9</v>
      </c>
      <c r="L15" s="10">
        <v>209363.39523052203</v>
      </c>
      <c r="M15" s="10" t="s">
        <v>9</v>
      </c>
      <c r="N15" s="10">
        <v>599.9502602335067</v>
      </c>
      <c r="O15" s="10" t="s">
        <v>9</v>
      </c>
      <c r="P15" s="29" t="s">
        <v>10</v>
      </c>
      <c r="Q15" s="29" t="s">
        <v>10</v>
      </c>
      <c r="R15" s="29" t="s">
        <v>10</v>
      </c>
      <c r="S15" s="10" t="s">
        <v>9</v>
      </c>
      <c r="T15" s="10">
        <v>2181.6651105697047</v>
      </c>
      <c r="U15" s="10" t="s">
        <v>9</v>
      </c>
      <c r="X15" s="2">
        <f t="shared" si="3"/>
        <v>3.460110183107501</v>
      </c>
      <c r="Y15" s="2"/>
      <c r="Z15" s="2">
        <f t="shared" si="5"/>
        <v>3.6714024476016238</v>
      </c>
      <c r="AA15" s="2"/>
      <c r="AB15" s="2"/>
      <c r="AC15" s="2">
        <f t="shared" si="8"/>
        <v>9.1183294663573111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7">
      <c r="A16" s="18">
        <v>1995</v>
      </c>
      <c r="B16" s="10">
        <v>161967.20000000001</v>
      </c>
      <c r="C16" s="10" t="s">
        <v>9</v>
      </c>
      <c r="D16" s="10">
        <v>955.6</v>
      </c>
      <c r="E16" s="10">
        <v>1814.5</v>
      </c>
      <c r="F16" s="29" t="s">
        <v>10</v>
      </c>
      <c r="G16" s="29" t="s">
        <v>10</v>
      </c>
      <c r="H16" s="29" t="s">
        <v>10</v>
      </c>
      <c r="I16" s="10" t="s">
        <v>9</v>
      </c>
      <c r="J16" s="10">
        <v>4019.3</v>
      </c>
      <c r="K16" s="10" t="s">
        <v>9</v>
      </c>
      <c r="L16" s="10">
        <v>211471.24646383541</v>
      </c>
      <c r="M16" s="10" t="s">
        <v>9</v>
      </c>
      <c r="N16" s="10">
        <v>536.48382389937103</v>
      </c>
      <c r="O16" s="10">
        <v>2629.4501224489791</v>
      </c>
      <c r="P16" s="29" t="s">
        <v>10</v>
      </c>
      <c r="Q16" s="29" t="s">
        <v>10</v>
      </c>
      <c r="R16" s="29" t="s">
        <v>10</v>
      </c>
      <c r="S16" s="10" t="s">
        <v>9</v>
      </c>
      <c r="T16" s="10">
        <v>2134.6798864454699</v>
      </c>
      <c r="U16" s="10" t="s">
        <v>9</v>
      </c>
      <c r="X16" s="2">
        <f t="shared" si="3"/>
        <v>1.0067907195489001</v>
      </c>
      <c r="Y16" s="2"/>
      <c r="Z16" s="2">
        <f t="shared" si="5"/>
        <v>-10.578616352201243</v>
      </c>
      <c r="AA16" s="2"/>
      <c r="AB16" s="2"/>
      <c r="AC16" s="2">
        <f t="shared" si="8"/>
        <v>-2.153640533398149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ht="15.75" thickBot="1">
      <c r="A17" s="18">
        <v>1996</v>
      </c>
      <c r="B17" s="10">
        <v>164651.79999999999</v>
      </c>
      <c r="C17" s="10" t="s">
        <v>9</v>
      </c>
      <c r="D17" s="10">
        <v>789.9</v>
      </c>
      <c r="E17" s="10">
        <v>2089.1999999999998</v>
      </c>
      <c r="F17" s="29" t="s">
        <v>10</v>
      </c>
      <c r="G17" s="29" t="s">
        <v>10</v>
      </c>
      <c r="H17" s="29" t="s">
        <v>10</v>
      </c>
      <c r="I17" s="10" t="s">
        <v>9</v>
      </c>
      <c r="J17" s="10">
        <v>3476.8</v>
      </c>
      <c r="K17" s="10" t="s">
        <v>9</v>
      </c>
      <c r="L17" s="74">
        <v>212272.70225910912</v>
      </c>
      <c r="M17" s="89" t="s">
        <v>9</v>
      </c>
      <c r="N17" s="74">
        <v>540.01600405165857</v>
      </c>
      <c r="O17" s="74">
        <v>2301.9746533898706</v>
      </c>
      <c r="P17" s="73" t="s">
        <v>10</v>
      </c>
      <c r="Q17" s="73" t="s">
        <v>10</v>
      </c>
      <c r="R17" s="73" t="s">
        <v>10</v>
      </c>
      <c r="S17" s="89" t="s">
        <v>9</v>
      </c>
      <c r="T17" s="89">
        <v>1864.6970894325914</v>
      </c>
      <c r="U17" s="89" t="s">
        <v>9</v>
      </c>
      <c r="X17" s="2">
        <f t="shared" si="3"/>
        <v>0.37899043424363121</v>
      </c>
      <c r="Y17" s="2"/>
      <c r="Z17" s="2">
        <f t="shared" si="5"/>
        <v>0.65839453026081962</v>
      </c>
      <c r="AA17" s="2">
        <f t="shared" si="6"/>
        <v>-12.45414264614798</v>
      </c>
      <c r="AB17" s="2"/>
      <c r="AC17" s="2">
        <f t="shared" si="8"/>
        <v>-12.647460573699243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47" ht="15.75" thickBot="1">
      <c r="A18" s="18">
        <v>1997</v>
      </c>
      <c r="B18" s="10">
        <v>175117.7</v>
      </c>
      <c r="C18" s="10">
        <f t="shared" ref="C18:C32" si="15">D18+E18+I18</f>
        <v>7124.7</v>
      </c>
      <c r="D18" s="10">
        <v>798.1</v>
      </c>
      <c r="E18" s="10">
        <v>2414.6</v>
      </c>
      <c r="F18" s="29" t="s">
        <v>10</v>
      </c>
      <c r="G18" s="29" t="s">
        <v>10</v>
      </c>
      <c r="H18" s="29" t="s">
        <v>10</v>
      </c>
      <c r="I18" s="10">
        <v>3912</v>
      </c>
      <c r="J18" s="10">
        <v>3178.1</v>
      </c>
      <c r="K18" s="10">
        <v>733.9</v>
      </c>
      <c r="L18" s="10">
        <v>218816.8</v>
      </c>
      <c r="M18" s="74">
        <v>5628.4875349198264</v>
      </c>
      <c r="N18" s="10">
        <v>534.4</v>
      </c>
      <c r="O18" s="27">
        <v>2001</v>
      </c>
      <c r="P18" s="29">
        <v>884</v>
      </c>
      <c r="Q18" s="29">
        <v>332</v>
      </c>
      <c r="R18" s="29">
        <v>717</v>
      </c>
      <c r="S18" s="74">
        <v>3093.0875349198259</v>
      </c>
      <c r="T18" s="74">
        <v>2106.1176415970285</v>
      </c>
      <c r="U18" s="74">
        <v>986.96989332279747</v>
      </c>
      <c r="X18" s="2">
        <f t="shared" si="3"/>
        <v>3.0828729606988459</v>
      </c>
      <c r="Y18" s="2"/>
      <c r="Z18" s="2">
        <f t="shared" si="5"/>
        <v>-1.0399699285803643</v>
      </c>
      <c r="AA18" s="2">
        <f t="shared" si="6"/>
        <v>-13.074629338192645</v>
      </c>
      <c r="AB18" s="2"/>
      <c r="AC18" s="2">
        <f t="shared" si="8"/>
        <v>12.94690454190064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47">
      <c r="A19" s="18">
        <v>1998</v>
      </c>
      <c r="B19" s="10">
        <v>182252</v>
      </c>
      <c r="C19" s="10">
        <f t="shared" si="15"/>
        <v>7989.2000000000007</v>
      </c>
      <c r="D19" s="10">
        <v>992.7</v>
      </c>
      <c r="E19" s="10">
        <v>2482.4</v>
      </c>
      <c r="F19" s="29" t="s">
        <v>10</v>
      </c>
      <c r="G19" s="29" t="s">
        <v>10</v>
      </c>
      <c r="H19" s="29" t="s">
        <v>10</v>
      </c>
      <c r="I19" s="10">
        <v>4514.1000000000004</v>
      </c>
      <c r="J19" s="10">
        <v>3492.9</v>
      </c>
      <c r="K19" s="10">
        <v>1021.2</v>
      </c>
      <c r="L19" s="10">
        <v>226117.4</v>
      </c>
      <c r="M19" s="10">
        <v>5975.4</v>
      </c>
      <c r="N19" s="10">
        <v>613.79999999999995</v>
      </c>
      <c r="O19" s="27">
        <v>2156</v>
      </c>
      <c r="P19" s="29">
        <v>990</v>
      </c>
      <c r="Q19" s="29">
        <v>339</v>
      </c>
      <c r="R19" s="29">
        <v>724</v>
      </c>
      <c r="S19" s="10">
        <v>3205.9</v>
      </c>
      <c r="T19" s="10">
        <v>2051.1</v>
      </c>
      <c r="U19" s="10">
        <v>1214.4000000000001</v>
      </c>
      <c r="X19" s="2">
        <f t="shared" si="3"/>
        <v>3.3363983021413413</v>
      </c>
      <c r="Y19" s="2">
        <f t="shared" si="4"/>
        <v>6.1635112972692196</v>
      </c>
      <c r="Z19" s="2">
        <f t="shared" si="5"/>
        <v>14.857784431137722</v>
      </c>
      <c r="AA19" s="2">
        <f t="shared" si="6"/>
        <v>7.7461269365317387</v>
      </c>
      <c r="AB19" s="2">
        <f t="shared" si="7"/>
        <v>3.6472445026712874</v>
      </c>
      <c r="AC19" s="2">
        <f t="shared" si="8"/>
        <v>-2.6122777052145052</v>
      </c>
      <c r="AD19" s="2">
        <f t="shared" si="9"/>
        <v>23.043266893534266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>
      <c r="A20" s="18">
        <v>1999</v>
      </c>
      <c r="B20" s="10">
        <v>195765.2</v>
      </c>
      <c r="C20" s="10">
        <f t="shared" si="15"/>
        <v>8237.0999999999985</v>
      </c>
      <c r="D20" s="10">
        <v>965.8</v>
      </c>
      <c r="E20" s="10">
        <v>3117.6</v>
      </c>
      <c r="F20" s="29" t="s">
        <v>10</v>
      </c>
      <c r="G20" s="29" t="s">
        <v>10</v>
      </c>
      <c r="H20" s="29" t="s">
        <v>10</v>
      </c>
      <c r="I20" s="10">
        <v>4153.7</v>
      </c>
      <c r="J20" s="10">
        <v>3005.5</v>
      </c>
      <c r="K20" s="10">
        <v>1148.2</v>
      </c>
      <c r="L20" s="10">
        <v>240540</v>
      </c>
      <c r="M20" s="10">
        <v>6239.5999999999995</v>
      </c>
      <c r="N20" s="10">
        <v>682.7</v>
      </c>
      <c r="O20" s="27">
        <v>2243</v>
      </c>
      <c r="P20" s="29">
        <v>953</v>
      </c>
      <c r="Q20" s="29">
        <v>378</v>
      </c>
      <c r="R20" s="29">
        <v>886</v>
      </c>
      <c r="S20" s="10">
        <v>3314.2</v>
      </c>
      <c r="T20" s="10">
        <v>2085.1</v>
      </c>
      <c r="U20" s="10">
        <v>1320.8</v>
      </c>
      <c r="X20" s="2">
        <f t="shared" si="3"/>
        <v>6.3783680512866425</v>
      </c>
      <c r="Y20" s="2">
        <f t="shared" si="4"/>
        <v>4.4214613247648638</v>
      </c>
      <c r="Z20" s="2">
        <f t="shared" si="5"/>
        <v>11.22515477354189</v>
      </c>
      <c r="AA20" s="2">
        <f t="shared" si="6"/>
        <v>4.0352504638218933</v>
      </c>
      <c r="AB20" s="2">
        <f t="shared" si="7"/>
        <v>3.37814654231261</v>
      </c>
      <c r="AC20" s="2">
        <f t="shared" si="8"/>
        <v>1.6576471161815709</v>
      </c>
      <c r="AD20" s="2">
        <f t="shared" si="9"/>
        <v>8.7615283267457045</v>
      </c>
      <c r="AE20" s="2"/>
      <c r="AF20" s="2" t="s">
        <v>30</v>
      </c>
      <c r="AG20" s="2"/>
      <c r="AH20" s="2"/>
      <c r="AI20" s="2"/>
      <c r="AJ20" s="2"/>
      <c r="AK20" s="2"/>
      <c r="AL20" s="2"/>
      <c r="AM20" s="2"/>
      <c r="AN20" s="2"/>
      <c r="AO20" s="2" t="s">
        <v>25</v>
      </c>
      <c r="AP20" s="2"/>
      <c r="AQ20" s="2"/>
      <c r="AR20" s="2"/>
      <c r="AS20" s="2"/>
      <c r="AT20" s="2"/>
      <c r="AU20" s="2"/>
    </row>
    <row r="21" spans="1:47">
      <c r="A21" s="18">
        <v>2000</v>
      </c>
      <c r="B21" s="10">
        <v>209300.6</v>
      </c>
      <c r="C21" s="10">
        <f t="shared" si="15"/>
        <v>9296.0999999999985</v>
      </c>
      <c r="D21" s="10">
        <v>1185</v>
      </c>
      <c r="E21" s="10">
        <v>3238.7</v>
      </c>
      <c r="F21" s="29" t="s">
        <v>10</v>
      </c>
      <c r="G21" s="29" t="s">
        <v>10</v>
      </c>
      <c r="H21" s="29" t="s">
        <v>10</v>
      </c>
      <c r="I21" s="10">
        <v>4872.3999999999996</v>
      </c>
      <c r="J21" s="10">
        <v>3825.3</v>
      </c>
      <c r="K21" s="10">
        <v>1047.0999999999999</v>
      </c>
      <c r="L21" s="10">
        <v>251732.3</v>
      </c>
      <c r="M21" s="10">
        <v>6668.6</v>
      </c>
      <c r="N21" s="10">
        <v>866.7</v>
      </c>
      <c r="O21" s="27">
        <v>2418</v>
      </c>
      <c r="P21" s="29">
        <v>989</v>
      </c>
      <c r="Q21" s="29">
        <v>395</v>
      </c>
      <c r="R21" s="27">
        <v>1057</v>
      </c>
      <c r="S21" s="10">
        <v>3384.1</v>
      </c>
      <c r="T21" s="10">
        <v>2275.8000000000002</v>
      </c>
      <c r="U21" s="10">
        <v>1073.3</v>
      </c>
      <c r="X21" s="2">
        <f t="shared" si="3"/>
        <v>4.6529891078406882</v>
      </c>
      <c r="Y21" s="2">
        <f t="shared" si="4"/>
        <v>6.8754407333803558</v>
      </c>
      <c r="Z21" s="2">
        <f t="shared" si="5"/>
        <v>26.951808993701487</v>
      </c>
      <c r="AA21" s="2">
        <f t="shared" si="6"/>
        <v>7.8020508247882203</v>
      </c>
      <c r="AB21" s="2">
        <f t="shared" si="7"/>
        <v>2.1091062699897467</v>
      </c>
      <c r="AC21" s="2">
        <f t="shared" si="8"/>
        <v>9.1458443240132414</v>
      </c>
      <c r="AD21" s="2">
        <f t="shared" si="9"/>
        <v>-18.738643246517263</v>
      </c>
      <c r="AE21" s="2"/>
      <c r="AF21" s="2" t="s">
        <v>2</v>
      </c>
      <c r="AG21" s="2" t="s">
        <v>3</v>
      </c>
      <c r="AH21" s="2" t="s">
        <v>4</v>
      </c>
      <c r="AI21" s="2" t="s">
        <v>5</v>
      </c>
      <c r="AJ21" s="2" t="s">
        <v>6</v>
      </c>
      <c r="AK21" s="2" t="s">
        <v>7</v>
      </c>
      <c r="AL21" s="2"/>
      <c r="AM21" s="2"/>
      <c r="AN21" s="2"/>
      <c r="AO21" s="2" t="s">
        <v>2</v>
      </c>
      <c r="AP21" s="2" t="s">
        <v>3</v>
      </c>
      <c r="AQ21" s="2" t="s">
        <v>4</v>
      </c>
      <c r="AR21" s="2" t="s">
        <v>5</v>
      </c>
      <c r="AS21" s="2" t="s">
        <v>6</v>
      </c>
      <c r="AT21" s="2" t="s">
        <v>7</v>
      </c>
      <c r="AU21" s="2"/>
    </row>
    <row r="22" spans="1:47">
      <c r="A22" s="18">
        <v>2001</v>
      </c>
      <c r="B22" s="10">
        <v>215711.3</v>
      </c>
      <c r="C22" s="10">
        <f t="shared" si="15"/>
        <v>9509.2000000000007</v>
      </c>
      <c r="D22" s="10">
        <v>1101.0999999999999</v>
      </c>
      <c r="E22" s="10">
        <v>3307.4</v>
      </c>
      <c r="F22" s="29" t="s">
        <v>10</v>
      </c>
      <c r="G22" s="29" t="s">
        <v>10</v>
      </c>
      <c r="H22" s="29" t="s">
        <v>10</v>
      </c>
      <c r="I22" s="10">
        <v>5100.7</v>
      </c>
      <c r="J22" s="10">
        <v>3912.2</v>
      </c>
      <c r="K22" s="10">
        <v>1188.5</v>
      </c>
      <c r="L22" s="10">
        <v>255353.4</v>
      </c>
      <c r="M22" s="10">
        <v>6869.1</v>
      </c>
      <c r="N22" s="10">
        <v>893.3</v>
      </c>
      <c r="O22" s="27">
        <v>2613</v>
      </c>
      <c r="P22" s="27">
        <v>1090</v>
      </c>
      <c r="Q22" s="29">
        <v>441</v>
      </c>
      <c r="R22" s="27">
        <v>1075</v>
      </c>
      <c r="S22" s="10">
        <v>3362.9</v>
      </c>
      <c r="T22" s="10">
        <v>2242.9</v>
      </c>
      <c r="U22" s="10">
        <v>1101.4000000000001</v>
      </c>
      <c r="X22" s="2">
        <f t="shared" si="3"/>
        <v>1.4384725361028305</v>
      </c>
      <c r="Y22" s="2">
        <f t="shared" si="4"/>
        <v>3.0066280778574317</v>
      </c>
      <c r="Z22" s="2">
        <f t="shared" si="5"/>
        <v>3.0691127264335982</v>
      </c>
      <c r="AA22" s="2">
        <f t="shared" si="6"/>
        <v>8.0645161290322509</v>
      </c>
      <c r="AB22" s="2">
        <f t="shared" si="7"/>
        <v>-0.62645902898850192</v>
      </c>
      <c r="AC22" s="2">
        <f t="shared" si="8"/>
        <v>-1.4456454873011726</v>
      </c>
      <c r="AD22" s="2">
        <f t="shared" si="9"/>
        <v>2.6180937296189422</v>
      </c>
      <c r="AE22" s="2">
        <v>2007</v>
      </c>
      <c r="AF22" s="2">
        <f>((B28/L28))*100</f>
        <v>100</v>
      </c>
      <c r="AG22" s="2">
        <f t="shared" ref="AG22:AH26" si="16">((D28/N28))*100</f>
        <v>100</v>
      </c>
      <c r="AH22" s="2">
        <f t="shared" si="16"/>
        <v>99.996098322278584</v>
      </c>
      <c r="AI22" s="2">
        <f t="shared" ref="AI22:AK26" si="17">((I28/S28))*100</f>
        <v>100</v>
      </c>
      <c r="AJ22" s="2">
        <f t="shared" si="17"/>
        <v>100</v>
      </c>
      <c r="AK22" s="2">
        <f t="shared" si="17"/>
        <v>100</v>
      </c>
      <c r="AL22" s="2"/>
      <c r="AM22" s="2"/>
      <c r="AN22" s="2">
        <v>2008</v>
      </c>
      <c r="AO22" s="2">
        <f>((AF23/AF22)-1)*100</f>
        <v>1.0967723507372629</v>
      </c>
      <c r="AP22" s="2">
        <f t="shared" ref="AP22:AT22" si="18">((AG23/AG22)-1)*100</f>
        <v>-2.0240573675688101</v>
      </c>
      <c r="AQ22" s="2">
        <f t="shared" si="18"/>
        <v>-5.2437466791557252</v>
      </c>
      <c r="AR22" s="2">
        <f t="shared" si="18"/>
        <v>4.0996757125789429</v>
      </c>
      <c r="AS22" s="2">
        <f t="shared" si="18"/>
        <v>4.0290303644805014</v>
      </c>
      <c r="AT22" s="2">
        <f t="shared" si="18"/>
        <v>4.2547142992514164</v>
      </c>
      <c r="AU22" s="2"/>
    </row>
    <row r="23" spans="1:47">
      <c r="A23" s="18">
        <v>2002</v>
      </c>
      <c r="B23" s="10">
        <v>223849.5</v>
      </c>
      <c r="C23" s="10">
        <f t="shared" si="15"/>
        <v>9111.5</v>
      </c>
      <c r="D23" s="10">
        <v>1209.2</v>
      </c>
      <c r="E23" s="10">
        <v>3493.2</v>
      </c>
      <c r="F23" s="29" t="s">
        <v>10</v>
      </c>
      <c r="G23" s="29" t="s">
        <v>10</v>
      </c>
      <c r="H23" s="29" t="s">
        <v>10</v>
      </c>
      <c r="I23" s="10">
        <v>4409.1000000000004</v>
      </c>
      <c r="J23" s="10">
        <v>3147.1</v>
      </c>
      <c r="K23" s="10">
        <v>1262</v>
      </c>
      <c r="L23" s="10">
        <v>261863.4</v>
      </c>
      <c r="M23" s="10">
        <v>7271.6</v>
      </c>
      <c r="N23" s="10">
        <v>909</v>
      </c>
      <c r="O23" s="27">
        <v>2857</v>
      </c>
      <c r="P23" s="27">
        <v>1196</v>
      </c>
      <c r="Q23" s="29">
        <v>494</v>
      </c>
      <c r="R23" s="27">
        <v>1148</v>
      </c>
      <c r="S23" s="10">
        <v>3505.4</v>
      </c>
      <c r="T23" s="10">
        <v>2298.5</v>
      </c>
      <c r="U23" s="10">
        <v>1213.4000000000001</v>
      </c>
      <c r="X23" s="2">
        <f t="shared" si="3"/>
        <v>2.5494079969172079</v>
      </c>
      <c r="Y23" s="2">
        <f t="shared" si="4"/>
        <v>5.8595740344441039</v>
      </c>
      <c r="Z23" s="2">
        <f t="shared" si="5"/>
        <v>1.7575282659800795</v>
      </c>
      <c r="AA23" s="2">
        <f t="shared" si="6"/>
        <v>9.3379257558362063</v>
      </c>
      <c r="AB23" s="2">
        <f t="shared" si="7"/>
        <v>4.2374141366082752</v>
      </c>
      <c r="AC23" s="2">
        <f t="shared" si="8"/>
        <v>2.4789335235632315</v>
      </c>
      <c r="AD23" s="2">
        <f t="shared" si="9"/>
        <v>10.168875976030511</v>
      </c>
      <c r="AE23" s="2">
        <v>2008</v>
      </c>
      <c r="AF23" s="2">
        <f>((B29/L29))*100</f>
        <v>101.09677235073727</v>
      </c>
      <c r="AG23" s="2">
        <f t="shared" si="16"/>
        <v>97.975942632431185</v>
      </c>
      <c r="AH23" s="2">
        <f t="shared" si="16"/>
        <v>94.752556237218812</v>
      </c>
      <c r="AI23" s="2">
        <f t="shared" si="17"/>
        <v>104.09967571257894</v>
      </c>
      <c r="AJ23" s="2">
        <f t="shared" si="17"/>
        <v>104.0290303644805</v>
      </c>
      <c r="AK23" s="2">
        <f t="shared" si="17"/>
        <v>104.25471429925142</v>
      </c>
      <c r="AL23" s="2"/>
      <c r="AM23" s="2"/>
      <c r="AN23" s="2">
        <v>2009</v>
      </c>
      <c r="AO23" s="2">
        <f t="shared" ref="AO23:AO25" si="19">((AF24/AF23)-1)*100</f>
        <v>1.7079048021145349</v>
      </c>
      <c r="AP23" s="2">
        <f t="shared" ref="AP23:AP25" si="20">((AG24/AG23)-1)*100</f>
        <v>8.6290949464218123</v>
      </c>
      <c r="AQ23" s="2">
        <f t="shared" ref="AQ23:AQ25" si="21">((AH24/AH23)-1)*100</f>
        <v>-15.079491344800388</v>
      </c>
      <c r="AR23" s="2">
        <f t="shared" ref="AR23:AR25" si="22">((AI24/AI23)-1)*100</f>
        <v>-2.1693218645412182</v>
      </c>
      <c r="AS23" s="2">
        <f t="shared" ref="AS23:AS25" si="23">((AJ24/AJ23)-1)*100</f>
        <v>1.578439563281675</v>
      </c>
      <c r="AT23" s="2">
        <f t="shared" ref="AT23:AT25" si="24">((AK24/AK23)-1)*100</f>
        <v>-8.4038198827124599</v>
      </c>
      <c r="AU23" s="2"/>
    </row>
    <row r="24" spans="1:47">
      <c r="A24" s="18">
        <v>2003</v>
      </c>
      <c r="B24" s="10">
        <v>232979.9</v>
      </c>
      <c r="C24" s="10">
        <f t="shared" si="15"/>
        <v>8063.9</v>
      </c>
      <c r="D24" s="10">
        <v>1098.5999999999999</v>
      </c>
      <c r="E24" s="10">
        <v>3272.3</v>
      </c>
      <c r="F24" s="29" t="s">
        <v>10</v>
      </c>
      <c r="G24" s="29" t="s">
        <v>10</v>
      </c>
      <c r="H24" s="29" t="s">
        <v>10</v>
      </c>
      <c r="I24" s="10">
        <v>3693</v>
      </c>
      <c r="J24" s="10">
        <v>2532</v>
      </c>
      <c r="K24" s="10">
        <v>1161</v>
      </c>
      <c r="L24" s="10">
        <v>265014.7</v>
      </c>
      <c r="M24" s="10">
        <v>6968.5</v>
      </c>
      <c r="N24" s="10">
        <v>846.3</v>
      </c>
      <c r="O24" s="27">
        <v>2770</v>
      </c>
      <c r="P24" s="27">
        <v>1129</v>
      </c>
      <c r="Q24" s="29">
        <v>445</v>
      </c>
      <c r="R24" s="27">
        <v>1222</v>
      </c>
      <c r="S24" s="10">
        <v>3352.5</v>
      </c>
      <c r="T24" s="10">
        <v>2197.1</v>
      </c>
      <c r="U24" s="10">
        <v>1162.5999999999999</v>
      </c>
      <c r="X24" s="2">
        <f t="shared" si="3"/>
        <v>1.2034136882053792</v>
      </c>
      <c r="Y24" s="2">
        <f t="shared" si="4"/>
        <v>-4.168271082017716</v>
      </c>
      <c r="Z24" s="2">
        <f t="shared" si="5"/>
        <v>-6.8976897689768997</v>
      </c>
      <c r="AA24" s="2">
        <f t="shared" si="6"/>
        <v>-3.045152257612882</v>
      </c>
      <c r="AB24" s="2">
        <f t="shared" si="7"/>
        <v>-4.3618417299024381</v>
      </c>
      <c r="AC24" s="2">
        <f t="shared" si="8"/>
        <v>-4.411572764846639</v>
      </c>
      <c r="AD24" s="2">
        <f t="shared" si="9"/>
        <v>-4.1865831547717285</v>
      </c>
      <c r="AE24" s="2">
        <v>2009</v>
      </c>
      <c r="AF24" s="2">
        <f>((B30/L30))*100</f>
        <v>102.82340898049831</v>
      </c>
      <c r="AG24" s="2">
        <f t="shared" si="16"/>
        <v>106.43037974683544</v>
      </c>
      <c r="AH24" s="2">
        <f t="shared" si="16"/>
        <v>80.464352720450279</v>
      </c>
      <c r="AI24" s="2">
        <f t="shared" si="17"/>
        <v>101.84141868642946</v>
      </c>
      <c r="AJ24" s="2">
        <f t="shared" si="17"/>
        <v>105.67106573705178</v>
      </c>
      <c r="AK24" s="2">
        <f t="shared" si="17"/>
        <v>95.493335890305858</v>
      </c>
      <c r="AL24" s="2"/>
      <c r="AM24" s="2"/>
      <c r="AN24" s="2">
        <v>2010</v>
      </c>
      <c r="AO24" s="2">
        <f t="shared" si="19"/>
        <v>2.2044322709559028</v>
      </c>
      <c r="AP24" s="2">
        <f t="shared" si="20"/>
        <v>-26.436129524638307</v>
      </c>
      <c r="AQ24" s="2">
        <f t="shared" si="21"/>
        <v>4.427643032131523</v>
      </c>
      <c r="AR24" s="2">
        <f t="shared" si="22"/>
        <v>4.3105092353931118</v>
      </c>
      <c r="AS24" s="2">
        <f t="shared" si="23"/>
        <v>2.8592046285352168</v>
      </c>
      <c r="AT24" s="2">
        <f t="shared" si="24"/>
        <v>6.8944033716297204</v>
      </c>
      <c r="AU24" s="2"/>
    </row>
    <row r="25" spans="1:47">
      <c r="A25" s="18">
        <v>2004</v>
      </c>
      <c r="B25" s="10">
        <v>243988.6</v>
      </c>
      <c r="C25" s="10">
        <f t="shared" si="15"/>
        <v>8222.9</v>
      </c>
      <c r="D25" s="10">
        <v>1245.4000000000001</v>
      </c>
      <c r="E25" s="10">
        <v>3520.6</v>
      </c>
      <c r="F25" s="29" t="s">
        <v>10</v>
      </c>
      <c r="G25" s="29" t="s">
        <v>10</v>
      </c>
      <c r="H25" s="29" t="s">
        <v>10</v>
      </c>
      <c r="I25" s="10">
        <v>3456.8999999999996</v>
      </c>
      <c r="J25" s="10">
        <v>2236.1999999999998</v>
      </c>
      <c r="K25" s="10">
        <v>1220.7</v>
      </c>
      <c r="L25" s="10">
        <v>270902.7</v>
      </c>
      <c r="M25" s="10">
        <v>6685.4</v>
      </c>
      <c r="N25" s="10">
        <v>963.7</v>
      </c>
      <c r="O25" s="27">
        <v>2594</v>
      </c>
      <c r="P25" s="29">
        <v>920</v>
      </c>
      <c r="Q25" s="29">
        <v>420</v>
      </c>
      <c r="R25" s="27">
        <v>1377</v>
      </c>
      <c r="S25" s="10">
        <v>3127.5</v>
      </c>
      <c r="T25" s="10">
        <v>1956.2</v>
      </c>
      <c r="U25" s="10">
        <v>1198.3</v>
      </c>
      <c r="X25" s="2">
        <f t="shared" si="3"/>
        <v>2.221763547456046</v>
      </c>
      <c r="Y25" s="2">
        <f t="shared" si="4"/>
        <v>-4.0625672669871609</v>
      </c>
      <c r="Z25" s="2">
        <f t="shared" si="5"/>
        <v>13.872149356020325</v>
      </c>
      <c r="AA25" s="2">
        <f t="shared" si="6"/>
        <v>-6.353790613718413</v>
      </c>
      <c r="AB25" s="2">
        <f t="shared" si="7"/>
        <v>-6.7114093959731562</v>
      </c>
      <c r="AC25" s="2">
        <f t="shared" si="8"/>
        <v>-10.964453142779107</v>
      </c>
      <c r="AD25" s="2">
        <f t="shared" si="9"/>
        <v>3.0707035953896566</v>
      </c>
      <c r="AE25" s="2">
        <v>2010</v>
      </c>
      <c r="AF25" s="2">
        <f>((B31/L31))*100</f>
        <v>105.09008139016139</v>
      </c>
      <c r="AG25" s="2">
        <f t="shared" si="16"/>
        <v>78.294306703397609</v>
      </c>
      <c r="AH25" s="2">
        <f t="shared" si="16"/>
        <v>84.027027027027032</v>
      </c>
      <c r="AI25" s="2">
        <f t="shared" si="17"/>
        <v>106.23130244436338</v>
      </c>
      <c r="AJ25" s="2">
        <f t="shared" si="17"/>
        <v>108.69241773962806</v>
      </c>
      <c r="AK25" s="2">
        <f t="shared" si="17"/>
        <v>102.07703165960879</v>
      </c>
      <c r="AL25" s="2"/>
      <c r="AM25" s="2"/>
      <c r="AN25" s="2">
        <v>2011</v>
      </c>
      <c r="AO25" s="2">
        <f t="shared" si="19"/>
        <v>2.4466716242069975</v>
      </c>
      <c r="AP25" s="2">
        <f t="shared" si="20"/>
        <v>22.392546611869292</v>
      </c>
      <c r="AQ25" s="2">
        <f t="shared" si="21"/>
        <v>-4.2530430850839736</v>
      </c>
      <c r="AR25" s="2">
        <f t="shared" si="22"/>
        <v>-5.7981034726217402</v>
      </c>
      <c r="AS25" s="2">
        <f t="shared" si="23"/>
        <v>-7.5549926750509417</v>
      </c>
      <c r="AT25" s="2">
        <f t="shared" si="24"/>
        <v>-2.3996700337376442</v>
      </c>
      <c r="AU25" s="2"/>
    </row>
    <row r="26" spans="1:47">
      <c r="A26" s="18">
        <v>2005</v>
      </c>
      <c r="B26" s="10">
        <v>252709.6</v>
      </c>
      <c r="C26" s="10">
        <f t="shared" si="15"/>
        <v>8640.5</v>
      </c>
      <c r="D26" s="10">
        <v>1313.4</v>
      </c>
      <c r="E26" s="10">
        <v>3384</v>
      </c>
      <c r="F26" s="29" t="s">
        <v>10</v>
      </c>
      <c r="G26" s="29" t="s">
        <v>10</v>
      </c>
      <c r="H26" s="29" t="s">
        <v>10</v>
      </c>
      <c r="I26" s="10">
        <v>3943.1</v>
      </c>
      <c r="J26" s="10">
        <v>2754.2</v>
      </c>
      <c r="K26" s="10">
        <v>1188.9000000000001</v>
      </c>
      <c r="L26" s="10">
        <v>275436.79999999999</v>
      </c>
      <c r="M26" s="10">
        <v>7214.2</v>
      </c>
      <c r="N26" s="10">
        <v>1039.7</v>
      </c>
      <c r="O26" s="27">
        <v>2858</v>
      </c>
      <c r="P26" s="27">
        <v>1153</v>
      </c>
      <c r="Q26" s="29">
        <v>503</v>
      </c>
      <c r="R26" s="27">
        <v>1212</v>
      </c>
      <c r="S26" s="10">
        <v>3316.7</v>
      </c>
      <c r="T26" s="10">
        <v>2200.6</v>
      </c>
      <c r="U26" s="10">
        <v>1117.3</v>
      </c>
      <c r="X26" s="2">
        <f t="shared" si="3"/>
        <v>1.6737005574326114</v>
      </c>
      <c r="Y26" s="2">
        <f t="shared" si="4"/>
        <v>7.9097735363628185</v>
      </c>
      <c r="Z26" s="2">
        <f t="shared" si="5"/>
        <v>7.8862716613053774</v>
      </c>
      <c r="AA26" s="2">
        <f t="shared" si="6"/>
        <v>10.177332305319965</v>
      </c>
      <c r="AB26" s="2">
        <f t="shared" si="7"/>
        <v>6.0495603517186192</v>
      </c>
      <c r="AC26" s="2">
        <f t="shared" si="8"/>
        <v>12.493610060321014</v>
      </c>
      <c r="AD26" s="2">
        <f t="shared" si="9"/>
        <v>-6.759576066093631</v>
      </c>
      <c r="AE26" s="2">
        <v>2011</v>
      </c>
      <c r="AF26" s="2">
        <f>((B32/L32))*100</f>
        <v>107.66129059139051</v>
      </c>
      <c r="AG26" s="2">
        <f t="shared" si="16"/>
        <v>95.826395826395824</v>
      </c>
      <c r="AH26" s="2">
        <f t="shared" si="16"/>
        <v>80.453321364452421</v>
      </c>
      <c r="AI26" s="2">
        <f t="shared" si="17"/>
        <v>100.07190160832545</v>
      </c>
      <c r="AJ26" s="2">
        <f t="shared" si="17"/>
        <v>100.48071354106338</v>
      </c>
      <c r="AK26" s="2">
        <f t="shared" si="17"/>
        <v>99.627519719544267</v>
      </c>
      <c r="AL26" s="2"/>
      <c r="AM26" s="2"/>
      <c r="AN26" s="2" t="s">
        <v>28</v>
      </c>
      <c r="AO26" s="2">
        <f>((AF26/AF22)^(1/4)-1)*100</f>
        <v>1.8626324238594894</v>
      </c>
      <c r="AP26" s="2">
        <f>((AG26/AG22)^(1/4)-1)*100</f>
        <v>-1.0601406842146499</v>
      </c>
      <c r="AQ26" s="2">
        <f t="shared" ref="AQ26:AT26" si="25">((AH26/AH22)^(1/4)-1)*100</f>
        <v>-5.2912225096111598</v>
      </c>
      <c r="AR26" s="2">
        <f t="shared" si="25"/>
        <v>1.7970557386992603E-2</v>
      </c>
      <c r="AS26" s="2">
        <f t="shared" si="25"/>
        <v>0.11996234810225381</v>
      </c>
      <c r="AT26" s="2">
        <f t="shared" si="25"/>
        <v>-9.3250423668322924E-2</v>
      </c>
      <c r="AU26" s="2"/>
    </row>
    <row r="27" spans="1:47" ht="15.75" thickBot="1">
      <c r="A27" s="18">
        <v>2006</v>
      </c>
      <c r="B27" s="74">
        <v>263692.40000000002</v>
      </c>
      <c r="C27" s="74">
        <f t="shared" si="15"/>
        <v>8072.2</v>
      </c>
      <c r="D27" s="74">
        <v>1401.6</v>
      </c>
      <c r="E27" s="74">
        <v>2896.9</v>
      </c>
      <c r="F27" s="73" t="s">
        <v>10</v>
      </c>
      <c r="G27" s="73" t="s">
        <v>10</v>
      </c>
      <c r="H27" s="73" t="s">
        <v>10</v>
      </c>
      <c r="I27" s="74">
        <v>3773.7</v>
      </c>
      <c r="J27" s="74">
        <v>2683.2</v>
      </c>
      <c r="K27" s="74">
        <v>1090.5</v>
      </c>
      <c r="L27" s="10">
        <v>279858.59999999998</v>
      </c>
      <c r="M27" s="10">
        <v>6998.4000000000005</v>
      </c>
      <c r="N27" s="10">
        <v>979.3</v>
      </c>
      <c r="O27" s="27">
        <v>2856</v>
      </c>
      <c r="P27" s="27">
        <v>1094</v>
      </c>
      <c r="Q27" s="29">
        <v>562</v>
      </c>
      <c r="R27" s="27">
        <v>1196</v>
      </c>
      <c r="S27" s="10">
        <v>3163.3</v>
      </c>
      <c r="T27" s="10">
        <v>2117.9</v>
      </c>
      <c r="U27" s="10">
        <v>1042</v>
      </c>
      <c r="X27" s="2">
        <f t="shared" si="3"/>
        <v>1.6053773497223256</v>
      </c>
      <c r="Y27" s="2">
        <f t="shared" si="4"/>
        <v>-2.9913226691802186</v>
      </c>
      <c r="Z27" s="2">
        <f t="shared" si="5"/>
        <v>-5.8093680869481634</v>
      </c>
      <c r="AA27" s="2">
        <f t="shared" si="6"/>
        <v>-6.9979006298115376E-2</v>
      </c>
      <c r="AB27" s="2">
        <f t="shared" si="7"/>
        <v>-4.625079144933208</v>
      </c>
      <c r="AC27" s="2">
        <f t="shared" si="8"/>
        <v>-3.7580659820048989</v>
      </c>
      <c r="AD27" s="2">
        <f t="shared" si="9"/>
        <v>-6.7394612011098198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:47">
      <c r="A28" s="18">
        <v>2007</v>
      </c>
      <c r="B28" s="10">
        <v>285328.7</v>
      </c>
      <c r="C28" s="10">
        <f t="shared" si="15"/>
        <v>6550.6</v>
      </c>
      <c r="D28" s="10">
        <v>870.5</v>
      </c>
      <c r="E28" s="10">
        <v>2562.9</v>
      </c>
      <c r="F28" s="29">
        <v>913</v>
      </c>
      <c r="G28" s="29">
        <v>519</v>
      </c>
      <c r="H28" s="27">
        <v>1131</v>
      </c>
      <c r="I28" s="10">
        <v>3117.2</v>
      </c>
      <c r="J28" s="10">
        <v>2066.3000000000002</v>
      </c>
      <c r="K28" s="10">
        <v>1050.9000000000001</v>
      </c>
      <c r="L28" s="10">
        <v>285328.7</v>
      </c>
      <c r="M28" s="10">
        <v>6550.6</v>
      </c>
      <c r="N28" s="10">
        <v>870.5</v>
      </c>
      <c r="O28" s="27">
        <v>2563</v>
      </c>
      <c r="P28" s="29">
        <v>913</v>
      </c>
      <c r="Q28" s="29">
        <v>519</v>
      </c>
      <c r="R28" s="27">
        <v>1131</v>
      </c>
      <c r="S28" s="10">
        <v>3117.2</v>
      </c>
      <c r="T28" s="10">
        <v>2066.3000000000002</v>
      </c>
      <c r="U28" s="10">
        <v>1050.9000000000001</v>
      </c>
      <c r="X28" s="2">
        <f t="shared" si="3"/>
        <v>1.9545942129346905</v>
      </c>
      <c r="Y28" s="2">
        <f t="shared" si="4"/>
        <v>-6.3986053955189748</v>
      </c>
      <c r="Z28" s="2">
        <f t="shared" si="5"/>
        <v>-11.109976513836406</v>
      </c>
      <c r="AA28" s="2">
        <f t="shared" si="6"/>
        <v>-10.25910364145658</v>
      </c>
      <c r="AB28" s="2">
        <f t="shared" si="7"/>
        <v>-1.4573388549932176</v>
      </c>
      <c r="AC28" s="2">
        <f t="shared" si="8"/>
        <v>-2.4363756551300741</v>
      </c>
      <c r="AD28" s="2">
        <f t="shared" si="9"/>
        <v>0.85412667946258569</v>
      </c>
      <c r="AE28" s="2"/>
      <c r="AF28" s="2" t="s">
        <v>31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s="45" customFormat="1">
      <c r="A29" s="46">
        <v>2008</v>
      </c>
      <c r="B29" s="32">
        <v>293766.90000000002</v>
      </c>
      <c r="C29" s="32">
        <f t="shared" si="15"/>
        <v>6213.4</v>
      </c>
      <c r="D29" s="32">
        <v>847.1</v>
      </c>
      <c r="E29" s="32">
        <v>2316.6999999999998</v>
      </c>
      <c r="F29" s="48">
        <v>763</v>
      </c>
      <c r="G29" s="48">
        <v>457</v>
      </c>
      <c r="H29" s="43">
        <v>1097</v>
      </c>
      <c r="I29" s="32">
        <v>3049.6</v>
      </c>
      <c r="J29" s="32">
        <v>1949.4</v>
      </c>
      <c r="K29" s="32">
        <v>1100.2</v>
      </c>
      <c r="L29" s="32">
        <v>290579.90000000002</v>
      </c>
      <c r="M29" s="32">
        <v>6239</v>
      </c>
      <c r="N29" s="32">
        <v>864.6</v>
      </c>
      <c r="O29" s="43">
        <v>2445</v>
      </c>
      <c r="P29" s="48">
        <v>806</v>
      </c>
      <c r="Q29" s="48">
        <v>497</v>
      </c>
      <c r="R29" s="43">
        <v>1142</v>
      </c>
      <c r="S29" s="32">
        <v>2929.5</v>
      </c>
      <c r="T29" s="32">
        <v>1873.9</v>
      </c>
      <c r="U29" s="32">
        <v>1055.3</v>
      </c>
      <c r="X29" s="44">
        <f t="shared" si="3"/>
        <v>1.8404037168360698</v>
      </c>
      <c r="Y29" s="44">
        <f t="shared" si="4"/>
        <v>-4.7568161695111915</v>
      </c>
      <c r="Z29" s="44">
        <f t="shared" si="5"/>
        <v>-0.67777139574957124</v>
      </c>
      <c r="AA29" s="44">
        <f t="shared" si="6"/>
        <v>-4.6039797112758514</v>
      </c>
      <c r="AB29" s="44">
        <f t="shared" si="7"/>
        <v>-6.0214294880020507</v>
      </c>
      <c r="AC29" s="44">
        <f t="shared" si="8"/>
        <v>-9.3113294294149043</v>
      </c>
      <c r="AD29" s="44">
        <f t="shared" si="9"/>
        <v>0.41868874298218728</v>
      </c>
      <c r="AE29" s="44"/>
      <c r="AF29" s="44" t="s">
        <v>2</v>
      </c>
      <c r="AG29" s="44" t="s">
        <v>23</v>
      </c>
      <c r="AH29" s="44" t="s">
        <v>3</v>
      </c>
      <c r="AI29" s="44" t="s">
        <v>4</v>
      </c>
      <c r="AJ29" s="44" t="s">
        <v>5</v>
      </c>
      <c r="AK29" s="44" t="s">
        <v>6</v>
      </c>
      <c r="AL29" s="44" t="s">
        <v>7</v>
      </c>
      <c r="AM29" s="44"/>
      <c r="AN29" s="44"/>
      <c r="AO29" s="44"/>
      <c r="AP29" s="44"/>
      <c r="AQ29" s="44"/>
      <c r="AR29" s="44"/>
      <c r="AS29" s="44"/>
      <c r="AT29" s="44"/>
      <c r="AU29" s="44"/>
    </row>
    <row r="30" spans="1:47">
      <c r="A30" s="18">
        <v>2009</v>
      </c>
      <c r="B30" s="10">
        <v>296316.5</v>
      </c>
      <c r="C30" s="10">
        <f t="shared" si="15"/>
        <v>5249.7000000000007</v>
      </c>
      <c r="D30" s="10">
        <v>840.8</v>
      </c>
      <c r="E30" s="10">
        <v>1715.5</v>
      </c>
      <c r="F30" s="29">
        <v>479</v>
      </c>
      <c r="G30" s="29">
        <v>379</v>
      </c>
      <c r="H30" s="29">
        <v>858</v>
      </c>
      <c r="I30" s="10">
        <v>2693.4</v>
      </c>
      <c r="J30" s="10">
        <v>1697.5</v>
      </c>
      <c r="K30" s="10">
        <v>995.9</v>
      </c>
      <c r="L30" s="10">
        <v>288180</v>
      </c>
      <c r="M30" s="10">
        <v>5567.1</v>
      </c>
      <c r="N30" s="10">
        <v>790</v>
      </c>
      <c r="O30" s="27">
        <v>2132</v>
      </c>
      <c r="P30" s="29">
        <v>615</v>
      </c>
      <c r="Q30" s="29">
        <v>503</v>
      </c>
      <c r="R30" s="27">
        <v>1015</v>
      </c>
      <c r="S30" s="10">
        <v>2644.7</v>
      </c>
      <c r="T30" s="10">
        <v>1606.4</v>
      </c>
      <c r="U30" s="10">
        <v>1042.9000000000001</v>
      </c>
      <c r="X30" s="2">
        <f t="shared" si="3"/>
        <v>-0.82590020851408541</v>
      </c>
      <c r="Y30" s="2">
        <f t="shared" si="4"/>
        <v>-10.769354063151138</v>
      </c>
      <c r="Z30" s="2">
        <f t="shared" si="5"/>
        <v>-8.6282674068933645</v>
      </c>
      <c r="AA30" s="2">
        <f t="shared" si="6"/>
        <v>-12.801635991820037</v>
      </c>
      <c r="AB30" s="2">
        <f t="shared" si="7"/>
        <v>-9.7217955282471458</v>
      </c>
      <c r="AC30" s="2">
        <f t="shared" si="8"/>
        <v>-14.275041357596452</v>
      </c>
      <c r="AD30" s="2">
        <f t="shared" si="9"/>
        <v>-1.1750213209513749</v>
      </c>
      <c r="AE30" s="2">
        <v>1984</v>
      </c>
      <c r="AF30" s="2">
        <f t="shared" ref="AF30:AF34" si="26">(L5/$L$21)*100</f>
        <v>67.109727405819669</v>
      </c>
      <c r="AG30" s="2">
        <f t="shared" ref="AG30:AG34" si="27">(M5/$M$21)*100</f>
        <v>86.540457543009097</v>
      </c>
      <c r="AH30" s="2">
        <f t="shared" ref="AH30:AH34" si="28">(N5/$N$21)*100</f>
        <v>55.366990489287772</v>
      </c>
      <c r="AI30" s="2">
        <f t="shared" ref="AI30:AI34" si="29">(O5/$O$21)*100</f>
        <v>110.34746709486205</v>
      </c>
      <c r="AJ30" s="2">
        <f t="shared" ref="AJ30:AJ34" si="30">(S5/$S$21)*100</f>
        <v>77.508628314431704</v>
      </c>
      <c r="AK30" s="2">
        <f t="shared" ref="AK30:AK34" si="31">(T5/$T$21)*100</f>
        <v>83.374388170639662</v>
      </c>
      <c r="AL30" s="2">
        <f t="shared" ref="AL30:AL34" si="32">(U5/$U$21)*100</f>
        <v>67.598543259225394</v>
      </c>
      <c r="AM30" s="2"/>
      <c r="AN30" s="2"/>
      <c r="AO30" s="2"/>
      <c r="AP30" s="2"/>
      <c r="AQ30" s="2"/>
      <c r="AR30" s="2"/>
      <c r="AS30" s="2"/>
      <c r="AT30" s="2"/>
      <c r="AU30" s="2"/>
    </row>
    <row r="31" spans="1:47">
      <c r="A31" s="18">
        <v>2010</v>
      </c>
      <c r="B31" s="10">
        <v>309059</v>
      </c>
      <c r="C31" s="10">
        <f t="shared" si="15"/>
        <v>5459.3</v>
      </c>
      <c r="D31" s="10">
        <v>682.1</v>
      </c>
      <c r="E31" s="10">
        <v>1865.4</v>
      </c>
      <c r="F31" s="29">
        <v>605</v>
      </c>
      <c r="G31" s="29">
        <v>400</v>
      </c>
      <c r="H31" s="29">
        <v>861</v>
      </c>
      <c r="I31" s="10">
        <v>2911.8</v>
      </c>
      <c r="J31" s="10">
        <v>1899.4</v>
      </c>
      <c r="K31" s="10">
        <v>1012.4</v>
      </c>
      <c r="L31" s="10">
        <v>294089.59999999998</v>
      </c>
      <c r="M31" s="10">
        <v>5831.7</v>
      </c>
      <c r="N31" s="10">
        <v>871.2</v>
      </c>
      <c r="O31" s="27">
        <v>2220</v>
      </c>
      <c r="P31" s="29">
        <v>700</v>
      </c>
      <c r="Q31" s="29">
        <v>513</v>
      </c>
      <c r="R31" s="27">
        <v>1008</v>
      </c>
      <c r="S31" s="10">
        <v>2741</v>
      </c>
      <c r="T31" s="10">
        <v>1747.5</v>
      </c>
      <c r="U31" s="10">
        <v>991.8</v>
      </c>
      <c r="X31" s="2">
        <f t="shared" si="3"/>
        <v>2.0506627802068023</v>
      </c>
      <c r="Y31" s="2">
        <f t="shared" si="4"/>
        <v>4.7529234251225905</v>
      </c>
      <c r="Z31" s="2">
        <f t="shared" si="5"/>
        <v>10.278481012658226</v>
      </c>
      <c r="AA31" s="2">
        <f t="shared" si="6"/>
        <v>4.1275797373358403</v>
      </c>
      <c r="AB31" s="2">
        <f t="shared" si="7"/>
        <v>3.6412447536582571</v>
      </c>
      <c r="AC31" s="2">
        <f t="shared" si="8"/>
        <v>8.7836155378486112</v>
      </c>
      <c r="AD31" s="2">
        <f t="shared" si="9"/>
        <v>-4.8997986384121344</v>
      </c>
      <c r="AE31" s="2">
        <v>1985</v>
      </c>
      <c r="AF31" s="2">
        <f t="shared" si="26"/>
        <v>69.753530730759536</v>
      </c>
      <c r="AG31" s="2">
        <f t="shared" si="27"/>
        <v>83.90584071314359</v>
      </c>
      <c r="AH31" s="2">
        <f t="shared" si="28"/>
        <v>53.390670659519337</v>
      </c>
      <c r="AI31" s="2">
        <f t="shared" si="29"/>
        <v>106.54382863968496</v>
      </c>
      <c r="AJ31" s="2">
        <f t="shared" si="30"/>
        <v>75.540857973554452</v>
      </c>
      <c r="AK31" s="2">
        <f t="shared" si="31"/>
        <v>78.403723159209022</v>
      </c>
      <c r="AL31" s="2">
        <f t="shared" si="32"/>
        <v>71.933871520150689</v>
      </c>
      <c r="AM31" s="2"/>
      <c r="AN31" s="2"/>
      <c r="AO31" s="2"/>
      <c r="AP31" s="2"/>
      <c r="AQ31" s="2"/>
      <c r="AR31" s="2"/>
      <c r="AS31" s="2"/>
      <c r="AT31" s="2"/>
      <c r="AU31" s="2"/>
    </row>
    <row r="32" spans="1:47">
      <c r="A32" s="18">
        <v>2011</v>
      </c>
      <c r="B32" s="10">
        <v>322992.7</v>
      </c>
      <c r="C32" s="10">
        <f t="shared" si="15"/>
        <v>5300.2000000000007</v>
      </c>
      <c r="D32" s="10">
        <v>863.3</v>
      </c>
      <c r="E32" s="10">
        <v>1792.5</v>
      </c>
      <c r="F32" s="29">
        <v>512</v>
      </c>
      <c r="G32" s="29">
        <v>337</v>
      </c>
      <c r="H32" s="29">
        <v>943</v>
      </c>
      <c r="I32" s="10">
        <v>2644.4</v>
      </c>
      <c r="J32" s="10">
        <v>1734.9</v>
      </c>
      <c r="K32" s="10">
        <v>909.4</v>
      </c>
      <c r="L32" s="10">
        <v>300008.2</v>
      </c>
      <c r="M32" s="10">
        <v>5771.7000000000007</v>
      </c>
      <c r="N32" s="10">
        <v>900.9</v>
      </c>
      <c r="O32" s="27">
        <v>2228</v>
      </c>
      <c r="P32" s="29">
        <v>675</v>
      </c>
      <c r="Q32" s="29">
        <v>513</v>
      </c>
      <c r="R32" s="27">
        <v>1039</v>
      </c>
      <c r="S32" s="10">
        <v>2642.5</v>
      </c>
      <c r="T32" s="10">
        <v>1726.6</v>
      </c>
      <c r="U32" s="10">
        <v>912.8</v>
      </c>
      <c r="X32" s="2">
        <f t="shared" si="3"/>
        <v>2.0125159135175208</v>
      </c>
      <c r="Y32" s="2">
        <f t="shared" si="4"/>
        <v>-1.0288595092340036</v>
      </c>
      <c r="Z32" s="2">
        <f t="shared" si="5"/>
        <v>3.409090909090895</v>
      </c>
      <c r="AA32" s="2">
        <f t="shared" si="6"/>
        <v>0.36036036036035668</v>
      </c>
      <c r="AB32" s="2">
        <f t="shared" si="7"/>
        <v>-3.5935789857716172</v>
      </c>
      <c r="AC32" s="2">
        <f t="shared" si="8"/>
        <v>-1.1959942775393473</v>
      </c>
      <c r="AD32" s="2">
        <f t="shared" si="9"/>
        <v>-7.9653155878201209</v>
      </c>
      <c r="AE32" s="2">
        <v>1986</v>
      </c>
      <c r="AF32" s="2">
        <f t="shared" si="26"/>
        <v>71.839108450347112</v>
      </c>
      <c r="AG32" s="2">
        <f t="shared" si="27"/>
        <v>83.974238288308584</v>
      </c>
      <c r="AH32" s="2">
        <f t="shared" si="28"/>
        <v>55.286126442960317</v>
      </c>
      <c r="AI32" s="2">
        <f t="shared" si="29"/>
        <v>105.72652814332922</v>
      </c>
      <c r="AJ32" s="2">
        <f t="shared" si="30"/>
        <v>75.774171747504766</v>
      </c>
      <c r="AK32" s="2">
        <f t="shared" si="31"/>
        <v>82.550311897508507</v>
      </c>
      <c r="AL32" s="2">
        <f t="shared" si="32"/>
        <v>63.877177671090088</v>
      </c>
      <c r="AM32" s="2"/>
      <c r="AN32" s="2"/>
      <c r="AO32" s="2"/>
      <c r="AP32" s="2"/>
      <c r="AQ32" s="2"/>
      <c r="AR32" s="2"/>
      <c r="AS32" s="2"/>
      <c r="AT32" s="2"/>
      <c r="AU32" s="2"/>
    </row>
    <row r="33" spans="1:47">
      <c r="A33" s="18">
        <v>2012</v>
      </c>
      <c r="B33" s="10" t="s">
        <v>10</v>
      </c>
      <c r="C33" s="10" t="s">
        <v>10</v>
      </c>
      <c r="D33" s="10" t="s">
        <v>10</v>
      </c>
      <c r="E33" s="10" t="s">
        <v>10</v>
      </c>
      <c r="F33" s="29" t="s">
        <v>10</v>
      </c>
      <c r="G33" s="29" t="s">
        <v>10</v>
      </c>
      <c r="H33" s="29" t="s">
        <v>10</v>
      </c>
      <c r="I33" s="10" t="s">
        <v>10</v>
      </c>
      <c r="J33" s="10" t="s">
        <v>10</v>
      </c>
      <c r="K33" s="10" t="s">
        <v>10</v>
      </c>
      <c r="L33" s="10">
        <v>304041</v>
      </c>
      <c r="M33" s="10">
        <v>5624.6</v>
      </c>
      <c r="N33" s="10">
        <v>901.6</v>
      </c>
      <c r="O33" s="27">
        <v>2258</v>
      </c>
      <c r="P33" s="29">
        <v>700</v>
      </c>
      <c r="Q33" s="29">
        <v>481</v>
      </c>
      <c r="R33" s="27">
        <v>1069</v>
      </c>
      <c r="S33" s="10">
        <v>2464.6</v>
      </c>
      <c r="T33" s="10">
        <v>1629.5</v>
      </c>
      <c r="U33" s="10">
        <v>832.1</v>
      </c>
      <c r="X33" s="2">
        <f t="shared" si="3"/>
        <v>1.3442299243820566</v>
      </c>
      <c r="Y33" s="2">
        <f t="shared" si="4"/>
        <v>-2.5486425143372071</v>
      </c>
      <c r="Z33" s="2">
        <f t="shared" si="5"/>
        <v>7.7700077700093573E-2</v>
      </c>
      <c r="AA33" s="2">
        <f t="shared" si="6"/>
        <v>1.3464991023339312</v>
      </c>
      <c r="AB33" s="2">
        <f t="shared" si="7"/>
        <v>-6.7322611163670771</v>
      </c>
      <c r="AC33" s="2">
        <f t="shared" si="8"/>
        <v>-5.6237692575002889</v>
      </c>
      <c r="AD33" s="2">
        <f t="shared" si="9"/>
        <v>-8.8409290096406643</v>
      </c>
      <c r="AE33" s="2">
        <v>1987</v>
      </c>
      <c r="AF33" s="2">
        <f t="shared" si="26"/>
        <v>75.193922229765562</v>
      </c>
      <c r="AG33" s="2">
        <f t="shared" si="27"/>
        <v>79.618976415398734</v>
      </c>
      <c r="AH33" s="2">
        <f t="shared" si="28"/>
        <v>45.060142062887074</v>
      </c>
      <c r="AI33" s="2">
        <f t="shared" si="29"/>
        <v>98.962668682920835</v>
      </c>
      <c r="AJ33" s="2">
        <f t="shared" si="30"/>
        <v>74.643700872468671</v>
      </c>
      <c r="AK33" s="2">
        <f t="shared" si="31"/>
        <v>79.717003721690119</v>
      </c>
      <c r="AL33" s="2">
        <f t="shared" si="32"/>
        <v>66.32049851178499</v>
      </c>
      <c r="AM33" s="2"/>
      <c r="AN33" s="2"/>
      <c r="AO33" s="2"/>
      <c r="AP33" s="2"/>
      <c r="AQ33" s="2"/>
      <c r="AR33" s="2"/>
      <c r="AS33" s="2"/>
      <c r="AT33" s="2"/>
      <c r="AU33" s="2"/>
    </row>
    <row r="34" spans="1:47">
      <c r="A34" s="18">
        <v>2013</v>
      </c>
      <c r="B34" s="10" t="s">
        <v>10</v>
      </c>
      <c r="C34" s="10" t="s">
        <v>10</v>
      </c>
      <c r="D34" s="10" t="s">
        <v>10</v>
      </c>
      <c r="E34" s="10" t="s">
        <v>10</v>
      </c>
      <c r="F34" s="29" t="s">
        <v>10</v>
      </c>
      <c r="G34" s="29" t="s">
        <v>10</v>
      </c>
      <c r="H34" s="29" t="s">
        <v>10</v>
      </c>
      <c r="I34" s="10" t="s">
        <v>10</v>
      </c>
      <c r="J34" s="10" t="s">
        <v>10</v>
      </c>
      <c r="K34" s="10" t="s">
        <v>10</v>
      </c>
      <c r="L34" s="10">
        <v>307382.90000000002</v>
      </c>
      <c r="M34" s="10">
        <v>5809.1</v>
      </c>
      <c r="N34" s="10">
        <v>917.1</v>
      </c>
      <c r="O34" s="27">
        <v>2436</v>
      </c>
      <c r="P34" s="29">
        <v>752</v>
      </c>
      <c r="Q34" s="29">
        <v>539</v>
      </c>
      <c r="R34" s="27">
        <v>1141</v>
      </c>
      <c r="S34" s="10">
        <v>2455.8000000000002</v>
      </c>
      <c r="T34" s="10">
        <v>1629.1</v>
      </c>
      <c r="U34" s="10">
        <v>823.7</v>
      </c>
      <c r="X34" s="2">
        <f t="shared" si="3"/>
        <v>1.0991609684220194</v>
      </c>
      <c r="Y34" s="2">
        <f t="shared" si="4"/>
        <v>3.2802332610319063</v>
      </c>
      <c r="Z34" s="2">
        <f t="shared" si="5"/>
        <v>1.7191659272404625</v>
      </c>
      <c r="AA34" s="2">
        <f t="shared" si="6"/>
        <v>7.8830823737821021</v>
      </c>
      <c r="AB34" s="2">
        <f t="shared" si="7"/>
        <v>-0.35705591170980266</v>
      </c>
      <c r="AC34" s="2">
        <f t="shared" si="8"/>
        <v>-2.454740718011994E-2</v>
      </c>
      <c r="AD34" s="2">
        <f t="shared" si="9"/>
        <v>-1.0094940511957695</v>
      </c>
      <c r="AE34" s="2">
        <v>1988</v>
      </c>
      <c r="AF34" s="2">
        <f t="shared" si="26"/>
        <v>78.366367089206761</v>
      </c>
      <c r="AG34" s="2">
        <f t="shared" si="27"/>
        <v>76.203878220529759</v>
      </c>
      <c r="AH34" s="2">
        <f t="shared" si="28"/>
        <v>43.777405165802847</v>
      </c>
      <c r="AI34" s="2">
        <f t="shared" si="29"/>
        <v>88.484697342077979</v>
      </c>
      <c r="AJ34" s="2">
        <f t="shared" si="30"/>
        <v>75.729235859188236</v>
      </c>
      <c r="AK34" s="2">
        <f t="shared" si="31"/>
        <v>80.054787635765081</v>
      </c>
      <c r="AL34" s="2">
        <f t="shared" si="32"/>
        <v>69.026946212247026</v>
      </c>
      <c r="AM34" s="2"/>
      <c r="AN34" s="2"/>
      <c r="AO34" s="2"/>
      <c r="AP34" s="2"/>
      <c r="AQ34" s="2"/>
      <c r="AR34" s="2"/>
      <c r="AS34" s="2"/>
      <c r="AT34" s="2"/>
      <c r="AU34" s="2"/>
    </row>
    <row r="35" spans="1:47" s="5" customFormat="1">
      <c r="A35" s="21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</row>
    <row r="36" spans="1:47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X36" s="2"/>
      <c r="Y36" s="2"/>
      <c r="Z36" s="2"/>
      <c r="AA36" s="2"/>
      <c r="AB36" s="2"/>
      <c r="AC36" s="2"/>
      <c r="AD36" s="2"/>
      <c r="AE36" s="2">
        <v>1989</v>
      </c>
      <c r="AF36" s="2">
        <f t="shared" ref="AF36" si="33">(L10/$L$21)*100</f>
        <v>79.615698430226828</v>
      </c>
      <c r="AG36" s="2">
        <f>(M10/$M$21)*100</f>
        <v>77.869235716661535</v>
      </c>
      <c r="AH36" s="2">
        <f t="shared" ref="AH36" si="34">(N10/$N$21)*100</f>
        <v>43.170612463267808</v>
      </c>
      <c r="AI36" s="2">
        <f>(O10/$O$21)*100</f>
        <v>98.314605834737037</v>
      </c>
      <c r="AJ36" s="2">
        <f>(S10/$S$21)*100</f>
        <v>72.142696306202765</v>
      </c>
      <c r="AK36" s="2">
        <f t="shared" ref="AK36" si="35">(T10/$T$21)*100</f>
        <v>73.610685895697131</v>
      </c>
      <c r="AL36" s="2">
        <f>(U10/$U$21)*100</f>
        <v>71.382558099686207</v>
      </c>
      <c r="AM36" s="2"/>
      <c r="AN36" s="2"/>
      <c r="AO36" s="2"/>
      <c r="AP36" s="2"/>
      <c r="AQ36" s="2"/>
      <c r="AR36" s="2"/>
      <c r="AS36" s="2"/>
      <c r="AT36" s="2"/>
      <c r="AU36" s="2"/>
    </row>
    <row r="37" spans="1:47" ht="30" customHeight="1">
      <c r="A37" s="21" t="s">
        <v>29</v>
      </c>
      <c r="B37" s="7">
        <f>((B21/B5)^(1/16)-1)*100</f>
        <v>5.2653062254551353</v>
      </c>
      <c r="C37" s="7">
        <f t="shared" ref="C37:K37" si="36">((C21/C5)^(1/16)-1)*100</f>
        <v>6.4592665138088812</v>
      </c>
      <c r="D37" s="7">
        <f t="shared" si="36"/>
        <v>5.7204834272919225</v>
      </c>
      <c r="E37" s="7">
        <f t="shared" si="36"/>
        <v>9.0194933979142355</v>
      </c>
      <c r="F37" s="7" t="s">
        <v>10</v>
      </c>
      <c r="G37" s="7" t="s">
        <v>10</v>
      </c>
      <c r="H37" s="7" t="s">
        <v>10</v>
      </c>
      <c r="I37" s="7">
        <f t="shared" si="36"/>
        <v>5.3548667245187698</v>
      </c>
      <c r="J37" s="7">
        <f t="shared" si="36"/>
        <v>4.8483911826863846</v>
      </c>
      <c r="K37" s="7">
        <f t="shared" si="36"/>
        <v>7.6611198694965577</v>
      </c>
      <c r="L37" s="11">
        <v>2.5240863723126283</v>
      </c>
      <c r="M37" s="11">
        <v>0.90758230307728116</v>
      </c>
      <c r="N37" s="11">
        <v>3.7640269067226173</v>
      </c>
      <c r="O37" s="11">
        <v>-0.61402405409158867</v>
      </c>
      <c r="P37" s="7" t="s">
        <v>10</v>
      </c>
      <c r="Q37" s="7" t="s">
        <v>10</v>
      </c>
      <c r="R37" s="7" t="s">
        <v>10</v>
      </c>
      <c r="S37" s="11">
        <v>1.6051267144392867</v>
      </c>
      <c r="T37" s="11">
        <v>1.1429132876353831</v>
      </c>
      <c r="U37" s="11">
        <v>2.4775930740042584</v>
      </c>
      <c r="X37" s="2"/>
      <c r="Y37" s="2"/>
      <c r="Z37" s="2"/>
      <c r="AA37" s="2"/>
      <c r="AB37" s="2"/>
      <c r="AC37" s="2"/>
      <c r="AD37" s="2"/>
      <c r="AE37" s="2">
        <v>1991</v>
      </c>
      <c r="AF37" s="2">
        <f>(L12/$L$21)*100</f>
        <v>77.959189013383821</v>
      </c>
      <c r="AG37" s="2">
        <f>(M12/$M$21)*100</f>
        <v>86.688282033852005</v>
      </c>
      <c r="AH37" s="2">
        <f>(N12/$N$21)*100</f>
        <v>60.306594542743838</v>
      </c>
      <c r="AI37" s="2">
        <f>(O12/$O$21)*100</f>
        <v>108.77698949356372</v>
      </c>
      <c r="AJ37" s="2">
        <f>(S12/$S$21)*100</f>
        <v>77.656981615588279</v>
      </c>
      <c r="AK37" s="2">
        <f>(T12/$T$21)*100</f>
        <v>79.009404660308974</v>
      </c>
      <c r="AL37" s="2">
        <f>(U12/$U$21)*100</f>
        <v>77.32170722014456</v>
      </c>
      <c r="AM37" s="2"/>
      <c r="AN37" s="2"/>
      <c r="AO37" s="2"/>
      <c r="AP37" s="2"/>
      <c r="AQ37" s="2"/>
      <c r="AR37" s="2"/>
      <c r="AS37" s="2"/>
      <c r="AT37" s="2"/>
      <c r="AU37" s="2"/>
    </row>
    <row r="38" spans="1:47" ht="30" customHeight="1">
      <c r="A38" s="325" t="s">
        <v>68</v>
      </c>
      <c r="B38" s="7">
        <f>((B28/B21)^(1/7)-1)*100</f>
        <v>4.5261604444237324</v>
      </c>
      <c r="C38" s="7">
        <f t="shared" ref="C38:U38" si="37">((C28/C21)^(1/7)-1)*100</f>
        <v>-4.8775781273064256</v>
      </c>
      <c r="D38" s="7">
        <f t="shared" si="37"/>
        <v>-4.3104865274945841</v>
      </c>
      <c r="E38" s="7">
        <f t="shared" si="37"/>
        <v>-3.288051288540994</v>
      </c>
      <c r="F38" s="7" t="s">
        <v>10</v>
      </c>
      <c r="G38" s="7" t="s">
        <v>10</v>
      </c>
      <c r="H38" s="7" t="s">
        <v>10</v>
      </c>
      <c r="I38" s="7">
        <f t="shared" si="37"/>
        <v>-6.1814278523601773</v>
      </c>
      <c r="J38" s="7">
        <f t="shared" si="37"/>
        <v>-8.4223074726016538</v>
      </c>
      <c r="K38" s="7">
        <f t="shared" si="37"/>
        <v>5.1763415179073569E-2</v>
      </c>
      <c r="L38" s="7">
        <f t="shared" si="37"/>
        <v>1.8057620553368237</v>
      </c>
      <c r="M38" s="7">
        <f t="shared" si="37"/>
        <v>-0.2547220932956118</v>
      </c>
      <c r="N38" s="7">
        <f t="shared" si="37"/>
        <v>6.2517577924459111E-2</v>
      </c>
      <c r="O38" s="7">
        <f t="shared" si="37"/>
        <v>0.83543753789112607</v>
      </c>
      <c r="P38" s="7">
        <f t="shared" si="37"/>
        <v>-1.1357645246177328</v>
      </c>
      <c r="Q38" s="7">
        <f t="shared" si="37"/>
        <v>3.9773174916057918</v>
      </c>
      <c r="R38" s="7">
        <f t="shared" si="37"/>
        <v>0.9713658599822983</v>
      </c>
      <c r="S38" s="7">
        <f t="shared" si="37"/>
        <v>-1.1667518838158975</v>
      </c>
      <c r="T38" s="7">
        <f t="shared" si="37"/>
        <v>-1.370128127303949</v>
      </c>
      <c r="U38" s="7">
        <f t="shared" si="37"/>
        <v>-0.30084760981717862</v>
      </c>
      <c r="X38" s="2"/>
      <c r="Y38" s="2"/>
      <c r="Z38" s="2"/>
      <c r="AA38" s="2"/>
      <c r="AB38" s="2"/>
      <c r="AC38" s="2"/>
      <c r="AD38" s="2"/>
      <c r="AE38" s="2">
        <v>1992</v>
      </c>
      <c r="AF38" s="2">
        <f>(L13/$L$21)*100</f>
        <v>78.503466424257724</v>
      </c>
      <c r="AG38" s="2"/>
      <c r="AH38" s="2">
        <f>(N13/$N$21)*100</f>
        <v>63.179074524173785</v>
      </c>
      <c r="AI38" s="2">
        <f>(O13/$O$21)*100</f>
        <v>107.2642704511041</v>
      </c>
      <c r="AJ38" s="2"/>
      <c r="AK38" s="2">
        <f>(T13/$T$21)*100</f>
        <v>80.130497823402564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30" customHeight="1">
      <c r="A39" s="63" t="s">
        <v>69</v>
      </c>
      <c r="B39" s="7" t="s">
        <v>10</v>
      </c>
      <c r="C39" s="7" t="s">
        <v>10</v>
      </c>
      <c r="D39" s="7" t="s">
        <v>10</v>
      </c>
      <c r="E39" s="7" t="s">
        <v>10</v>
      </c>
      <c r="F39" s="7" t="s">
        <v>10</v>
      </c>
      <c r="G39" s="7" t="s">
        <v>10</v>
      </c>
      <c r="H39" s="7" t="s">
        <v>10</v>
      </c>
      <c r="I39" s="7" t="s">
        <v>10</v>
      </c>
      <c r="J39" s="7" t="s">
        <v>10</v>
      </c>
      <c r="K39" s="7" t="s">
        <v>10</v>
      </c>
      <c r="L39" s="11">
        <f>((L34/L28)^(1/6)-1)*100</f>
        <v>1.2486033113679129</v>
      </c>
      <c r="M39" s="11">
        <f t="shared" ref="M39:U39" si="38">((M34/M28)^(1/6)-1)*100</f>
        <v>-1.9822726643278776</v>
      </c>
      <c r="N39" s="11">
        <f t="shared" si="38"/>
        <v>0.87293401279902039</v>
      </c>
      <c r="O39" s="11">
        <f t="shared" si="38"/>
        <v>-0.84344119897061809</v>
      </c>
      <c r="P39" s="11">
        <f t="shared" si="38"/>
        <v>-3.1816128106715524</v>
      </c>
      <c r="Q39" s="11">
        <f t="shared" si="38"/>
        <v>0.63218470101829016</v>
      </c>
      <c r="R39" s="11">
        <f t="shared" si="38"/>
        <v>0.14682224090030171</v>
      </c>
      <c r="S39" s="11">
        <f t="shared" si="38"/>
        <v>-3.8967544747670391</v>
      </c>
      <c r="T39" s="11">
        <f t="shared" si="38"/>
        <v>-3.8847290273695045</v>
      </c>
      <c r="U39" s="11">
        <f t="shared" si="38"/>
        <v>-3.9786194723289148</v>
      </c>
      <c r="X39" s="2"/>
      <c r="Y39" s="2"/>
      <c r="Z39" s="2"/>
      <c r="AA39" s="2"/>
      <c r="AB39" s="2"/>
      <c r="AC39" s="2"/>
      <c r="AD39" s="2"/>
      <c r="AE39" s="2">
        <v>1993</v>
      </c>
      <c r="AF39" s="2">
        <f>(L14/$L$21)*100</f>
        <v>80.387564708301539</v>
      </c>
      <c r="AG39" s="2"/>
      <c r="AH39" s="2">
        <f>(N14/$N$21)*100</f>
        <v>66.770937784096276</v>
      </c>
      <c r="AI39" s="2">
        <f>(O14/$O$21)*100</f>
        <v>99.755262434237537</v>
      </c>
      <c r="AJ39" s="2"/>
      <c r="AK39" s="2">
        <f>(T14/$T$21)*100</f>
        <v>87.852936962426625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s="259" customFormat="1" ht="30" customHeight="1">
      <c r="A40" s="325" t="s">
        <v>15</v>
      </c>
      <c r="B40" s="7" t="s">
        <v>10</v>
      </c>
      <c r="C40" s="7" t="s">
        <v>10</v>
      </c>
      <c r="D40" s="7" t="s">
        <v>10</v>
      </c>
      <c r="E40" s="7" t="s">
        <v>10</v>
      </c>
      <c r="F40" s="7" t="s">
        <v>10</v>
      </c>
      <c r="G40" s="7" t="s">
        <v>10</v>
      </c>
      <c r="H40" s="7" t="s">
        <v>10</v>
      </c>
      <c r="I40" s="7" t="s">
        <v>10</v>
      </c>
      <c r="J40" s="7" t="s">
        <v>10</v>
      </c>
      <c r="K40" s="7" t="s">
        <v>10</v>
      </c>
      <c r="L40" s="7">
        <f t="shared" ref="L40:U40" si="39">((L34/L21)^(1/13)-1)*100</f>
        <v>1.5482319043684134</v>
      </c>
      <c r="M40" s="7">
        <f t="shared" si="39"/>
        <v>-1.0558044506406739</v>
      </c>
      <c r="N40" s="7">
        <f t="shared" si="39"/>
        <v>0.4357437018724708</v>
      </c>
      <c r="O40" s="7">
        <f t="shared" si="39"/>
        <v>5.706702822898535E-2</v>
      </c>
      <c r="P40" s="7">
        <f t="shared" si="39"/>
        <v>-2.0853194254902063</v>
      </c>
      <c r="Q40" s="7">
        <f t="shared" si="39"/>
        <v>2.4198120626695685</v>
      </c>
      <c r="R40" s="7">
        <f t="shared" si="39"/>
        <v>0.58996706015261857</v>
      </c>
      <c r="S40" s="7">
        <f t="shared" si="39"/>
        <v>-2.4362585327697306</v>
      </c>
      <c r="T40" s="7">
        <f t="shared" si="39"/>
        <v>-2.5387854339564808</v>
      </c>
      <c r="U40" s="7">
        <f t="shared" si="39"/>
        <v>-2.015465534661165</v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>
      <c r="X41" s="2"/>
      <c r="Y41" s="2"/>
      <c r="Z41" s="2"/>
      <c r="AA41" s="2"/>
      <c r="AB41" s="2"/>
      <c r="AC41" s="2"/>
      <c r="AD41" s="2"/>
      <c r="AE41" s="2">
        <v>1995</v>
      </c>
      <c r="AF41" s="2">
        <f>(L16/$L$21)*100</f>
        <v>84.006401428754046</v>
      </c>
      <c r="AG41" s="2"/>
      <c r="AH41" s="2">
        <f>(N16/$N$21)*100</f>
        <v>61.899598926891777</v>
      </c>
      <c r="AI41" s="2">
        <f t="shared" ref="AI41:AI45" si="40">(O16/$O$21)*100</f>
        <v>108.74483550243916</v>
      </c>
      <c r="AJ41" s="2"/>
      <c r="AK41" s="2">
        <f>(T16/$T$21)*100</f>
        <v>93.799098622263372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s="30" customFormat="1">
      <c r="A42" s="30" t="s">
        <v>39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84.324777654321323</v>
      </c>
      <c r="AG42" s="24"/>
      <c r="AH42" s="24">
        <f>(N17/$N$21)*100</f>
        <v>62.30714250047982</v>
      </c>
      <c r="AI42" s="24">
        <f t="shared" si="40"/>
        <v>95.201598568646432</v>
      </c>
      <c r="AJ42" s="24"/>
      <c r="AK42" s="24">
        <f>(T17/$T$21)*100</f>
        <v>81.935894605527338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30" customFormat="1" ht="15" customHeight="1">
      <c r="A43" s="30" t="s">
        <v>9</v>
      </c>
      <c r="B43" s="28" t="s">
        <v>42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86.924403423795837</v>
      </c>
      <c r="AG43" s="24">
        <f t="shared" ref="AG43:AG45" si="41">(M18/$M$21)*100</f>
        <v>84.40283620129901</v>
      </c>
      <c r="AH43" s="24">
        <f>(N18/$N$21)*100</f>
        <v>61.659166955117108</v>
      </c>
      <c r="AI43" s="24">
        <f t="shared" si="40"/>
        <v>82.754342431761785</v>
      </c>
      <c r="AJ43" s="24">
        <f t="shared" ref="AJ43:AJ45" si="42">(S18/$S$21)*100</f>
        <v>91.400594985958634</v>
      </c>
      <c r="AK43" s="24">
        <f>(T18/$T$21)*100</f>
        <v>92.54405666565728</v>
      </c>
      <c r="AL43" s="24">
        <f t="shared" ref="AL43:AL45" si="43">(U18/$U$21)*100</f>
        <v>91.956572563383716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30" customFormat="1">
      <c r="A44" s="30" t="s">
        <v>10</v>
      </c>
      <c r="B44" s="28" t="s">
        <v>43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89.824547743773849</v>
      </c>
      <c r="AG44" s="24">
        <f t="shared" si="41"/>
        <v>89.605014545781714</v>
      </c>
      <c r="AH44" s="24">
        <f>(N19/$N$21)*100</f>
        <v>70.820353063343717</v>
      </c>
      <c r="AI44" s="24">
        <f t="shared" si="40"/>
        <v>89.164598842018194</v>
      </c>
      <c r="AJ44" s="24">
        <f t="shared" si="42"/>
        <v>94.73419816199285</v>
      </c>
      <c r="AK44" s="24">
        <f>(T19/$T$21)*100</f>
        <v>90.126548905879247</v>
      </c>
      <c r="AL44" s="24">
        <f t="shared" si="43"/>
        <v>113.14637100531073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30" customFormat="1">
      <c r="A45" s="30" t="s">
        <v>40</v>
      </c>
      <c r="X45" s="24"/>
      <c r="Y45" s="24"/>
      <c r="Z45" s="24"/>
      <c r="AA45" s="24"/>
      <c r="AB45" s="24"/>
      <c r="AC45" s="24"/>
      <c r="AD45" s="24"/>
      <c r="AE45" s="24">
        <v>1999</v>
      </c>
      <c r="AF45" s="24">
        <f>(L20/$L$21)*100</f>
        <v>95.553887999275418</v>
      </c>
      <c r="AG45" s="24">
        <f t="shared" si="41"/>
        <v>93.566865608973387</v>
      </c>
      <c r="AH45" s="24">
        <f>(N20/$N$21)*100</f>
        <v>78.770047305872851</v>
      </c>
      <c r="AI45" s="24">
        <f t="shared" si="40"/>
        <v>92.762613730355667</v>
      </c>
      <c r="AJ45" s="24">
        <f t="shared" si="42"/>
        <v>97.934458201589777</v>
      </c>
      <c r="AK45" s="24">
        <f>(T20/$T$21)*100</f>
        <v>91.620529044731512</v>
      </c>
      <c r="AL45" s="24">
        <f t="shared" si="43"/>
        <v>123.05972235162584</v>
      </c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30" customFormat="1" ht="15" customHeight="1">
      <c r="A46" s="28" t="s">
        <v>44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X46" s="24"/>
      <c r="Y46" s="24"/>
      <c r="Z46" s="24"/>
      <c r="AA46" s="24"/>
      <c r="AB46" s="24"/>
      <c r="AC46" s="24"/>
      <c r="AD46" s="24"/>
      <c r="AE46" s="24">
        <v>2001</v>
      </c>
      <c r="AF46" s="24">
        <f>(L22/$L$21)*100</f>
        <v>101.43847253610284</v>
      </c>
      <c r="AG46" s="24">
        <f>(M22/$M$21)*100</f>
        <v>103.00662807785743</v>
      </c>
      <c r="AH46" s="24">
        <f>(N22/$N$21)*100</f>
        <v>103.0691127264336</v>
      </c>
      <c r="AI46" s="24">
        <f>(O22/$O$21)*100</f>
        <v>108.06451612903226</v>
      </c>
      <c r="AJ46" s="24">
        <f>(S22/$S$21)*100</f>
        <v>99.373540971011494</v>
      </c>
      <c r="AK46" s="24">
        <f>(T22/$T$21)*100</f>
        <v>98.554354512698822</v>
      </c>
      <c r="AL46" s="24">
        <f>(U22/$U$21)*100</f>
        <v>102.61809372961895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116" customFormat="1" ht="15" customHeight="1">
      <c r="A47" s="49" t="s">
        <v>144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 s="30" customFormat="1">
      <c r="A48" s="30" t="s">
        <v>41</v>
      </c>
      <c r="X48" s="24"/>
      <c r="Y48" s="24"/>
      <c r="Z48" s="24"/>
      <c r="AA48" s="24"/>
      <c r="AB48" s="24"/>
      <c r="AC48" s="24"/>
      <c r="AD48" s="24"/>
      <c r="AE48" s="24">
        <v>2003</v>
      </c>
      <c r="AF48" s="24">
        <f t="shared" ref="AF48:AF58" si="44">(L24/$L$21)*100</f>
        <v>105.27639877759034</v>
      </c>
      <c r="AG48" s="24">
        <f>(M24/$M$21)*100</f>
        <v>104.49719581321418</v>
      </c>
      <c r="AH48" s="24">
        <f t="shared" ref="AH48:AH58" si="45">(N24/$N$21)*100</f>
        <v>97.646244375216327</v>
      </c>
      <c r="AI48" s="24">
        <f>(O24/$O$21)*100</f>
        <v>114.55748552522746</v>
      </c>
      <c r="AJ48" s="24">
        <f>(S24/$S$21)*100</f>
        <v>99.066221447356767</v>
      </c>
      <c r="AK48" s="24">
        <f t="shared" ref="AK48:AK58" si="46">(T24/$T$21)*100</f>
        <v>96.541875384480164</v>
      </c>
      <c r="AL48" s="24">
        <f>(U24/$U$21)*100</f>
        <v>108.32013416565731</v>
      </c>
      <c r="AM48" s="24"/>
      <c r="AN48" s="24"/>
      <c r="AO48" s="24"/>
      <c r="AP48" s="24"/>
      <c r="AQ48" s="24"/>
      <c r="AR48" s="24"/>
      <c r="AS48" s="24"/>
      <c r="AT48" s="24"/>
      <c r="AU48" s="24"/>
    </row>
    <row r="49" spans="1:47" s="30" customFormat="1" ht="15" customHeight="1">
      <c r="A49" s="28" t="s">
        <v>47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X49" s="24"/>
      <c r="Y49" s="24"/>
      <c r="Z49" s="24"/>
      <c r="AA49" s="24"/>
      <c r="AB49" s="24"/>
      <c r="AC49" s="24"/>
      <c r="AD49" s="24"/>
      <c r="AE49" s="24">
        <v>2004</v>
      </c>
      <c r="AF49" s="24">
        <f t="shared" si="44"/>
        <v>107.61539142970528</v>
      </c>
      <c r="AG49" s="24">
        <f>(M25/$M$21)*100</f>
        <v>100.25192694118705</v>
      </c>
      <c r="AH49" s="24">
        <f t="shared" si="45"/>
        <v>111.19187723549094</v>
      </c>
      <c r="AI49" s="24">
        <f>(O25/$O$21)*100</f>
        <v>107.27874276261373</v>
      </c>
      <c r="AJ49" s="24">
        <f>(S25/$S$21)*100</f>
        <v>92.417481752903285</v>
      </c>
      <c r="AK49" s="24">
        <f t="shared" si="46"/>
        <v>85.956586694788641</v>
      </c>
      <c r="AL49" s="24">
        <f>(U25/$U$21)*100</f>
        <v>111.64632442001306</v>
      </c>
      <c r="AM49" s="24"/>
      <c r="AN49" s="24"/>
      <c r="AO49" s="24"/>
      <c r="AP49" s="24"/>
      <c r="AQ49" s="24"/>
      <c r="AR49" s="24"/>
      <c r="AS49" s="24"/>
      <c r="AT49" s="24"/>
      <c r="AU49" s="24"/>
    </row>
    <row r="50" spans="1:47" ht="15" customHeight="1">
      <c r="A50" s="28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X50" s="2"/>
      <c r="Y50" s="2"/>
      <c r="Z50" s="2"/>
      <c r="AA50" s="2"/>
      <c r="AB50" s="2"/>
      <c r="AC50" s="2"/>
      <c r="AD50" s="2"/>
      <c r="AE50" s="2">
        <v>2005</v>
      </c>
      <c r="AF50" s="2">
        <f t="shared" si="44"/>
        <v>109.41655083594755</v>
      </c>
      <c r="AG50" s="2">
        <f t="shared" ref="AG50:AG58" si="47">(M26/$M$21)*100</f>
        <v>108.18162732807485</v>
      </c>
      <c r="AH50" s="2">
        <f t="shared" si="45"/>
        <v>119.96077073958693</v>
      </c>
      <c r="AI50" s="2">
        <f t="shared" ref="AI50:AI58" si="48">(O26/$O$21)*100</f>
        <v>118.19685690653432</v>
      </c>
      <c r="AJ50" s="2">
        <f t="shared" ref="AJ50:AJ58" si="49">(S26/$S$21)*100</f>
        <v>98.008333087083713</v>
      </c>
      <c r="AK50" s="2">
        <f t="shared" si="46"/>
        <v>96.69566745759731</v>
      </c>
      <c r="AL50" s="2">
        <f t="shared" ref="AL50:AL58" si="50">(U26/$U$21)*100</f>
        <v>104.09950619584458</v>
      </c>
      <c r="AM50" s="2"/>
      <c r="AN50" s="2"/>
      <c r="AO50" s="2"/>
      <c r="AP50" s="2"/>
      <c r="AQ50" s="2"/>
      <c r="AR50" s="2"/>
      <c r="AS50" s="2"/>
      <c r="AT50" s="2"/>
      <c r="AU50" s="2"/>
    </row>
    <row r="51" spans="1:47">
      <c r="A51" s="35" t="s">
        <v>48</v>
      </c>
      <c r="X51" s="2"/>
      <c r="Y51" s="2"/>
      <c r="Z51" s="2"/>
      <c r="AA51" s="2"/>
      <c r="AB51" s="2"/>
      <c r="AC51" s="2"/>
      <c r="AD51" s="2"/>
      <c r="AE51" s="2">
        <v>2006</v>
      </c>
      <c r="AF51" s="2">
        <f t="shared" si="44"/>
        <v>111.17309935991526</v>
      </c>
      <c r="AG51" s="2">
        <f t="shared" si="47"/>
        <v>104.94556578592208</v>
      </c>
      <c r="AH51" s="2">
        <f t="shared" si="45"/>
        <v>112.99180800738434</v>
      </c>
      <c r="AI51" s="2">
        <f t="shared" si="48"/>
        <v>118.11414392059554</v>
      </c>
      <c r="AJ51" s="2">
        <f t="shared" si="49"/>
        <v>93.475370113176339</v>
      </c>
      <c r="AK51" s="2">
        <f t="shared" si="46"/>
        <v>93.061780472800777</v>
      </c>
      <c r="AL51" s="2">
        <f t="shared" si="50"/>
        <v>97.083760365228727</v>
      </c>
      <c r="AM51" s="2"/>
      <c r="AN51" s="2"/>
      <c r="AO51" s="2"/>
      <c r="AP51" s="2"/>
      <c r="AQ51" s="2"/>
      <c r="AR51" s="2"/>
      <c r="AS51" s="2"/>
      <c r="AT51" s="2"/>
      <c r="AU51" s="2"/>
    </row>
    <row r="52" spans="1:47">
      <c r="A52" s="28" t="s">
        <v>49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X52" s="2"/>
      <c r="Y52" s="2"/>
      <c r="Z52" s="2"/>
      <c r="AA52" s="2"/>
      <c r="AB52" s="2"/>
      <c r="AC52" s="2"/>
      <c r="AD52" s="2"/>
      <c r="AE52" s="2">
        <v>2007</v>
      </c>
      <c r="AF52" s="2">
        <f t="shared" si="44"/>
        <v>113.34608232634432</v>
      </c>
      <c r="AG52" s="2">
        <f t="shared" si="47"/>
        <v>98.230513151186159</v>
      </c>
      <c r="AH52" s="2">
        <f t="shared" si="45"/>
        <v>100.43844467520479</v>
      </c>
      <c r="AI52" s="2">
        <f t="shared" si="48"/>
        <v>105.99669148056246</v>
      </c>
      <c r="AJ52" s="2">
        <f t="shared" si="49"/>
        <v>92.113117224668301</v>
      </c>
      <c r="AK52" s="2">
        <f t="shared" si="46"/>
        <v>90.794445909130857</v>
      </c>
      <c r="AL52" s="2">
        <f t="shared" si="50"/>
        <v>97.912978663933671</v>
      </c>
      <c r="AM52" s="2"/>
      <c r="AN52" s="2"/>
      <c r="AO52" s="2"/>
      <c r="AP52" s="2"/>
      <c r="AQ52" s="2"/>
      <c r="AR52" s="2"/>
      <c r="AS52" s="2"/>
      <c r="AT52" s="2"/>
      <c r="AU52" s="2"/>
    </row>
    <row r="53" spans="1:47" ht="15" customHeight="1">
      <c r="A53" s="47" t="s">
        <v>50</v>
      </c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X53" s="2"/>
      <c r="Y53" s="2"/>
      <c r="Z53" s="2"/>
      <c r="AA53" s="2"/>
      <c r="AB53" s="2"/>
      <c r="AC53" s="2"/>
      <c r="AD53" s="2"/>
      <c r="AE53" s="2">
        <v>2008</v>
      </c>
      <c r="AF53" s="2">
        <f t="shared" si="44"/>
        <v>115.43210783836642</v>
      </c>
      <c r="AG53" s="2">
        <f t="shared" si="47"/>
        <v>93.557868218216711</v>
      </c>
      <c r="AH53" s="2">
        <f t="shared" si="45"/>
        <v>99.757701626860509</v>
      </c>
      <c r="AI53" s="2">
        <f t="shared" si="48"/>
        <v>101.11662531017369</v>
      </c>
      <c r="AJ53" s="2">
        <f t="shared" si="49"/>
        <v>86.566590821784231</v>
      </c>
      <c r="AK53" s="2">
        <f t="shared" si="46"/>
        <v>82.34027594691976</v>
      </c>
      <c r="AL53" s="2">
        <f t="shared" si="50"/>
        <v>98.322929283518121</v>
      </c>
      <c r="AM53" s="2"/>
      <c r="AN53" s="2"/>
      <c r="AO53" s="2"/>
      <c r="AP53" s="2"/>
      <c r="AQ53" s="2"/>
      <c r="AR53" s="2"/>
      <c r="AS53" s="2"/>
      <c r="AT53" s="2"/>
      <c r="AU53" s="2"/>
    </row>
    <row r="54" spans="1:47" ht="15" customHeight="1">
      <c r="A54" s="229" t="s">
        <v>517</v>
      </c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X54" s="2"/>
      <c r="Y54" s="2"/>
      <c r="Z54" s="2"/>
      <c r="AA54" s="2"/>
      <c r="AB54" s="2"/>
      <c r="AC54" s="2"/>
      <c r="AD54" s="2"/>
      <c r="AE54" s="2">
        <v>2009</v>
      </c>
      <c r="AF54" s="2">
        <f t="shared" si="44"/>
        <v>114.47875381903714</v>
      </c>
      <c r="AG54" s="2">
        <f t="shared" si="47"/>
        <v>83.482290135860609</v>
      </c>
      <c r="AH54" s="2">
        <f t="shared" si="45"/>
        <v>91.150340371524166</v>
      </c>
      <c r="AI54" s="2">
        <f t="shared" si="48"/>
        <v>88.172043010752688</v>
      </c>
      <c r="AJ54" s="2">
        <f t="shared" si="49"/>
        <v>78.150763866316012</v>
      </c>
      <c r="AK54" s="2">
        <f t="shared" si="46"/>
        <v>70.586167501537915</v>
      </c>
      <c r="AL54" s="2">
        <f t="shared" si="50"/>
        <v>97.167613901052846</v>
      </c>
      <c r="AM54" s="2"/>
      <c r="AN54" s="2"/>
      <c r="AO54" s="2"/>
      <c r="AP54" s="2"/>
      <c r="AQ54" s="2"/>
      <c r="AR54" s="2"/>
      <c r="AS54" s="2"/>
      <c r="AT54" s="2"/>
      <c r="AU54" s="2"/>
    </row>
    <row r="55" spans="1:47" ht="15" customHeight="1">
      <c r="A55" s="28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X55" s="3"/>
      <c r="Y55" s="3"/>
      <c r="Z55" s="3"/>
      <c r="AA55" s="3"/>
      <c r="AB55" s="2"/>
      <c r="AC55" s="2"/>
      <c r="AD55" s="2"/>
      <c r="AE55" s="2">
        <v>2010</v>
      </c>
      <c r="AF55" s="2">
        <f t="shared" si="44"/>
        <v>116.8263270148487</v>
      </c>
      <c r="AG55" s="2">
        <f t="shared" si="47"/>
        <v>87.450139459556723</v>
      </c>
      <c r="AH55" s="2">
        <f t="shared" si="45"/>
        <v>100.51921079958464</v>
      </c>
      <c r="AI55" s="2">
        <f t="shared" si="48"/>
        <v>91.811414392059561</v>
      </c>
      <c r="AJ55" s="2">
        <f t="shared" si="49"/>
        <v>80.996424455542098</v>
      </c>
      <c r="AK55" s="2">
        <f t="shared" si="46"/>
        <v>76.786185077774832</v>
      </c>
      <c r="AL55" s="2">
        <f t="shared" si="50"/>
        <v>92.406596478151499</v>
      </c>
      <c r="AM55" s="2"/>
      <c r="AN55" s="3"/>
      <c r="AO55" s="3"/>
      <c r="AP55" s="3"/>
      <c r="AQ55" s="3"/>
      <c r="AR55" s="3"/>
      <c r="AS55" s="3"/>
      <c r="AT55" s="3"/>
    </row>
    <row r="56" spans="1:47">
      <c r="X56" s="3"/>
      <c r="Y56" s="3"/>
      <c r="Z56" s="3"/>
      <c r="AA56" s="3"/>
      <c r="AB56" s="2"/>
      <c r="AC56" s="2"/>
      <c r="AD56" s="2"/>
      <c r="AE56" s="2">
        <v>2011</v>
      </c>
      <c r="AF56" s="2">
        <f t="shared" si="44"/>
        <v>119.17747543720057</v>
      </c>
      <c r="AG56" s="2">
        <f t="shared" si="47"/>
        <v>86.550400383888686</v>
      </c>
      <c r="AH56" s="2">
        <f t="shared" si="45"/>
        <v>103.94600207684319</v>
      </c>
      <c r="AI56" s="2">
        <f t="shared" si="48"/>
        <v>92.142266335814725</v>
      </c>
      <c r="AJ56" s="2">
        <f t="shared" si="49"/>
        <v>78.085753967081345</v>
      </c>
      <c r="AK56" s="2">
        <f t="shared" si="46"/>
        <v>75.867826698303887</v>
      </c>
      <c r="AL56" s="2">
        <f t="shared" si="50"/>
        <v>85.046119444703251</v>
      </c>
      <c r="AM56" s="2"/>
      <c r="AN56" s="3"/>
      <c r="AO56" s="3"/>
      <c r="AP56" s="3"/>
      <c r="AQ56" s="3"/>
      <c r="AR56" s="3"/>
      <c r="AS56" s="3"/>
      <c r="AT56" s="3"/>
    </row>
    <row r="57" spans="1:47">
      <c r="X57" s="3"/>
      <c r="Y57" s="3"/>
      <c r="Z57" s="3"/>
      <c r="AA57" s="3"/>
      <c r="AB57" s="2"/>
      <c r="AC57" s="2"/>
      <c r="AD57" s="2"/>
      <c r="AE57" s="2">
        <v>2012</v>
      </c>
      <c r="AF57" s="2">
        <f t="shared" si="44"/>
        <v>120.77949472515049</v>
      </c>
      <c r="AG57" s="2">
        <f t="shared" si="47"/>
        <v>84.344540083375819</v>
      </c>
      <c r="AH57" s="2">
        <f t="shared" si="45"/>
        <v>104.02676820122304</v>
      </c>
      <c r="AI57" s="2">
        <f t="shared" si="48"/>
        <v>93.38296112489661</v>
      </c>
      <c r="AJ57" s="2">
        <f t="shared" si="49"/>
        <v>72.828817115333464</v>
      </c>
      <c r="AK57" s="2">
        <f t="shared" si="46"/>
        <v>71.601195184111077</v>
      </c>
      <c r="AL57" s="2">
        <f t="shared" si="50"/>
        <v>77.527252399142839</v>
      </c>
      <c r="AM57" s="2"/>
      <c r="AN57" s="3"/>
      <c r="AO57" s="3"/>
      <c r="AP57" s="3"/>
      <c r="AQ57" s="3"/>
      <c r="AR57" s="3"/>
      <c r="AS57" s="3"/>
      <c r="AT57" s="3"/>
    </row>
    <row r="58" spans="1:47">
      <c r="X58" s="3"/>
      <c r="Y58" s="3"/>
      <c r="Z58" s="3"/>
      <c r="AA58" s="3"/>
      <c r="AB58" s="2"/>
      <c r="AC58" s="2"/>
      <c r="AD58" s="2"/>
      <c r="AE58" s="2">
        <v>2013</v>
      </c>
      <c r="AF58" s="2">
        <f t="shared" si="44"/>
        <v>122.1070557890267</v>
      </c>
      <c r="AG58" s="2">
        <f t="shared" si="47"/>
        <v>87.111237741055092</v>
      </c>
      <c r="AH58" s="2">
        <f t="shared" si="45"/>
        <v>105.81516095534786</v>
      </c>
      <c r="AI58" s="2">
        <f t="shared" si="48"/>
        <v>100.74441687344913</v>
      </c>
      <c r="AJ58" s="2">
        <f t="shared" si="49"/>
        <v>72.568777518394853</v>
      </c>
      <c r="AK58" s="2">
        <f t="shared" si="46"/>
        <v>71.583618947183396</v>
      </c>
      <c r="AL58" s="2">
        <f t="shared" si="50"/>
        <v>76.744619398117962</v>
      </c>
      <c r="AM58" s="2"/>
      <c r="AN58" s="3"/>
      <c r="AO58" s="3"/>
      <c r="AP58" s="3"/>
      <c r="AQ58" s="3"/>
      <c r="AR58" s="3"/>
      <c r="AS58" s="3"/>
      <c r="AT58" s="3"/>
    </row>
    <row r="59" spans="1:47"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47"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</row>
  </sheetData>
  <mergeCells count="4">
    <mergeCell ref="A36:U36"/>
    <mergeCell ref="A1:U1"/>
    <mergeCell ref="L2:U2"/>
    <mergeCell ref="B2:K2"/>
  </mergeCells>
  <printOptions gridLines="1"/>
  <pageMargins left="0.70866141732283472" right="0.70866141732283472" top="0.74803149606299213" bottom="0.74803149606299213" header="0.31496062992125984" footer="0.31496062992125984"/>
  <pageSetup scale="42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1.28515625" customWidth="1"/>
    <col min="2" max="2" width="26.140625" customWidth="1"/>
    <col min="4" max="4" width="18.5703125" customWidth="1"/>
    <col min="10" max="10" width="15" bestFit="1" customWidth="1"/>
  </cols>
  <sheetData>
    <row r="1" spans="1:10">
      <c r="A1" s="456" t="s">
        <v>213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160"/>
      <c r="B2" s="457" t="s">
        <v>194</v>
      </c>
      <c r="C2" s="457" t="s">
        <v>195</v>
      </c>
      <c r="D2" s="457"/>
      <c r="E2" s="457" t="s">
        <v>196</v>
      </c>
      <c r="F2" s="457"/>
      <c r="G2" s="457"/>
      <c r="H2" s="457"/>
      <c r="I2" s="458" t="s">
        <v>209</v>
      </c>
      <c r="J2" s="458"/>
    </row>
    <row r="3" spans="1:10" ht="135">
      <c r="A3" s="139"/>
      <c r="B3" s="457"/>
      <c r="C3" s="158" t="s">
        <v>157</v>
      </c>
      <c r="D3" s="158" t="s">
        <v>65</v>
      </c>
      <c r="E3" s="158" t="s">
        <v>199</v>
      </c>
      <c r="F3" s="158" t="s">
        <v>200</v>
      </c>
      <c r="G3" s="158" t="s">
        <v>201</v>
      </c>
      <c r="H3" s="158" t="s">
        <v>202</v>
      </c>
      <c r="I3" s="158" t="s">
        <v>203</v>
      </c>
      <c r="J3" s="158" t="s">
        <v>210</v>
      </c>
    </row>
    <row r="4" spans="1:10">
      <c r="A4" s="95"/>
      <c r="B4" s="161"/>
      <c r="C4" s="161"/>
      <c r="D4" s="161"/>
      <c r="E4" s="161"/>
      <c r="F4" s="161"/>
      <c r="G4" s="161"/>
      <c r="H4" s="161"/>
      <c r="I4" s="161"/>
      <c r="J4" s="161"/>
    </row>
    <row r="5" spans="1:10">
      <c r="A5" s="162">
        <v>2001</v>
      </c>
      <c r="B5" s="141">
        <v>37.5</v>
      </c>
      <c r="C5" s="141">
        <v>36.5</v>
      </c>
      <c r="D5" s="141">
        <v>36</v>
      </c>
      <c r="E5" s="141">
        <v>36.6</v>
      </c>
      <c r="F5" s="141">
        <v>39.5</v>
      </c>
      <c r="G5" s="141">
        <v>38.299999999999997</v>
      </c>
      <c r="H5" s="141">
        <v>31.3</v>
      </c>
      <c r="I5" s="141">
        <v>38.799999999999997</v>
      </c>
      <c r="J5" s="141">
        <v>38.9</v>
      </c>
    </row>
    <row r="6" spans="1:10">
      <c r="A6" s="162">
        <v>2002</v>
      </c>
      <c r="B6" s="141">
        <v>37.200000000000003</v>
      </c>
      <c r="C6" s="141">
        <v>36.5</v>
      </c>
      <c r="D6" s="141">
        <v>36.299999999999997</v>
      </c>
      <c r="E6" s="141">
        <v>38.200000000000003</v>
      </c>
      <c r="F6" s="141">
        <v>41.1</v>
      </c>
      <c r="G6" s="141">
        <v>38.799999999999997</v>
      </c>
      <c r="H6" s="141">
        <v>34.700000000000003</v>
      </c>
      <c r="I6" s="141">
        <v>38.1</v>
      </c>
      <c r="J6" s="141">
        <v>38.4</v>
      </c>
    </row>
    <row r="7" spans="1:10">
      <c r="A7" s="162">
        <v>2003</v>
      </c>
      <c r="B7" s="141">
        <v>37</v>
      </c>
      <c r="C7" s="141">
        <v>36.799999999999997</v>
      </c>
      <c r="D7" s="141">
        <v>36.5</v>
      </c>
      <c r="E7" s="141">
        <v>37.9</v>
      </c>
      <c r="F7" s="141">
        <v>41</v>
      </c>
      <c r="G7" s="141">
        <v>38.1</v>
      </c>
      <c r="H7" s="141">
        <v>35</v>
      </c>
      <c r="I7" s="141">
        <v>38.299999999999997</v>
      </c>
      <c r="J7" s="141">
        <v>38.5</v>
      </c>
    </row>
    <row r="8" spans="1:10">
      <c r="A8" s="162">
        <v>2004</v>
      </c>
      <c r="B8" s="141">
        <v>37.1</v>
      </c>
      <c r="C8" s="141">
        <v>36.9</v>
      </c>
      <c r="D8" s="141">
        <v>35.9</v>
      </c>
      <c r="E8" s="141">
        <v>38.200000000000003</v>
      </c>
      <c r="F8" s="141">
        <v>40.9</v>
      </c>
      <c r="G8" s="141">
        <v>41.4</v>
      </c>
      <c r="H8" s="141">
        <v>34.4</v>
      </c>
      <c r="I8" s="141">
        <v>39.1</v>
      </c>
      <c r="J8" s="141">
        <v>39.299999999999997</v>
      </c>
    </row>
    <row r="9" spans="1:10">
      <c r="A9" s="162">
        <v>2005</v>
      </c>
      <c r="B9" s="141">
        <v>37.299999999999997</v>
      </c>
      <c r="C9" s="141">
        <v>39.6</v>
      </c>
      <c r="D9" s="141">
        <v>37.6</v>
      </c>
      <c r="E9" s="141">
        <v>41.1</v>
      </c>
      <c r="F9" s="141">
        <v>43.4</v>
      </c>
      <c r="G9" s="141">
        <v>48.8</v>
      </c>
      <c r="H9" s="141">
        <v>35.799999999999997</v>
      </c>
      <c r="I9" s="141">
        <v>39.200000000000003</v>
      </c>
      <c r="J9" s="141">
        <v>39.4</v>
      </c>
    </row>
    <row r="10" spans="1:10">
      <c r="A10" s="162">
        <v>2006</v>
      </c>
      <c r="B10" s="141">
        <v>36.9</v>
      </c>
      <c r="C10" s="141">
        <v>37.200000000000003</v>
      </c>
      <c r="D10" s="141">
        <v>36.1</v>
      </c>
      <c r="E10" s="141">
        <v>40</v>
      </c>
      <c r="F10" s="141">
        <v>42.1</v>
      </c>
      <c r="G10" s="141">
        <v>45.1</v>
      </c>
      <c r="H10" s="141">
        <v>36.200000000000003</v>
      </c>
      <c r="I10" s="141">
        <v>38.700000000000003</v>
      </c>
      <c r="J10" s="141">
        <v>38.9</v>
      </c>
    </row>
    <row r="11" spans="1:10">
      <c r="A11" s="162">
        <v>2007</v>
      </c>
      <c r="B11" s="141">
        <v>36.700000000000003</v>
      </c>
      <c r="C11" s="141">
        <v>36.299999999999997</v>
      </c>
      <c r="D11" s="141">
        <v>35.299999999999997</v>
      </c>
      <c r="E11" s="141">
        <v>40.200000000000003</v>
      </c>
      <c r="F11" s="141">
        <v>43</v>
      </c>
      <c r="G11" s="141">
        <v>45.3</v>
      </c>
      <c r="H11" s="141">
        <v>36.299999999999997</v>
      </c>
      <c r="I11" s="141">
        <v>39.5</v>
      </c>
      <c r="J11" s="141">
        <v>39.799999999999997</v>
      </c>
    </row>
    <row r="12" spans="1:10">
      <c r="A12" s="162">
        <v>2008</v>
      </c>
      <c r="B12" s="141">
        <v>36.799999999999997</v>
      </c>
      <c r="C12" s="141">
        <v>42.5</v>
      </c>
      <c r="D12" s="141">
        <v>42.4</v>
      </c>
      <c r="E12" s="141">
        <v>40.700000000000003</v>
      </c>
      <c r="F12" s="141">
        <v>43</v>
      </c>
      <c r="G12" s="141">
        <v>46</v>
      </c>
      <c r="H12" s="141">
        <v>37.200000000000003</v>
      </c>
      <c r="I12" s="141">
        <v>38.700000000000003</v>
      </c>
      <c r="J12" s="141">
        <v>38.799999999999997</v>
      </c>
    </row>
    <row r="13" spans="1:10">
      <c r="A13" s="162">
        <v>2009</v>
      </c>
      <c r="B13" s="141">
        <v>36.5</v>
      </c>
      <c r="C13" s="141" t="s">
        <v>76</v>
      </c>
      <c r="D13" s="141" t="s">
        <v>76</v>
      </c>
      <c r="E13" s="141">
        <v>39.1</v>
      </c>
      <c r="F13" s="141">
        <v>39.4</v>
      </c>
      <c r="G13" s="141" t="s">
        <v>76</v>
      </c>
      <c r="H13" s="141">
        <v>38</v>
      </c>
      <c r="I13" s="141">
        <v>39.700000000000003</v>
      </c>
      <c r="J13" s="141" t="s">
        <v>76</v>
      </c>
    </row>
    <row r="14" spans="1:10">
      <c r="A14" s="162">
        <v>2010</v>
      </c>
      <c r="B14" s="141">
        <v>36.4</v>
      </c>
      <c r="C14" s="141">
        <v>40.200000000000003</v>
      </c>
      <c r="D14" s="141">
        <v>40.1</v>
      </c>
      <c r="E14" s="141">
        <v>39.700000000000003</v>
      </c>
      <c r="F14" s="141" t="s">
        <v>76</v>
      </c>
      <c r="G14" s="141" t="s">
        <v>76</v>
      </c>
      <c r="H14" s="141" t="s">
        <v>76</v>
      </c>
      <c r="I14" s="141">
        <v>38.9</v>
      </c>
      <c r="J14" s="141" t="s">
        <v>76</v>
      </c>
    </row>
    <row r="15" spans="1:10">
      <c r="A15" s="162">
        <v>2011</v>
      </c>
      <c r="B15" s="141">
        <v>36.4</v>
      </c>
      <c r="C15" s="141">
        <v>39.200000000000003</v>
      </c>
      <c r="D15" s="141">
        <v>39.799999999999997</v>
      </c>
      <c r="E15" s="141">
        <v>39.5</v>
      </c>
      <c r="F15" s="141" t="s">
        <v>76</v>
      </c>
      <c r="G15" s="141" t="s">
        <v>76</v>
      </c>
      <c r="H15" s="141">
        <v>39.200000000000003</v>
      </c>
      <c r="I15" s="141">
        <v>40.6</v>
      </c>
      <c r="J15" s="141" t="s">
        <v>76</v>
      </c>
    </row>
    <row r="16" spans="1:10">
      <c r="A16" s="162">
        <v>2012</v>
      </c>
      <c r="B16" s="141">
        <v>36.4</v>
      </c>
      <c r="C16" s="141">
        <v>39.299999999999997</v>
      </c>
      <c r="D16" s="141">
        <v>39.5</v>
      </c>
      <c r="E16" s="141">
        <v>39.1</v>
      </c>
      <c r="F16" s="141" t="s">
        <v>76</v>
      </c>
      <c r="G16" s="141" t="s">
        <v>76</v>
      </c>
      <c r="H16" s="141">
        <v>38.5</v>
      </c>
      <c r="I16" s="141">
        <v>39.799999999999997</v>
      </c>
      <c r="J16" s="141" t="s">
        <v>76</v>
      </c>
    </row>
    <row r="17" spans="1:10" s="157" customFormat="1">
      <c r="A17" s="162">
        <v>2013</v>
      </c>
      <c r="B17" s="141">
        <v>36.4</v>
      </c>
      <c r="C17" s="141">
        <v>41.3</v>
      </c>
      <c r="D17" s="141">
        <v>41.3</v>
      </c>
      <c r="E17" s="141" t="s">
        <v>76</v>
      </c>
      <c r="F17" s="141" t="s">
        <v>76</v>
      </c>
      <c r="G17" s="141" t="s">
        <v>76</v>
      </c>
      <c r="H17" s="141" t="s">
        <v>76</v>
      </c>
      <c r="I17" s="141">
        <v>40</v>
      </c>
      <c r="J17" s="141" t="s">
        <v>76</v>
      </c>
    </row>
    <row r="18" spans="1:10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>
      <c r="A19" s="456" t="s">
        <v>11</v>
      </c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>
      <c r="A20" s="161" t="s">
        <v>71</v>
      </c>
      <c r="B20" s="163">
        <f>((B11/B5)^(1/6)-1)*100</f>
        <v>-0.35875788584972534</v>
      </c>
      <c r="C20" s="163">
        <f t="shared" ref="C20:J20" si="0">((C11/C5)^(1/6)-1)*100</f>
        <v>-9.1533404559029918E-2</v>
      </c>
      <c r="D20" s="163">
        <f t="shared" si="0"/>
        <v>-0.32673130969206321</v>
      </c>
      <c r="E20" s="163">
        <f t="shared" si="0"/>
        <v>1.5759348312507582</v>
      </c>
      <c r="F20" s="163">
        <f t="shared" si="0"/>
        <v>1.4250491093201978</v>
      </c>
      <c r="G20" s="163">
        <f t="shared" si="0"/>
        <v>2.8371197977930862</v>
      </c>
      <c r="H20" s="163">
        <f t="shared" si="0"/>
        <v>2.5007511258692938</v>
      </c>
      <c r="I20" s="163">
        <f t="shared" si="0"/>
        <v>0.29845157050667481</v>
      </c>
      <c r="J20" s="163">
        <f t="shared" si="0"/>
        <v>0.38193856119042024</v>
      </c>
    </row>
    <row r="21" spans="1:10">
      <c r="A21" s="161" t="s">
        <v>69</v>
      </c>
      <c r="B21" s="163">
        <f>((B17/B11)^(1/6)-1)*100</f>
        <v>-0.13670614553054072</v>
      </c>
      <c r="C21" s="163">
        <f t="shared" ref="C21:I21" si="1">((C17/C11)^(1/6)-1)*100</f>
        <v>2.1740412270401244</v>
      </c>
      <c r="D21" s="163">
        <f t="shared" si="1"/>
        <v>2.6508518474102738</v>
      </c>
      <c r="E21" s="163" t="s">
        <v>10</v>
      </c>
      <c r="F21" s="163" t="s">
        <v>10</v>
      </c>
      <c r="G21" s="163" t="s">
        <v>10</v>
      </c>
      <c r="H21" s="163" t="s">
        <v>10</v>
      </c>
      <c r="I21" s="163">
        <f t="shared" si="1"/>
        <v>0.2098662817689334</v>
      </c>
      <c r="J21" s="163" t="s">
        <v>10</v>
      </c>
    </row>
    <row r="22" spans="1:10">
      <c r="A22" s="161" t="s">
        <v>72</v>
      </c>
      <c r="B22" s="163">
        <f>((B17/B5)^(1/12)-1)*100</f>
        <v>-0.24779380249413396</v>
      </c>
      <c r="C22" s="163">
        <f t="shared" ref="C22:I22" si="2">((C17/C5)^(1/12)-1)*100</f>
        <v>1.0349037949408224</v>
      </c>
      <c r="D22" s="163">
        <f t="shared" si="2"/>
        <v>1.1511044797629433</v>
      </c>
      <c r="E22" s="163" t="s">
        <v>10</v>
      </c>
      <c r="F22" s="163" t="s">
        <v>10</v>
      </c>
      <c r="G22" s="163" t="s">
        <v>10</v>
      </c>
      <c r="H22" s="163" t="s">
        <v>10</v>
      </c>
      <c r="I22" s="163">
        <f t="shared" si="2"/>
        <v>0.25414914181334236</v>
      </c>
      <c r="J22" s="163" t="s">
        <v>10</v>
      </c>
    </row>
    <row r="23" spans="1:10">
      <c r="A23" s="139"/>
      <c r="B23" s="139"/>
      <c r="C23" s="139"/>
      <c r="D23" s="139"/>
      <c r="E23" s="139"/>
      <c r="F23" s="139"/>
      <c r="G23" s="139"/>
      <c r="H23" s="139"/>
      <c r="I23" s="139"/>
      <c r="J23" s="139"/>
    </row>
    <row r="24" spans="1:10">
      <c r="A24" s="140" t="s">
        <v>211</v>
      </c>
      <c r="B24" s="140"/>
      <c r="C24" s="140"/>
      <c r="D24" s="140"/>
      <c r="E24" s="140"/>
      <c r="F24" s="140"/>
      <c r="G24" s="140"/>
      <c r="H24" s="139"/>
      <c r="I24" s="140"/>
      <c r="J24" s="140"/>
    </row>
    <row r="25" spans="1:10">
      <c r="A25" s="159" t="s">
        <v>212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6">
    <mergeCell ref="A1:J1"/>
    <mergeCell ref="A19:J19"/>
    <mergeCell ref="C2:D2"/>
    <mergeCell ref="E2:H2"/>
    <mergeCell ref="I2:J2"/>
    <mergeCell ref="B2:B3"/>
  </mergeCells>
  <printOptions gridLines="1"/>
  <pageMargins left="0.7" right="0.7" top="0.75" bottom="0.75" header="0.3" footer="0.3"/>
  <pageSetup scale="71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1.28515625" style="164" customWidth="1"/>
    <col min="2" max="2" width="26.140625" style="164" customWidth="1"/>
    <col min="3" max="3" width="9.140625" style="164"/>
    <col min="4" max="4" width="18.5703125" style="164" customWidth="1"/>
    <col min="5" max="9" width="9.140625" style="164"/>
    <col min="10" max="10" width="15" style="164" bestFit="1" customWidth="1"/>
    <col min="11" max="16384" width="9.140625" style="164"/>
  </cols>
  <sheetData>
    <row r="1" spans="1:10">
      <c r="A1" s="456" t="s">
        <v>214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160"/>
      <c r="B2" s="457" t="s">
        <v>194</v>
      </c>
      <c r="C2" s="457" t="s">
        <v>195</v>
      </c>
      <c r="D2" s="457"/>
      <c r="E2" s="457" t="s">
        <v>196</v>
      </c>
      <c r="F2" s="457"/>
      <c r="G2" s="457"/>
      <c r="H2" s="457"/>
      <c r="I2" s="458" t="s">
        <v>209</v>
      </c>
      <c r="J2" s="458"/>
    </row>
    <row r="3" spans="1:10" ht="135">
      <c r="A3" s="139"/>
      <c r="B3" s="457"/>
      <c r="C3" s="158" t="s">
        <v>157</v>
      </c>
      <c r="D3" s="158" t="s">
        <v>65</v>
      </c>
      <c r="E3" s="158" t="s">
        <v>199</v>
      </c>
      <c r="F3" s="158" t="s">
        <v>200</v>
      </c>
      <c r="G3" s="158" t="s">
        <v>201</v>
      </c>
      <c r="H3" s="158" t="s">
        <v>202</v>
      </c>
      <c r="I3" s="158" t="s">
        <v>203</v>
      </c>
      <c r="J3" s="158" t="s">
        <v>210</v>
      </c>
    </row>
    <row r="4" spans="1:10">
      <c r="A4" s="95"/>
      <c r="B4" s="161"/>
      <c r="C4" s="161"/>
      <c r="D4" s="161"/>
      <c r="E4" s="161"/>
      <c r="F4" s="161"/>
      <c r="G4" s="161"/>
      <c r="H4" s="161"/>
      <c r="I4" s="161"/>
      <c r="J4" s="161"/>
    </row>
    <row r="5" spans="1:10">
      <c r="A5" s="162">
        <v>2001</v>
      </c>
      <c r="B5" s="141">
        <v>37.799999999999997</v>
      </c>
      <c r="C5" s="141">
        <v>41.2</v>
      </c>
      <c r="D5" s="141">
        <v>41.2</v>
      </c>
      <c r="E5" s="141">
        <v>38.9</v>
      </c>
      <c r="F5" s="141">
        <v>39.200000000000003</v>
      </c>
      <c r="G5" s="141">
        <v>39.5</v>
      </c>
      <c r="H5" s="141">
        <v>38.4</v>
      </c>
      <c r="I5" s="141">
        <v>38.700000000000003</v>
      </c>
      <c r="J5" s="141">
        <v>39</v>
      </c>
    </row>
    <row r="6" spans="1:10">
      <c r="A6" s="162">
        <v>2002</v>
      </c>
      <c r="B6" s="141">
        <v>37.799999999999997</v>
      </c>
      <c r="C6" s="141">
        <v>38.5</v>
      </c>
      <c r="D6" s="141">
        <v>38.6</v>
      </c>
      <c r="E6" s="141">
        <v>40.5</v>
      </c>
      <c r="F6" s="141">
        <v>41.4</v>
      </c>
      <c r="G6" s="141">
        <v>40.200000000000003</v>
      </c>
      <c r="H6" s="141">
        <v>40.1</v>
      </c>
      <c r="I6" s="141">
        <v>38.1</v>
      </c>
      <c r="J6" s="141">
        <v>38.5</v>
      </c>
    </row>
    <row r="7" spans="1:10">
      <c r="A7" s="162">
        <v>2003</v>
      </c>
      <c r="B7" s="141">
        <v>38</v>
      </c>
      <c r="C7" s="141">
        <v>41</v>
      </c>
      <c r="D7" s="141">
        <v>41</v>
      </c>
      <c r="E7" s="141">
        <v>40.200000000000003</v>
      </c>
      <c r="F7" s="141">
        <v>41.2</v>
      </c>
      <c r="G7" s="141">
        <v>39.299999999999997</v>
      </c>
      <c r="H7" s="141">
        <v>40</v>
      </c>
      <c r="I7" s="141">
        <v>38.4</v>
      </c>
      <c r="J7" s="141">
        <v>38.6</v>
      </c>
    </row>
    <row r="8" spans="1:10">
      <c r="A8" s="162">
        <v>2004</v>
      </c>
      <c r="B8" s="141">
        <v>38.200000000000003</v>
      </c>
      <c r="C8" s="141">
        <v>39.4</v>
      </c>
      <c r="D8" s="141">
        <v>39.5</v>
      </c>
      <c r="E8" s="141">
        <v>40.1</v>
      </c>
      <c r="F8" s="141">
        <v>40.700000000000003</v>
      </c>
      <c r="G8" s="141">
        <v>42.4</v>
      </c>
      <c r="H8" s="141">
        <v>38.9</v>
      </c>
      <c r="I8" s="141">
        <v>39</v>
      </c>
      <c r="J8" s="141">
        <v>39.299999999999997</v>
      </c>
    </row>
    <row r="9" spans="1:10">
      <c r="A9" s="162">
        <v>2005</v>
      </c>
      <c r="B9" s="141">
        <v>38.299999999999997</v>
      </c>
      <c r="C9" s="141">
        <v>41.1</v>
      </c>
      <c r="D9" s="141">
        <v>41.1</v>
      </c>
      <c r="E9" s="141">
        <v>42.5</v>
      </c>
      <c r="F9" s="141">
        <v>43.4</v>
      </c>
      <c r="G9" s="141">
        <v>47.9</v>
      </c>
      <c r="H9" s="141">
        <v>40</v>
      </c>
      <c r="I9" s="141">
        <v>39.200000000000003</v>
      </c>
      <c r="J9" s="141">
        <v>39.6</v>
      </c>
    </row>
    <row r="10" spans="1:10">
      <c r="A10" s="162">
        <v>2006</v>
      </c>
      <c r="B10" s="141">
        <v>38</v>
      </c>
      <c r="C10" s="141">
        <v>41</v>
      </c>
      <c r="D10" s="141">
        <v>41</v>
      </c>
      <c r="E10" s="141">
        <v>40.200000000000003</v>
      </c>
      <c r="F10" s="141">
        <v>41.5</v>
      </c>
      <c r="G10" s="141">
        <v>46.1</v>
      </c>
      <c r="H10" s="141">
        <v>37.4</v>
      </c>
      <c r="I10" s="141">
        <v>38.700000000000003</v>
      </c>
      <c r="J10" s="141">
        <v>39</v>
      </c>
    </row>
    <row r="11" spans="1:10">
      <c r="A11" s="162">
        <v>2007</v>
      </c>
      <c r="B11" s="141">
        <v>38</v>
      </c>
      <c r="C11" s="141">
        <v>41.2</v>
      </c>
      <c r="D11" s="141">
        <v>41.1</v>
      </c>
      <c r="E11" s="141">
        <v>40.200000000000003</v>
      </c>
      <c r="F11" s="141">
        <v>41.4</v>
      </c>
      <c r="G11" s="141">
        <v>47.2</v>
      </c>
      <c r="H11" s="141">
        <v>37.200000000000003</v>
      </c>
      <c r="I11" s="141">
        <v>39.5</v>
      </c>
      <c r="J11" s="141">
        <v>40.200000000000003</v>
      </c>
    </row>
    <row r="12" spans="1:10">
      <c r="A12" s="162">
        <v>2008</v>
      </c>
      <c r="B12" s="141">
        <v>38</v>
      </c>
      <c r="C12" s="141">
        <v>33.1</v>
      </c>
      <c r="D12" s="141">
        <v>32.700000000000003</v>
      </c>
      <c r="E12" s="141">
        <v>39.700000000000003</v>
      </c>
      <c r="F12" s="141">
        <v>41.3</v>
      </c>
      <c r="G12" s="141">
        <v>44.7</v>
      </c>
      <c r="H12" s="141">
        <v>37.299999999999997</v>
      </c>
      <c r="I12" s="141">
        <v>40</v>
      </c>
      <c r="J12" s="141" t="s">
        <v>10</v>
      </c>
    </row>
    <row r="13" spans="1:10">
      <c r="A13" s="162">
        <v>2009</v>
      </c>
      <c r="B13" s="141">
        <v>37.1</v>
      </c>
      <c r="C13" s="141" t="s">
        <v>76</v>
      </c>
      <c r="D13" s="141" t="s">
        <v>76</v>
      </c>
      <c r="E13" s="141">
        <v>38.9</v>
      </c>
      <c r="F13" s="141" t="s">
        <v>76</v>
      </c>
      <c r="G13" s="141" t="s">
        <v>76</v>
      </c>
      <c r="H13" s="141" t="s">
        <v>76</v>
      </c>
      <c r="I13" s="141" t="s">
        <v>76</v>
      </c>
      <c r="J13" s="141" t="s">
        <v>76</v>
      </c>
    </row>
    <row r="14" spans="1:10">
      <c r="A14" s="162">
        <v>2010</v>
      </c>
      <c r="B14" s="141">
        <v>37.200000000000003</v>
      </c>
      <c r="C14" s="141" t="s">
        <v>76</v>
      </c>
      <c r="D14" s="141" t="s">
        <v>76</v>
      </c>
      <c r="E14" s="141">
        <v>40.1</v>
      </c>
      <c r="F14" s="141" t="s">
        <v>76</v>
      </c>
      <c r="G14" s="141" t="s">
        <v>76</v>
      </c>
      <c r="H14" s="141" t="s">
        <v>76</v>
      </c>
      <c r="I14" s="141">
        <v>38.799999999999997</v>
      </c>
      <c r="J14" s="141" t="s">
        <v>76</v>
      </c>
    </row>
    <row r="15" spans="1:10">
      <c r="A15" s="162">
        <v>2011</v>
      </c>
      <c r="B15" s="141">
        <v>37.1</v>
      </c>
      <c r="C15" s="141" t="s">
        <v>76</v>
      </c>
      <c r="D15" s="141" t="s">
        <v>76</v>
      </c>
      <c r="E15" s="141">
        <v>40.200000000000003</v>
      </c>
      <c r="F15" s="141" t="s">
        <v>76</v>
      </c>
      <c r="G15" s="141" t="s">
        <v>76</v>
      </c>
      <c r="H15" s="141" t="s">
        <v>76</v>
      </c>
      <c r="I15" s="141">
        <v>39.700000000000003</v>
      </c>
      <c r="J15" s="141" t="s">
        <v>76</v>
      </c>
    </row>
    <row r="16" spans="1:10">
      <c r="A16" s="162">
        <v>2012</v>
      </c>
      <c r="B16" s="141">
        <v>36.9</v>
      </c>
      <c r="C16" s="141" t="s">
        <v>76</v>
      </c>
      <c r="D16" s="141" t="s">
        <v>76</v>
      </c>
      <c r="E16" s="141" t="s">
        <v>76</v>
      </c>
      <c r="F16" s="141" t="s">
        <v>76</v>
      </c>
      <c r="G16" s="141" t="s">
        <v>76</v>
      </c>
      <c r="H16" s="141">
        <v>38.299999999999997</v>
      </c>
      <c r="I16" s="141">
        <v>39.5</v>
      </c>
      <c r="J16" s="141" t="s">
        <v>76</v>
      </c>
    </row>
    <row r="17" spans="1:10">
      <c r="A17" s="162">
        <v>2013</v>
      </c>
      <c r="B17" s="141">
        <v>37</v>
      </c>
      <c r="C17" s="141" t="s">
        <v>76</v>
      </c>
      <c r="D17" s="141" t="s">
        <v>76</v>
      </c>
      <c r="E17" s="141" t="s">
        <v>76</v>
      </c>
      <c r="F17" s="141" t="s">
        <v>76</v>
      </c>
      <c r="G17" s="141" t="s">
        <v>76</v>
      </c>
      <c r="H17" s="141" t="s">
        <v>76</v>
      </c>
      <c r="I17" s="141">
        <v>39.700000000000003</v>
      </c>
      <c r="J17" s="141" t="s">
        <v>76</v>
      </c>
    </row>
    <row r="18" spans="1:10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>
      <c r="A19" s="456" t="s">
        <v>11</v>
      </c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>
      <c r="A20" s="161" t="s">
        <v>71</v>
      </c>
      <c r="B20" s="163">
        <f>((B11/B5)^(1/6)-1)*100</f>
        <v>8.7989639871621783E-2</v>
      </c>
      <c r="C20" s="163">
        <f t="shared" ref="C20:J20" si="0">((C11/C5)^(1/6)-1)*100</f>
        <v>0</v>
      </c>
      <c r="D20" s="163">
        <f t="shared" si="0"/>
        <v>-4.0494046501815539E-2</v>
      </c>
      <c r="E20" s="163">
        <f t="shared" si="0"/>
        <v>0.54938268551250058</v>
      </c>
      <c r="F20" s="163">
        <f t="shared" si="0"/>
        <v>0.91422261860325538</v>
      </c>
      <c r="G20" s="163">
        <f t="shared" si="0"/>
        <v>3.0127111084706337</v>
      </c>
      <c r="H20" s="163">
        <f t="shared" si="0"/>
        <v>-0.52774746593392541</v>
      </c>
      <c r="I20" s="163">
        <f t="shared" si="0"/>
        <v>0.34159999197338475</v>
      </c>
      <c r="J20" s="163">
        <f t="shared" si="0"/>
        <v>0.50636688385647943</v>
      </c>
    </row>
    <row r="21" spans="1:10">
      <c r="A21" s="161" t="s">
        <v>69</v>
      </c>
      <c r="B21" s="163">
        <f>((B17/B11)^(1/6)-1)*100</f>
        <v>-0.4434844751374567</v>
      </c>
      <c r="C21" s="163" t="s">
        <v>10</v>
      </c>
      <c r="D21" s="163" t="s">
        <v>10</v>
      </c>
      <c r="E21" s="163" t="s">
        <v>10</v>
      </c>
      <c r="F21" s="163" t="s">
        <v>10</v>
      </c>
      <c r="G21" s="163" t="s">
        <v>10</v>
      </c>
      <c r="H21" s="163" t="s">
        <v>10</v>
      </c>
      <c r="I21" s="163">
        <f t="shared" ref="I21" si="1">((I17/I11)^(1/6)-1)*100</f>
        <v>8.4210700418196893E-2</v>
      </c>
      <c r="J21" s="163" t="s">
        <v>10</v>
      </c>
    </row>
    <row r="22" spans="1:10">
      <c r="A22" s="161" t="s">
        <v>72</v>
      </c>
      <c r="B22" s="163">
        <f>((B17/B5)^(1/12)-1)*100</f>
        <v>-0.17810112788797516</v>
      </c>
      <c r="C22" s="163" t="s">
        <v>10</v>
      </c>
      <c r="D22" s="163" t="s">
        <v>10</v>
      </c>
      <c r="E22" s="163" t="s">
        <v>10</v>
      </c>
      <c r="F22" s="163" t="s">
        <v>10</v>
      </c>
      <c r="G22" s="163" t="s">
        <v>10</v>
      </c>
      <c r="H22" s="163" t="s">
        <v>10</v>
      </c>
      <c r="I22" s="163">
        <f t="shared" ref="I22" si="2">((I17/I5)^(1/12)-1)*100</f>
        <v>0.21282271053812973</v>
      </c>
      <c r="J22" s="163" t="s">
        <v>10</v>
      </c>
    </row>
    <row r="23" spans="1:10">
      <c r="A23" s="139"/>
      <c r="B23" s="139"/>
      <c r="C23" s="139"/>
      <c r="D23" s="139"/>
      <c r="E23" s="139"/>
      <c r="F23" s="139"/>
      <c r="G23" s="139"/>
      <c r="H23" s="139"/>
      <c r="I23" s="139"/>
      <c r="J23" s="139"/>
    </row>
    <row r="24" spans="1:10">
      <c r="A24" s="140" t="s">
        <v>211</v>
      </c>
      <c r="B24" s="140"/>
      <c r="C24" s="140"/>
      <c r="D24" s="140"/>
      <c r="E24" s="140"/>
      <c r="F24" s="140"/>
      <c r="G24" s="140"/>
      <c r="H24" s="139"/>
      <c r="I24" s="140"/>
      <c r="J24" s="140"/>
    </row>
    <row r="25" spans="1:10">
      <c r="A25" s="159" t="s">
        <v>212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6">
    <mergeCell ref="A19:J19"/>
    <mergeCell ref="A1:J1"/>
    <mergeCell ref="B2:B3"/>
    <mergeCell ref="C2:D2"/>
    <mergeCell ref="E2:H2"/>
    <mergeCell ref="I2:J2"/>
  </mergeCells>
  <printOptions gridLines="1"/>
  <pageMargins left="0.7" right="0.7" top="0.75" bottom="0.75" header="0.3" footer="0.3"/>
  <pageSetup scale="71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3" customWidth="1"/>
    <col min="3" max="3" width="10.140625" bestFit="1" customWidth="1"/>
    <col min="4" max="4" width="14.140625" customWidth="1"/>
    <col min="5" max="6" width="10.140625" bestFit="1" customWidth="1"/>
    <col min="7" max="7" width="15.85546875" customWidth="1"/>
    <col min="8" max="9" width="10.140625" bestFit="1" customWidth="1"/>
    <col min="10" max="10" width="22" customWidth="1"/>
  </cols>
  <sheetData>
    <row r="1" spans="1:10">
      <c r="A1" s="456" t="s">
        <v>221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139"/>
      <c r="B2" s="456" t="s">
        <v>215</v>
      </c>
      <c r="C2" s="456"/>
      <c r="D2" s="456"/>
      <c r="E2" s="456" t="s">
        <v>216</v>
      </c>
      <c r="F2" s="456"/>
      <c r="G2" s="456"/>
      <c r="H2" s="456" t="s">
        <v>217</v>
      </c>
      <c r="I2" s="456"/>
      <c r="J2" s="456"/>
    </row>
    <row r="3" spans="1:10">
      <c r="A3" s="139"/>
      <c r="B3" s="459" t="s">
        <v>218</v>
      </c>
      <c r="C3" s="459"/>
      <c r="D3" s="459"/>
      <c r="E3" s="459" t="s">
        <v>219</v>
      </c>
      <c r="F3" s="459"/>
      <c r="G3" s="459"/>
      <c r="H3" s="459" t="s">
        <v>220</v>
      </c>
      <c r="I3" s="459"/>
      <c r="J3" s="459"/>
    </row>
    <row r="4" spans="1:10" ht="60">
      <c r="A4" s="139"/>
      <c r="B4" s="166" t="s">
        <v>195</v>
      </c>
      <c r="C4" s="166" t="s">
        <v>196</v>
      </c>
      <c r="D4" s="166" t="s">
        <v>197</v>
      </c>
      <c r="E4" s="166" t="s">
        <v>195</v>
      </c>
      <c r="F4" s="166" t="s">
        <v>196</v>
      </c>
      <c r="G4" s="166" t="s">
        <v>197</v>
      </c>
      <c r="H4" s="166" t="s">
        <v>195</v>
      </c>
      <c r="I4" s="166" t="s">
        <v>196</v>
      </c>
      <c r="J4" s="166" t="s">
        <v>197</v>
      </c>
    </row>
    <row r="5" spans="1:10">
      <c r="A5" s="171"/>
      <c r="B5" s="169"/>
      <c r="C5" s="169"/>
      <c r="D5" s="169"/>
      <c r="E5" s="169"/>
      <c r="F5" s="169"/>
      <c r="G5" s="169"/>
      <c r="H5" s="170"/>
      <c r="I5" s="170"/>
      <c r="J5" s="170"/>
    </row>
    <row r="6" spans="1:10">
      <c r="A6" s="171">
        <v>2001</v>
      </c>
      <c r="B6" s="169">
        <f>('2I'!C5*52*'4M'!Q6)/1000</f>
        <v>5293.5219999999999</v>
      </c>
      <c r="C6" s="169">
        <f>('2I'!E5*52*'4M'!U6)/1000</f>
        <v>11710.3896</v>
      </c>
      <c r="D6" s="169">
        <f>('2I'!I5*52*'4M'!Y6)/1000</f>
        <v>18709.2048</v>
      </c>
      <c r="E6" s="169">
        <f>('2G'!C5*52*'4M'!AD6)/1000</f>
        <v>16689.867999999999</v>
      </c>
      <c r="F6" s="169">
        <f>('2G'!E5*52*'4M'!AH6)/1000</f>
        <v>63106.368000000002</v>
      </c>
      <c r="G6" s="169">
        <f>('2G'!I5*52*'4M'!AL6)/1000</f>
        <v>48447.973599999998</v>
      </c>
      <c r="H6" s="170">
        <f t="shared" ref="H6:J13" si="0">((B6+E6)/1000)*(1000)</f>
        <v>21983.39</v>
      </c>
      <c r="I6" s="170">
        <f t="shared" si="0"/>
        <v>74816.757599999997</v>
      </c>
      <c r="J6" s="170">
        <f t="shared" si="0"/>
        <v>67157.178400000004</v>
      </c>
    </row>
    <row r="7" spans="1:10">
      <c r="A7" s="171">
        <v>2002</v>
      </c>
      <c r="B7" s="169">
        <f>('2I'!C6*52*'4M'!Q7)/1000</f>
        <v>4621.63</v>
      </c>
      <c r="C7" s="169">
        <f>('2I'!E6*52*'4M'!U7)/1000</f>
        <v>10567.647999999999</v>
      </c>
      <c r="D7" s="169">
        <f>('2I'!I6*52*'4M'!Y7)/1000</f>
        <v>16023.945599999999</v>
      </c>
      <c r="E7" s="169">
        <f>('2G'!C6*52*'4M'!AD7)/1000</f>
        <v>16655.230799999998</v>
      </c>
      <c r="F7" s="169">
        <f>('2G'!E6*52*'4M'!AH7)/1000</f>
        <v>66914.645199999999</v>
      </c>
      <c r="G7" s="169">
        <f>('2G'!I6*52*'4M'!AL7)/1000</f>
        <v>46049.88960000001</v>
      </c>
      <c r="H7" s="170">
        <f t="shared" si="0"/>
        <v>21276.860799999999</v>
      </c>
      <c r="I7" s="170">
        <f t="shared" si="0"/>
        <v>77482.2932</v>
      </c>
      <c r="J7" s="170">
        <f t="shared" si="0"/>
        <v>62073.835200000009</v>
      </c>
    </row>
    <row r="8" spans="1:10">
      <c r="A8" s="171">
        <v>2003</v>
      </c>
      <c r="B8" s="169">
        <f>('2I'!C7*52*'4M'!Q8)/1000</f>
        <v>4805.0495999999994</v>
      </c>
      <c r="C8" s="169">
        <f>('2I'!E7*52*'4M'!U8)/1000</f>
        <v>12364.799199999999</v>
      </c>
      <c r="D8" s="169">
        <f>('2I'!I7*52*'4M'!Y8)/1000</f>
        <v>13277.9972</v>
      </c>
      <c r="E8" s="169">
        <f>('2G'!C7*52*'4M'!AD8)/1000</f>
        <v>16297.6996</v>
      </c>
      <c r="F8" s="169">
        <f>('2G'!E7*52*'4M'!AH8)/1000</f>
        <v>67259.504000000001</v>
      </c>
      <c r="G8" s="169">
        <f>('2G'!I7*52*'4M'!AL8)/1000</f>
        <v>48858.2016</v>
      </c>
      <c r="H8" s="170">
        <f t="shared" si="0"/>
        <v>21102.749199999998</v>
      </c>
      <c r="I8" s="170">
        <f t="shared" si="0"/>
        <v>79624.303199999995</v>
      </c>
      <c r="J8" s="170">
        <f t="shared" si="0"/>
        <v>62136.198799999998</v>
      </c>
    </row>
    <row r="9" spans="1:10">
      <c r="A9" s="171">
        <v>2004</v>
      </c>
      <c r="B9" s="169">
        <f>('2I'!C8*52*'4M'!Q9)/1000</f>
        <v>4810.4315999999999</v>
      </c>
      <c r="C9" s="169">
        <f>('2I'!E8*52*'4M'!U9)/1000</f>
        <v>15501.865600000001</v>
      </c>
      <c r="D9" s="169">
        <f>('2I'!I8*52*'4M'!Y9)/1000</f>
        <v>12906.7536</v>
      </c>
      <c r="E9" s="169">
        <f>('2G'!C8*52*'4M'!AD9)/1000</f>
        <v>16011.777599999999</v>
      </c>
      <c r="F9" s="169">
        <f>('2G'!E8*52*'4M'!AH9)/1000</f>
        <v>70493.8</v>
      </c>
      <c r="G9" s="169">
        <f>('2G'!I8*52*'4M'!AL9)/1000</f>
        <v>46397.624000000003</v>
      </c>
      <c r="H9" s="170">
        <f t="shared" si="0"/>
        <v>20822.209199999998</v>
      </c>
      <c r="I9" s="170">
        <f t="shared" si="0"/>
        <v>85995.665600000008</v>
      </c>
      <c r="J9" s="170">
        <f t="shared" si="0"/>
        <v>59304.377600000007</v>
      </c>
    </row>
    <row r="10" spans="1:10">
      <c r="A10" s="171">
        <v>2005</v>
      </c>
      <c r="B10" s="169">
        <f>('2I'!C9*52*'4M'!Q10)/1000</f>
        <v>4143.1104000000005</v>
      </c>
      <c r="C10" s="169">
        <f>('2I'!E9*52*'4M'!U10)/1000</f>
        <v>17676.781200000001</v>
      </c>
      <c r="D10" s="169">
        <f>('2I'!I9*52*'4M'!Y10)/1000</f>
        <v>16725.072</v>
      </c>
      <c r="E10" s="169">
        <f>('2G'!C9*52*'4M'!AD10)/1000</f>
        <v>17955.1008</v>
      </c>
      <c r="F10" s="169">
        <f>('2G'!E9*52*'4M'!AH10)/1000</f>
        <v>68411.096000000005</v>
      </c>
      <c r="G10" s="169">
        <f>('2G'!I9*52*'4M'!AL10)/1000</f>
        <v>42010.810400000002</v>
      </c>
      <c r="H10" s="170">
        <f t="shared" si="0"/>
        <v>22098.211200000002</v>
      </c>
      <c r="I10" s="170">
        <f t="shared" si="0"/>
        <v>86087.877200000003</v>
      </c>
      <c r="J10" s="170">
        <f t="shared" si="0"/>
        <v>58735.882400000002</v>
      </c>
    </row>
    <row r="11" spans="1:10">
      <c r="A11" s="171">
        <v>2006</v>
      </c>
      <c r="B11" s="169">
        <f>('2I'!C10*52*'4M'!Q11)/1000</f>
        <v>5280.9120000000003</v>
      </c>
      <c r="C11" s="169">
        <f>('2I'!E10*52*'4M'!U11)/1000</f>
        <v>17093.439999999999</v>
      </c>
      <c r="D11" s="169">
        <f>('2I'!I10*52*'4M'!Y11)/1000</f>
        <v>16807.5648</v>
      </c>
      <c r="E11" s="169">
        <f>('2G'!C10*52*'4M'!AD11)/1000</f>
        <v>17007.827200000003</v>
      </c>
      <c r="F11" s="169">
        <f>('2G'!E10*52*'4M'!AH11)/1000</f>
        <v>62887.052799999998</v>
      </c>
      <c r="G11" s="169">
        <f>('2G'!I10*52*'4M'!AL11)/1000</f>
        <v>38054.483999999997</v>
      </c>
      <c r="H11" s="170">
        <f t="shared" si="0"/>
        <v>22288.739200000004</v>
      </c>
      <c r="I11" s="170">
        <f t="shared" si="0"/>
        <v>79980.492799999993</v>
      </c>
      <c r="J11" s="170">
        <f t="shared" si="0"/>
        <v>54862.048799999997</v>
      </c>
    </row>
    <row r="12" spans="1:10">
      <c r="A12" s="171">
        <v>2007</v>
      </c>
      <c r="B12" s="169">
        <f>('2I'!C11*52*'4M'!Q12)/1000</f>
        <v>5417.4120000000003</v>
      </c>
      <c r="C12" s="169">
        <f>('2I'!E11*52*'4M'!U12)/1000</f>
        <v>9877.14</v>
      </c>
      <c r="D12" s="169">
        <f>('2I'!I11*52*'4M'!Y12)/1000</f>
        <v>17072.848000000002</v>
      </c>
      <c r="E12" s="169">
        <f>('2G'!C11*52*'4M'!AD12)/1000</f>
        <v>15972.663199999999</v>
      </c>
      <c r="F12" s="169">
        <f>('2G'!E11*52*'4M'!AH12)/1000</f>
        <v>63350.6224</v>
      </c>
      <c r="G12" s="169">
        <f>('2G'!I11*52*'4M'!AL12)/1000</f>
        <v>36636.350399999996</v>
      </c>
      <c r="H12" s="170">
        <f t="shared" si="0"/>
        <v>21390.075199999999</v>
      </c>
      <c r="I12" s="170">
        <f t="shared" si="0"/>
        <v>73227.762400000007</v>
      </c>
      <c r="J12" s="170">
        <f t="shared" si="0"/>
        <v>53709.198399999994</v>
      </c>
    </row>
    <row r="13" spans="1:10">
      <c r="A13" s="171">
        <v>2008</v>
      </c>
      <c r="B13" s="169">
        <f>('2I'!C12*52*'4M'!Q13)/1000</f>
        <v>5222.2299999999996</v>
      </c>
      <c r="C13" s="169">
        <f>('2I'!E12*52*'4M'!U13)/1000</f>
        <v>13316.388800000001</v>
      </c>
      <c r="D13" s="169">
        <f>('2I'!I12*52*'4M'!Y13)/1000</f>
        <v>13841.287200000001</v>
      </c>
      <c r="E13" s="169">
        <f>('2G'!C12*52*'4M'!AD13)/1000</f>
        <v>13706.4252</v>
      </c>
      <c r="F13" s="169">
        <f>('2G'!E12*52*'4M'!AH13)/1000</f>
        <v>49420.316399999996</v>
      </c>
      <c r="G13" s="169">
        <f>('2G'!I12*52*'4M'!AL13)/1000</f>
        <v>36576.976799999997</v>
      </c>
      <c r="H13" s="170">
        <f t="shared" si="0"/>
        <v>18928.655200000001</v>
      </c>
      <c r="I13" s="170">
        <f t="shared" si="0"/>
        <v>62736.705199999997</v>
      </c>
      <c r="J13" s="170">
        <f t="shared" si="0"/>
        <v>50418.263999999996</v>
      </c>
    </row>
    <row r="14" spans="1:10">
      <c r="A14" s="171">
        <v>2009</v>
      </c>
      <c r="B14" s="169" t="s">
        <v>10</v>
      </c>
      <c r="C14" s="169">
        <f>('2I'!E13*52*'4M'!U14)/1000</f>
        <v>9381.1848000000009</v>
      </c>
      <c r="D14" s="169">
        <f>('2I'!I13*52*'4M'!Y14)/1000</f>
        <v>15592.413200000001</v>
      </c>
      <c r="E14" s="169" t="s">
        <v>10</v>
      </c>
      <c r="F14" s="169">
        <f>('2G'!E13*52*'4M'!AH14)/1000</f>
        <v>39973.861199999992</v>
      </c>
      <c r="G14" s="169">
        <f>('2G'!I13*52*'4M'!AL14)/1000</f>
        <v>37990.5916</v>
      </c>
      <c r="H14" s="170" t="s">
        <v>10</v>
      </c>
      <c r="I14" s="170">
        <f t="shared" ref="I14:J17" si="1">((C14+F14)/1000)*(1000)</f>
        <v>49355.045999999995</v>
      </c>
      <c r="J14" s="170">
        <f t="shared" si="1"/>
        <v>53583.004800000002</v>
      </c>
    </row>
    <row r="15" spans="1:10">
      <c r="A15" s="171">
        <v>2010</v>
      </c>
      <c r="B15" s="169" t="s">
        <v>10</v>
      </c>
      <c r="C15" s="169">
        <f>('2I'!E14*52*'4M'!U15)/1000</f>
        <v>6748.5236000000004</v>
      </c>
      <c r="D15" s="169">
        <f>('2I'!I14*52*'4M'!Y15)/1000</f>
        <v>17847.164399999998</v>
      </c>
      <c r="E15" s="169">
        <f>('2G'!C14*52*'4M'!AD15)/1000</f>
        <v>10415.605200000002</v>
      </c>
      <c r="F15" s="169">
        <f>('2G'!E14*52*'4M'!AH15)/1000</f>
        <v>43967.866799999996</v>
      </c>
      <c r="G15" s="169">
        <f>('2G'!I14*52*'4M'!AL15)/1000</f>
        <v>31122.800800000001</v>
      </c>
      <c r="H15" s="170" t="s">
        <v>10</v>
      </c>
      <c r="I15" s="170">
        <f t="shared" si="1"/>
        <v>50716.390399999997</v>
      </c>
      <c r="J15" s="170">
        <f t="shared" si="1"/>
        <v>48969.965199999999</v>
      </c>
    </row>
    <row r="16" spans="1:10">
      <c r="A16" s="171">
        <v>2011</v>
      </c>
      <c r="B16" s="169">
        <f>('2I'!C15*52*'4M'!Q16)/1000</f>
        <v>2523.5392000000002</v>
      </c>
      <c r="C16" s="169">
        <f>('2I'!E15*52*'4M'!U16)/1000</f>
        <v>6213.35</v>
      </c>
      <c r="D16" s="169">
        <f>('2I'!I15*52*'4M'!Y16)/1000</f>
        <v>19505.376800000002</v>
      </c>
      <c r="E16" s="169">
        <f>('2G'!C15*52*'4M'!AD16)/1000</f>
        <v>10619.7</v>
      </c>
      <c r="F16" s="169">
        <f>('2G'!E15*52*'4M'!AH16)/1000</f>
        <v>42627.873599999999</v>
      </c>
      <c r="G16" s="169">
        <f>('2G'!I15*52*'4M'!AL16)/1000</f>
        <v>29372.803199999998</v>
      </c>
      <c r="H16" s="170">
        <f>((B16+E16)/1000)*(1000)</f>
        <v>13143.2392</v>
      </c>
      <c r="I16" s="170">
        <f t="shared" si="1"/>
        <v>48841.223599999998</v>
      </c>
      <c r="J16" s="170">
        <f t="shared" si="1"/>
        <v>48878.18</v>
      </c>
    </row>
    <row r="17" spans="1:10">
      <c r="A17" s="171">
        <v>2012</v>
      </c>
      <c r="B17" s="169" t="s">
        <v>10</v>
      </c>
      <c r="C17" s="169">
        <f>('2I'!E16*52*'4M'!U17)/1000</f>
        <v>7484.2092000000002</v>
      </c>
      <c r="D17" s="169">
        <f>('2I'!I16*52*'4M'!Y17)/1000</f>
        <v>19841.2552</v>
      </c>
      <c r="E17" s="169">
        <f>('2G'!C16*52*'4M'!AD17)/1000</f>
        <v>9274.6524000000009</v>
      </c>
      <c r="F17" s="169">
        <f>('2G'!E16*52*'4M'!AH17)/1000</f>
        <v>42106.147199999992</v>
      </c>
      <c r="G17" s="169">
        <f>('2G'!I16*52*'4M'!AL17)/1000</f>
        <v>26466.585600000002</v>
      </c>
      <c r="H17" s="170" t="s">
        <v>10</v>
      </c>
      <c r="I17" s="170">
        <f t="shared" si="1"/>
        <v>49590.35639999999</v>
      </c>
      <c r="J17" s="170">
        <f t="shared" si="1"/>
        <v>46307.840800000005</v>
      </c>
    </row>
    <row r="18" spans="1:10">
      <c r="A18" s="171">
        <v>2013</v>
      </c>
      <c r="B18" s="169" t="s">
        <v>10</v>
      </c>
      <c r="C18" s="169" t="s">
        <v>10</v>
      </c>
      <c r="D18" s="169">
        <f>('2I'!I17*52*'4M'!Y18)/1000</f>
        <v>18351.84</v>
      </c>
      <c r="E18" s="169">
        <f>('2G'!C17*52*'4M'!AD18)/1000</f>
        <v>9830.402399999999</v>
      </c>
      <c r="F18" s="169" t="s">
        <v>10</v>
      </c>
      <c r="G18" s="169">
        <f>('2G'!I17*52*'4M'!AL18)/1000</f>
        <v>28794.558000000001</v>
      </c>
      <c r="H18" s="170" t="s">
        <v>10</v>
      </c>
      <c r="I18" s="170" t="s">
        <v>10</v>
      </c>
      <c r="J18" s="170">
        <f>((D18+G18)/1000)*(1000)</f>
        <v>47146.398000000001</v>
      </c>
    </row>
    <row r="19" spans="1:10" s="165" customFormat="1">
      <c r="A19" s="171"/>
      <c r="B19" s="169"/>
      <c r="C19" s="169"/>
      <c r="D19" s="169"/>
      <c r="E19" s="169"/>
      <c r="F19" s="169"/>
      <c r="G19" s="169"/>
      <c r="H19" s="170"/>
      <c r="I19" s="170"/>
      <c r="J19" s="170"/>
    </row>
    <row r="20" spans="1:10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</row>
    <row r="21" spans="1:10">
      <c r="A21" s="172" t="s">
        <v>71</v>
      </c>
      <c r="B21" s="173">
        <f>((B12/B6)^(1/6)-1)*100</f>
        <v>0.38631765385643835</v>
      </c>
      <c r="C21" s="173">
        <f t="shared" ref="C21:J21" si="2">((C12/C6)^(1/6)-1)*100</f>
        <v>-2.797676964570539</v>
      </c>
      <c r="D21" s="173">
        <f t="shared" si="2"/>
        <v>-1.5138620110802692</v>
      </c>
      <c r="E21" s="173">
        <f t="shared" si="2"/>
        <v>-0.729378987978202</v>
      </c>
      <c r="F21" s="173">
        <f t="shared" si="2"/>
        <v>6.4404862209932467E-2</v>
      </c>
      <c r="G21" s="173">
        <f t="shared" si="2"/>
        <v>-4.5506963075132134</v>
      </c>
      <c r="H21" s="173">
        <f t="shared" si="2"/>
        <v>-0.45496404624132403</v>
      </c>
      <c r="I21" s="173">
        <f t="shared" si="2"/>
        <v>-0.35714862088838117</v>
      </c>
      <c r="J21" s="173">
        <f t="shared" si="2"/>
        <v>-3.6556972037128266</v>
      </c>
    </row>
    <row r="22" spans="1:10">
      <c r="A22" s="172" t="s">
        <v>69</v>
      </c>
      <c r="B22" s="173" t="s">
        <v>10</v>
      </c>
      <c r="C22" s="173" t="s">
        <v>10</v>
      </c>
      <c r="D22" s="173">
        <f t="shared" ref="D22:J22" si="3">((D18/D12)^(1/6)-1)*100</f>
        <v>1.2112852971213117</v>
      </c>
      <c r="E22" s="173">
        <f t="shared" si="3"/>
        <v>-7.7713906538863338</v>
      </c>
      <c r="F22" s="173" t="s">
        <v>10</v>
      </c>
      <c r="G22" s="173">
        <f t="shared" si="3"/>
        <v>-3.9347386240338622</v>
      </c>
      <c r="H22" s="173" t="s">
        <v>10</v>
      </c>
      <c r="I22" s="173" t="s">
        <v>10</v>
      </c>
      <c r="J22" s="173">
        <f t="shared" si="3"/>
        <v>-2.1486906711426945</v>
      </c>
    </row>
    <row r="23" spans="1:10">
      <c r="A23" s="142" t="s">
        <v>72</v>
      </c>
      <c r="B23" s="173" t="s">
        <v>10</v>
      </c>
      <c r="C23" s="173" t="s">
        <v>10</v>
      </c>
      <c r="D23" s="173">
        <f t="shared" ref="D23:J23" si="4">((D18/D6)^(1/12)-1)*100</f>
        <v>-0.16058589009942947</v>
      </c>
      <c r="E23" s="173">
        <f t="shared" si="4"/>
        <v>-4.3151457916987717</v>
      </c>
      <c r="F23" s="173" t="s">
        <v>10</v>
      </c>
      <c r="G23" s="173">
        <f t="shared" si="4"/>
        <v>-4.2432127346958559</v>
      </c>
      <c r="H23" s="173" t="s">
        <v>10</v>
      </c>
      <c r="I23" s="173" t="s">
        <v>10</v>
      </c>
      <c r="J23" s="173">
        <f t="shared" si="4"/>
        <v>-2.9051176683725033</v>
      </c>
    </row>
    <row r="24" spans="1:10">
      <c r="A24" s="167"/>
      <c r="B24" s="173"/>
      <c r="C24" s="173"/>
      <c r="D24" s="173"/>
      <c r="E24" s="173"/>
      <c r="F24" s="173"/>
      <c r="G24" s="173"/>
      <c r="H24" s="173"/>
      <c r="I24" s="173"/>
      <c r="J24" s="173"/>
    </row>
    <row r="25" spans="1:10">
      <c r="A25" s="227" t="s">
        <v>306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8">
    <mergeCell ref="A1:J1"/>
    <mergeCell ref="A20:J20"/>
    <mergeCell ref="B2:D2"/>
    <mergeCell ref="E2:G2"/>
    <mergeCell ref="H2:J2"/>
    <mergeCell ref="B3:D3"/>
    <mergeCell ref="E3:G3"/>
    <mergeCell ref="H3:J3"/>
  </mergeCells>
  <printOptions gridLines="1"/>
  <pageMargins left="0.7" right="0.7" top="0.75" bottom="0.75" header="0.3" footer="0.3"/>
  <pageSetup scale="72" fitToHeight="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13" style="165" customWidth="1"/>
    <col min="2" max="2" width="9.140625" style="165"/>
    <col min="3" max="3" width="10.140625" style="165" bestFit="1" customWidth="1"/>
    <col min="4" max="4" width="14.140625" style="165" customWidth="1"/>
    <col min="5" max="6" width="10.140625" style="165" bestFit="1" customWidth="1"/>
    <col min="7" max="7" width="15.85546875" style="165" customWidth="1"/>
    <col min="8" max="9" width="10.140625" style="165" bestFit="1" customWidth="1"/>
    <col min="10" max="10" width="22" style="165" customWidth="1"/>
    <col min="11" max="16384" width="9.140625" style="165"/>
  </cols>
  <sheetData>
    <row r="1" spans="1:10">
      <c r="A1" s="456" t="s">
        <v>222</v>
      </c>
      <c r="B1" s="456"/>
      <c r="C1" s="456"/>
      <c r="D1" s="456"/>
      <c r="E1" s="456"/>
      <c r="F1" s="456"/>
      <c r="G1" s="456"/>
      <c r="H1" s="456"/>
      <c r="I1" s="456"/>
      <c r="J1" s="456"/>
    </row>
    <row r="2" spans="1:10">
      <c r="A2" s="139"/>
      <c r="B2" s="456" t="s">
        <v>215</v>
      </c>
      <c r="C2" s="456"/>
      <c r="D2" s="456"/>
      <c r="E2" s="456" t="s">
        <v>216</v>
      </c>
      <c r="F2" s="456"/>
      <c r="G2" s="456"/>
      <c r="H2" s="456" t="s">
        <v>217</v>
      </c>
      <c r="I2" s="456"/>
      <c r="J2" s="456"/>
    </row>
    <row r="3" spans="1:10">
      <c r="A3" s="139"/>
      <c r="B3" s="459" t="s">
        <v>218</v>
      </c>
      <c r="C3" s="459"/>
      <c r="D3" s="459"/>
      <c r="E3" s="459" t="s">
        <v>219</v>
      </c>
      <c r="F3" s="459"/>
      <c r="G3" s="459"/>
      <c r="H3" s="459" t="s">
        <v>220</v>
      </c>
      <c r="I3" s="459"/>
      <c r="J3" s="459"/>
    </row>
    <row r="4" spans="1:10" ht="60">
      <c r="A4" s="139"/>
      <c r="B4" s="166" t="s">
        <v>195</v>
      </c>
      <c r="C4" s="166" t="s">
        <v>196</v>
      </c>
      <c r="D4" s="166" t="s">
        <v>197</v>
      </c>
      <c r="E4" s="166" t="s">
        <v>195</v>
      </c>
      <c r="F4" s="166" t="s">
        <v>196</v>
      </c>
      <c r="G4" s="166" t="s">
        <v>197</v>
      </c>
      <c r="H4" s="166" t="s">
        <v>195</v>
      </c>
      <c r="I4" s="166" t="s">
        <v>196</v>
      </c>
      <c r="J4" s="166" t="s">
        <v>197</v>
      </c>
    </row>
    <row r="5" spans="1:10">
      <c r="A5" s="171"/>
      <c r="B5" s="169"/>
      <c r="C5" s="169"/>
      <c r="D5" s="169"/>
      <c r="E5" s="169"/>
      <c r="F5" s="169"/>
      <c r="G5" s="169"/>
      <c r="H5" s="170"/>
      <c r="I5" s="170"/>
      <c r="J5" s="170"/>
    </row>
    <row r="6" spans="1:10">
      <c r="A6" s="171">
        <v>2001</v>
      </c>
      <c r="B6" s="169">
        <f>('2J'!C5*52*'4N'!Q6)/1000</f>
        <v>3588.52</v>
      </c>
      <c r="C6" s="169">
        <f>('2J'!E5*52*'4N'!U6)/1000</f>
        <v>8285.3888000000006</v>
      </c>
      <c r="D6" s="169">
        <f>('2J'!I5*52*'4N'!Y6)/1000</f>
        <v>19653.098400000003</v>
      </c>
      <c r="E6" s="169">
        <f>('2H'!C5*52*'4N'!AD6)/1000</f>
        <v>8232.3383999999987</v>
      </c>
      <c r="F6" s="169">
        <f>('2H'!E5*52*'4N'!AH6)/1000</f>
        <v>43705.661999999997</v>
      </c>
      <c r="G6" s="169">
        <f>('2H'!I5*52*'4N'!AL6)/1000</f>
        <v>51388.365599999997</v>
      </c>
      <c r="H6" s="170">
        <f>((B6+E6)/1000)*(1000)</f>
        <v>11820.858399999999</v>
      </c>
      <c r="I6" s="170">
        <f>((C6+F6)/1000)*(1000)</f>
        <v>51991.050799999997</v>
      </c>
      <c r="J6" s="170">
        <f>((D6+G6)/1000)*(1000)</f>
        <v>71041.464000000007</v>
      </c>
    </row>
    <row r="7" spans="1:10">
      <c r="A7" s="171">
        <v>2002</v>
      </c>
      <c r="B7" s="169">
        <f>('2J'!C6*52*'4N'!Q7)/1000</f>
        <v>2602.6</v>
      </c>
      <c r="C7" s="169">
        <f>('2J'!E6*52*'4N'!U7)/1000</f>
        <v>8807.2919999999995</v>
      </c>
      <c r="D7" s="169">
        <f>('2J'!I6*52*'4N'!Y7)/1000</f>
        <v>17462.2968</v>
      </c>
      <c r="E7" s="169">
        <f>('2H'!C6*52*'4N'!AD7)/1000</f>
        <v>8220.8256000000001</v>
      </c>
      <c r="F7" s="169">
        <f>('2H'!E6*52*'4N'!AH7)/1000</f>
        <v>47220.472000000002</v>
      </c>
      <c r="G7" s="169">
        <f>('2H'!I6*52*'4N'!AL7)/1000</f>
        <v>52052.457600000009</v>
      </c>
      <c r="H7" s="170">
        <f t="shared" ref="H7:H13" si="0">((B7+E7)/1000)*(1000)</f>
        <v>10823.4256</v>
      </c>
      <c r="I7" s="170">
        <f t="shared" ref="I7:I16" si="1">((C7+F7)/1000)*(1000)</f>
        <v>56027.764000000003</v>
      </c>
      <c r="J7" s="170">
        <f t="shared" ref="J7:J18" si="2">((D7+G7)/1000)*(1000)</f>
        <v>69514.754400000005</v>
      </c>
    </row>
    <row r="8" spans="1:10">
      <c r="A8" s="171">
        <v>2003</v>
      </c>
      <c r="B8" s="169">
        <f>('2J'!C7*52*'4N'!Q8)/1000</f>
        <v>2611.6999999999998</v>
      </c>
      <c r="C8" s="169">
        <f>('2J'!E7*52*'4N'!U8)/1000</f>
        <v>8748.3240000000005</v>
      </c>
      <c r="D8" s="169">
        <f>('2J'!I7*52*'4N'!Y8)/1000</f>
        <v>15205.632</v>
      </c>
      <c r="E8" s="169">
        <f>('2H'!C7*52*'4N'!AD8)/1000</f>
        <v>7233.4080000000004</v>
      </c>
      <c r="F8" s="169">
        <f>('2H'!E7*52*'4N'!AH8)/1000</f>
        <v>43402.361600000004</v>
      </c>
      <c r="G8" s="169">
        <f>('2H'!I7*52*'4N'!AL8)/1000</f>
        <v>54547.833599999991</v>
      </c>
      <c r="H8" s="170">
        <f t="shared" si="0"/>
        <v>9845.1080000000002</v>
      </c>
      <c r="I8" s="170">
        <f t="shared" si="1"/>
        <v>52150.685600000004</v>
      </c>
      <c r="J8" s="170">
        <f t="shared" si="2"/>
        <v>69753.465599999996</v>
      </c>
    </row>
    <row r="9" spans="1:10">
      <c r="A9" s="171">
        <v>2004</v>
      </c>
      <c r="B9" s="169">
        <f>('2J'!C8*52*'4N'!Q9)/1000</f>
        <v>2476.9991999999997</v>
      </c>
      <c r="C9" s="169">
        <f>('2J'!E8*52*'4N'!U9)/1000</f>
        <v>10129.901600000001</v>
      </c>
      <c r="D9" s="169">
        <f>('2J'!I8*52*'4N'!Y9)/1000</f>
        <v>14988.948</v>
      </c>
      <c r="E9" s="169">
        <f>('2H'!C8*52*'4N'!AD9)/1000</f>
        <v>7838.5268000000005</v>
      </c>
      <c r="F9" s="169">
        <f>('2H'!E8*52*'4N'!AH9)/1000</f>
        <v>43113.761599999998</v>
      </c>
      <c r="G9" s="169">
        <f>('2H'!I8*52*'4N'!AL9)/1000</f>
        <v>52525.2</v>
      </c>
      <c r="H9" s="170">
        <f t="shared" si="0"/>
        <v>10315.526</v>
      </c>
      <c r="I9" s="170">
        <f t="shared" si="1"/>
        <v>53243.663199999995</v>
      </c>
      <c r="J9" s="170">
        <f t="shared" si="2"/>
        <v>67514.148000000001</v>
      </c>
    </row>
    <row r="10" spans="1:10">
      <c r="A10" s="171">
        <v>2005</v>
      </c>
      <c r="B10" s="169">
        <f>('2J'!C9*52*'4N'!Q10)/1000</f>
        <v>2113.6908000000003</v>
      </c>
      <c r="C10" s="169">
        <f>('2J'!E9*52*'4N'!U10)/1000</f>
        <v>11682.06</v>
      </c>
      <c r="D10" s="169">
        <f>('2J'!I9*52*'4N'!Y10)/1000</f>
        <v>17923.6512</v>
      </c>
      <c r="E10" s="169">
        <f>('2H'!C9*52*'4N'!AD10)/1000</f>
        <v>8226.4623999999985</v>
      </c>
      <c r="F10" s="169">
        <f>('2H'!E9*52*'4N'!AH10)/1000</f>
        <v>43054.096799999999</v>
      </c>
      <c r="G10" s="169">
        <f>('2H'!I9*52*'4N'!AL10)/1000</f>
        <v>44183.646000000001</v>
      </c>
      <c r="H10" s="170">
        <f t="shared" si="0"/>
        <v>10340.153199999999</v>
      </c>
      <c r="I10" s="170">
        <f t="shared" si="1"/>
        <v>54736.156799999997</v>
      </c>
      <c r="J10" s="170">
        <f t="shared" si="2"/>
        <v>62107.297200000001</v>
      </c>
    </row>
    <row r="11" spans="1:10">
      <c r="A11" s="171">
        <v>2006</v>
      </c>
      <c r="B11" s="169">
        <f>('2J'!C10*52*'4N'!Q11)/1000</f>
        <v>2291.9</v>
      </c>
      <c r="C11" s="169">
        <f>('2J'!E10*52*'4N'!U11)/1000</f>
        <v>11233.809600000001</v>
      </c>
      <c r="D11" s="169">
        <f>('2J'!I10*52*'4N'!Y11)/1000</f>
        <v>18349.063200000001</v>
      </c>
      <c r="E11" s="169">
        <f>('2H'!C10*52*'4N'!AD11)/1000</f>
        <v>7923.0060000000012</v>
      </c>
      <c r="F11" s="169">
        <f>('2H'!E10*52*'4N'!AH11)/1000</f>
        <v>39131.206399999995</v>
      </c>
      <c r="G11" s="169">
        <f>('2H'!I10*52*'4N'!AL11)/1000</f>
        <v>41487.638399999996</v>
      </c>
      <c r="H11" s="170">
        <f t="shared" si="0"/>
        <v>10214.906000000001</v>
      </c>
      <c r="I11" s="170">
        <f t="shared" si="1"/>
        <v>50365.015999999996</v>
      </c>
      <c r="J11" s="170">
        <f t="shared" si="2"/>
        <v>59836.7016</v>
      </c>
    </row>
    <row r="12" spans="1:10">
      <c r="A12" s="171">
        <v>2007</v>
      </c>
      <c r="B12" s="169">
        <f>('2J'!C11*52*'4N'!Q12)/1000</f>
        <v>1600.3728000000001</v>
      </c>
      <c r="C12" s="169">
        <f>('2J'!E11*52*'4N'!U12)/1000</f>
        <v>6783.348</v>
      </c>
      <c r="D12" s="169">
        <f>('2J'!I11*52*'4N'!Y12)/1000</f>
        <v>16816.098000000002</v>
      </c>
      <c r="E12" s="169">
        <f>('2H'!C11*52*'4N'!AD12)/1000</f>
        <v>7613.579999999999</v>
      </c>
      <c r="F12" s="169">
        <f>('2H'!E11*52*'4N'!AH12)/1000</f>
        <v>41234.356799999994</v>
      </c>
      <c r="G12" s="169">
        <f>('2H'!I11*52*'4N'!AL12)/1000</f>
        <v>37434.773999999998</v>
      </c>
      <c r="H12" s="170">
        <f t="shared" si="0"/>
        <v>9213.9527999999991</v>
      </c>
      <c r="I12" s="170">
        <f t="shared" si="1"/>
        <v>48017.704799999992</v>
      </c>
      <c r="J12" s="170">
        <f t="shared" si="2"/>
        <v>54250.872000000003</v>
      </c>
    </row>
    <row r="13" spans="1:10">
      <c r="A13" s="171">
        <v>2008</v>
      </c>
      <c r="B13" s="169">
        <f>('2J'!C12*52*'4N'!Q13)/1000</f>
        <v>1027.5563999999999</v>
      </c>
      <c r="C13" s="169">
        <f>('2J'!E12*52*'4N'!U13)/1000</f>
        <v>8666.351200000001</v>
      </c>
      <c r="D13" s="169">
        <f>('2J'!I12*52*'4N'!Y13)/1000</f>
        <v>12981.28</v>
      </c>
      <c r="E13" s="169">
        <f>('2H'!C12*52*'4N'!AD13)/1000</f>
        <v>6702.3007999999991</v>
      </c>
      <c r="F13" s="169">
        <f>('2H'!E12*52*'4N'!AH13)/1000</f>
        <v>31045.585999999999</v>
      </c>
      <c r="G13" s="169">
        <f>('2H'!I12*52*'4N'!AL13)/1000</f>
        <v>35296.996800000008</v>
      </c>
      <c r="H13" s="170">
        <f t="shared" si="0"/>
        <v>7729.8571999999986</v>
      </c>
      <c r="I13" s="170">
        <f t="shared" si="1"/>
        <v>39711.9372</v>
      </c>
      <c r="J13" s="170">
        <f t="shared" si="2"/>
        <v>48278.276800000007</v>
      </c>
    </row>
    <row r="14" spans="1:10">
      <c r="A14" s="171">
        <v>2009</v>
      </c>
      <c r="B14" s="169" t="s">
        <v>10</v>
      </c>
      <c r="C14" s="169">
        <f>('2J'!E13*52*'4N'!U14)/1000</f>
        <v>6503.3019999999997</v>
      </c>
      <c r="D14" s="169" t="s">
        <v>10</v>
      </c>
      <c r="E14" s="169" t="s">
        <v>10</v>
      </c>
      <c r="F14" s="169">
        <f>('2H'!E13*52*'4N'!AH14)/1000</f>
        <v>21800.428</v>
      </c>
      <c r="G14" s="169" t="s">
        <v>10</v>
      </c>
      <c r="H14" s="170" t="s">
        <v>10</v>
      </c>
      <c r="I14" s="170">
        <f t="shared" si="1"/>
        <v>28303.73</v>
      </c>
      <c r="J14" s="170" t="s">
        <v>10</v>
      </c>
    </row>
    <row r="15" spans="1:10">
      <c r="A15" s="171">
        <v>2010</v>
      </c>
      <c r="B15" s="169" t="s">
        <v>10</v>
      </c>
      <c r="C15" s="169">
        <f>('2J'!E14*52*'4N'!U15)/1000</f>
        <v>6418.2456000000002</v>
      </c>
      <c r="D15" s="169">
        <f>('2J'!I14*52*'4N'!Y15)/1000</f>
        <v>14101.006399999998</v>
      </c>
      <c r="E15" s="169" t="s">
        <v>10</v>
      </c>
      <c r="F15" s="169">
        <f>('2H'!E14*52*'4N'!AH15)/1000</f>
        <v>20359.794000000002</v>
      </c>
      <c r="G15" s="169">
        <f>('2H'!I14*52*'4N'!AL15)/1000</f>
        <v>25595.387999999999</v>
      </c>
      <c r="H15" s="170" t="s">
        <v>10</v>
      </c>
      <c r="I15" s="170">
        <f t="shared" si="1"/>
        <v>26778.039600000004</v>
      </c>
      <c r="J15" s="170">
        <f t="shared" si="2"/>
        <v>39696.394399999997</v>
      </c>
    </row>
    <row r="16" spans="1:10">
      <c r="A16" s="171">
        <v>2011</v>
      </c>
      <c r="B16" s="169" t="s">
        <v>10</v>
      </c>
      <c r="C16" s="169">
        <f>('2J'!E15*52*'4N'!U16)/1000</f>
        <v>5100.576</v>
      </c>
      <c r="D16" s="169">
        <f>('2J'!I15*52*'4N'!Y16)/1000</f>
        <v>12974.754000000001</v>
      </c>
      <c r="E16" s="169" t="s">
        <v>10</v>
      </c>
      <c r="F16" s="169">
        <f>('2H'!E15*52*'4N'!AH16)/1000</f>
        <v>23116.86</v>
      </c>
      <c r="G16" s="169">
        <f>('2H'!I15*52*'4N'!AL16)/1000</f>
        <v>25734.3112</v>
      </c>
      <c r="H16" s="170" t="s">
        <v>10</v>
      </c>
      <c r="I16" s="170">
        <f t="shared" si="1"/>
        <v>28217.436000000002</v>
      </c>
      <c r="J16" s="170">
        <f t="shared" si="2"/>
        <v>38709.065199999997</v>
      </c>
    </row>
    <row r="17" spans="1:10">
      <c r="A17" s="171">
        <v>2012</v>
      </c>
      <c r="B17" s="169" t="s">
        <v>10</v>
      </c>
      <c r="C17" s="169" t="s">
        <v>10</v>
      </c>
      <c r="D17" s="169">
        <f>('2J'!I16*52*'4N'!Y17)/1000</f>
        <v>10097.464</v>
      </c>
      <c r="E17" s="169" t="s">
        <v>10</v>
      </c>
      <c r="F17" s="169" t="s">
        <v>10</v>
      </c>
      <c r="G17" s="169">
        <f>('2H'!I16*52*'4N'!AL17)/1000</f>
        <v>25616.7392</v>
      </c>
      <c r="H17" s="170" t="s">
        <v>10</v>
      </c>
      <c r="I17" s="170" t="s">
        <v>10</v>
      </c>
      <c r="J17" s="170">
        <f t="shared" si="2"/>
        <v>35714.203200000004</v>
      </c>
    </row>
    <row r="18" spans="1:10">
      <c r="A18" s="171">
        <v>2013</v>
      </c>
      <c r="B18" s="169" t="s">
        <v>10</v>
      </c>
      <c r="C18" s="169" t="s">
        <v>10</v>
      </c>
      <c r="D18" s="169">
        <f>('2J'!I17*52*'4N'!Y18)/1000</f>
        <v>9487.9824000000008</v>
      </c>
      <c r="E18" s="169" t="s">
        <v>10</v>
      </c>
      <c r="F18" s="169" t="s">
        <v>10</v>
      </c>
      <c r="G18" s="169">
        <f>('2H'!I17*52*'4N'!AL18)/1000</f>
        <v>25378.376400000001</v>
      </c>
      <c r="H18" s="170" t="s">
        <v>10</v>
      </c>
      <c r="I18" s="170" t="s">
        <v>10</v>
      </c>
      <c r="J18" s="170">
        <f t="shared" si="2"/>
        <v>34866.358800000002</v>
      </c>
    </row>
    <row r="19" spans="1:10">
      <c r="A19" s="171"/>
      <c r="B19" s="169"/>
      <c r="C19" s="169"/>
      <c r="D19" s="169"/>
      <c r="E19" s="169"/>
      <c r="F19" s="169"/>
      <c r="G19" s="169"/>
      <c r="H19" s="170"/>
      <c r="I19" s="170"/>
      <c r="J19" s="170"/>
    </row>
    <row r="20" spans="1:10">
      <c r="A20" s="456" t="s">
        <v>11</v>
      </c>
      <c r="B20" s="456"/>
      <c r="C20" s="456"/>
      <c r="D20" s="456"/>
      <c r="E20" s="456"/>
      <c r="F20" s="456"/>
      <c r="G20" s="456"/>
      <c r="H20" s="456"/>
      <c r="I20" s="456"/>
      <c r="J20" s="456"/>
    </row>
    <row r="21" spans="1:10">
      <c r="A21" s="172" t="s">
        <v>71</v>
      </c>
      <c r="B21" s="173">
        <f>((B12/B6)^(1/6)-1)*100</f>
        <v>-12.592043895091598</v>
      </c>
      <c r="C21" s="173">
        <f t="shared" ref="C21:J21" si="3">((C12/C6)^(1/6)-1)*100</f>
        <v>-3.2787573736166586</v>
      </c>
      <c r="D21" s="173">
        <f t="shared" si="3"/>
        <v>-2.5648405562913257</v>
      </c>
      <c r="E21" s="173">
        <f t="shared" si="3"/>
        <v>-1.2938339093751305</v>
      </c>
      <c r="F21" s="173">
        <f t="shared" si="3"/>
        <v>-0.96540718632998068</v>
      </c>
      <c r="G21" s="173">
        <f t="shared" si="3"/>
        <v>-5.1432148280785022</v>
      </c>
      <c r="H21" s="173">
        <f t="shared" si="3"/>
        <v>-4.0674118568894695</v>
      </c>
      <c r="I21" s="173">
        <f t="shared" si="3"/>
        <v>-1.3162903008828608</v>
      </c>
      <c r="J21" s="173">
        <f t="shared" si="3"/>
        <v>-4.3945896034479404</v>
      </c>
    </row>
    <row r="22" spans="1:10">
      <c r="A22" s="172" t="s">
        <v>69</v>
      </c>
      <c r="B22" s="173" t="s">
        <v>10</v>
      </c>
      <c r="C22" s="173" t="s">
        <v>10</v>
      </c>
      <c r="D22" s="173">
        <f t="shared" ref="D22:J22" si="4">((D18/D12)^(1/6)-1)*100</f>
        <v>-9.0977205901970457</v>
      </c>
      <c r="E22" s="173" t="s">
        <v>10</v>
      </c>
      <c r="F22" s="173" t="s">
        <v>10</v>
      </c>
      <c r="G22" s="173">
        <f t="shared" si="4"/>
        <v>-6.2729884794565987</v>
      </c>
      <c r="H22" s="173" t="s">
        <v>10</v>
      </c>
      <c r="I22" s="173" t="s">
        <v>10</v>
      </c>
      <c r="J22" s="173">
        <f t="shared" si="4"/>
        <v>-7.1033658905613191</v>
      </c>
    </row>
    <row r="23" spans="1:10">
      <c r="A23" s="142" t="s">
        <v>72</v>
      </c>
      <c r="B23" s="173" t="s">
        <v>10</v>
      </c>
      <c r="C23" s="173" t="s">
        <v>10</v>
      </c>
      <c r="D23" s="173">
        <f t="shared" ref="D23:J23" si="5">((D18/D6)^(1/12)-1)*100</f>
        <v>-5.8879492939894256</v>
      </c>
      <c r="E23" s="173" t="s">
        <v>10</v>
      </c>
      <c r="F23" s="173" t="s">
        <v>10</v>
      </c>
      <c r="G23" s="173">
        <f t="shared" si="5"/>
        <v>-5.7097937396974547</v>
      </c>
      <c r="H23" s="173" t="s">
        <v>10</v>
      </c>
      <c r="I23" s="173" t="s">
        <v>10</v>
      </c>
      <c r="J23" s="173">
        <f t="shared" si="5"/>
        <v>-5.7587095350916666</v>
      </c>
    </row>
    <row r="24" spans="1:10">
      <c r="A24" s="167"/>
      <c r="B24" s="173"/>
      <c r="C24" s="173"/>
      <c r="D24" s="173"/>
      <c r="E24" s="173"/>
      <c r="F24" s="173"/>
      <c r="G24" s="173"/>
      <c r="H24" s="173"/>
      <c r="I24" s="173"/>
      <c r="J24" s="173"/>
    </row>
    <row r="25" spans="1:10">
      <c r="A25" s="227" t="s">
        <v>307</v>
      </c>
      <c r="B25" s="139"/>
      <c r="C25" s="139"/>
      <c r="D25" s="139"/>
      <c r="E25" s="139"/>
      <c r="F25" s="139"/>
      <c r="G25" s="139"/>
      <c r="H25" s="139"/>
      <c r="I25" s="139"/>
      <c r="J25" s="139"/>
    </row>
  </sheetData>
  <mergeCells count="8">
    <mergeCell ref="A20:J20"/>
    <mergeCell ref="A1:J1"/>
    <mergeCell ref="B2:D2"/>
    <mergeCell ref="E2:G2"/>
    <mergeCell ref="H2:J2"/>
    <mergeCell ref="B3:D3"/>
    <mergeCell ref="E3:G3"/>
    <mergeCell ref="H3:J3"/>
  </mergeCells>
  <printOptions gridLines="1"/>
  <pageMargins left="0.7" right="0.7" top="0.75" bottom="0.75" header="0.3" footer="0.3"/>
  <pageSetup scale="72" fitToHeight="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49"/>
  <sheetViews>
    <sheetView view="pageBreakPreview" topLeftCell="A13" zoomScaleNormal="100" zoomScaleSheetLayoutView="100" workbookViewId="0">
      <selection activeCell="F18" sqref="F18"/>
    </sheetView>
  </sheetViews>
  <sheetFormatPr defaultRowHeight="15"/>
  <cols>
    <col min="1" max="1" width="9.140625" style="239"/>
    <col min="2" max="2" width="11.140625" style="239" bestFit="1" customWidth="1"/>
    <col min="3" max="4" width="10.140625" style="239" bestFit="1" customWidth="1"/>
    <col min="5" max="7" width="10.140625" style="239" customWidth="1"/>
    <col min="8" max="10" width="10.140625" style="239" bestFit="1" customWidth="1"/>
    <col min="11" max="11" width="9.140625" style="239"/>
    <col min="12" max="28" width="0" style="239" hidden="1" customWidth="1"/>
    <col min="29" max="16384" width="9.140625" style="239"/>
  </cols>
  <sheetData>
    <row r="1" spans="1:28">
      <c r="A1" s="454" t="s">
        <v>345</v>
      </c>
      <c r="B1" s="454"/>
      <c r="C1" s="454"/>
      <c r="D1" s="454"/>
      <c r="E1" s="454"/>
      <c r="F1" s="454"/>
      <c r="G1" s="454"/>
      <c r="H1" s="454"/>
      <c r="I1" s="454"/>
      <c r="J1" s="454"/>
    </row>
    <row r="2" spans="1:28" ht="135">
      <c r="A2" s="240"/>
      <c r="B2" s="240" t="s">
        <v>8</v>
      </c>
      <c r="C2" s="240" t="s">
        <v>3</v>
      </c>
      <c r="D2" s="240" t="s">
        <v>4</v>
      </c>
      <c r="E2" s="240" t="s">
        <v>36</v>
      </c>
      <c r="F2" s="240" t="s">
        <v>37</v>
      </c>
      <c r="G2" s="240" t="s">
        <v>38</v>
      </c>
      <c r="H2" s="240" t="s">
        <v>17</v>
      </c>
      <c r="I2" s="240" t="s">
        <v>6</v>
      </c>
      <c r="J2" s="240" t="s">
        <v>7</v>
      </c>
    </row>
    <row r="3" spans="1:28">
      <c r="A3" s="240"/>
      <c r="B3" s="9"/>
      <c r="C3" s="9"/>
      <c r="D3" s="9"/>
      <c r="E3" s="9"/>
      <c r="F3" s="9"/>
      <c r="G3" s="9"/>
      <c r="H3" s="9"/>
      <c r="I3" s="9"/>
      <c r="J3" s="9"/>
    </row>
    <row r="4" spans="1:28">
      <c r="A4" s="240">
        <v>1984</v>
      </c>
      <c r="B4" s="9" t="s">
        <v>10</v>
      </c>
      <c r="C4" s="9" t="s">
        <v>10</v>
      </c>
      <c r="D4" s="9" t="s">
        <v>10</v>
      </c>
      <c r="E4" s="9" t="s">
        <v>10</v>
      </c>
      <c r="F4" s="9" t="s">
        <v>10</v>
      </c>
      <c r="G4" s="9" t="s">
        <v>10</v>
      </c>
      <c r="H4" s="9" t="s">
        <v>10</v>
      </c>
      <c r="I4" s="9" t="s">
        <v>10</v>
      </c>
      <c r="J4" s="9" t="s">
        <v>10</v>
      </c>
    </row>
    <row r="5" spans="1:28">
      <c r="A5" s="240">
        <v>1985</v>
      </c>
      <c r="B5" s="9" t="s">
        <v>10</v>
      </c>
      <c r="C5" s="9" t="s">
        <v>10</v>
      </c>
      <c r="D5" s="9" t="s">
        <v>10</v>
      </c>
      <c r="E5" s="9" t="s">
        <v>10</v>
      </c>
      <c r="F5" s="9" t="s">
        <v>10</v>
      </c>
      <c r="G5" s="9" t="s">
        <v>10</v>
      </c>
      <c r="H5" s="9" t="s">
        <v>10</v>
      </c>
      <c r="I5" s="9" t="s">
        <v>10</v>
      </c>
      <c r="J5" s="9" t="s">
        <v>10</v>
      </c>
    </row>
    <row r="6" spans="1:28">
      <c r="A6" s="240">
        <v>1986</v>
      </c>
      <c r="B6" s="9" t="s">
        <v>10</v>
      </c>
      <c r="C6" s="9" t="s">
        <v>10</v>
      </c>
      <c r="D6" s="9" t="s">
        <v>10</v>
      </c>
      <c r="E6" s="9" t="s">
        <v>10</v>
      </c>
      <c r="F6" s="9" t="s">
        <v>10</v>
      </c>
      <c r="G6" s="9" t="s">
        <v>10</v>
      </c>
      <c r="H6" s="9" t="s">
        <v>10</v>
      </c>
      <c r="I6" s="9" t="s">
        <v>10</v>
      </c>
      <c r="J6" s="9" t="s">
        <v>10</v>
      </c>
    </row>
    <row r="7" spans="1:28">
      <c r="A7" s="240">
        <v>1987</v>
      </c>
      <c r="B7" s="9" t="s">
        <v>10</v>
      </c>
      <c r="C7" s="9" t="s">
        <v>10</v>
      </c>
      <c r="D7" s="9" t="s">
        <v>10</v>
      </c>
      <c r="E7" s="9" t="s">
        <v>10</v>
      </c>
      <c r="F7" s="9" t="s">
        <v>10</v>
      </c>
      <c r="G7" s="9" t="s">
        <v>10</v>
      </c>
      <c r="H7" s="9" t="s">
        <v>10</v>
      </c>
      <c r="I7" s="9" t="s">
        <v>10</v>
      </c>
      <c r="J7" s="9" t="s">
        <v>10</v>
      </c>
    </row>
    <row r="8" spans="1:28">
      <c r="A8" s="240">
        <v>1988</v>
      </c>
      <c r="B8" s="9" t="s">
        <v>10</v>
      </c>
      <c r="C8" s="9" t="s">
        <v>10</v>
      </c>
      <c r="D8" s="9" t="s">
        <v>10</v>
      </c>
      <c r="E8" s="9" t="s">
        <v>10</v>
      </c>
      <c r="F8" s="9" t="s">
        <v>10</v>
      </c>
      <c r="G8" s="9" t="s">
        <v>10</v>
      </c>
      <c r="H8" s="9" t="s">
        <v>10</v>
      </c>
      <c r="I8" s="9" t="s">
        <v>10</v>
      </c>
      <c r="J8" s="9" t="s">
        <v>10</v>
      </c>
    </row>
    <row r="9" spans="1:28">
      <c r="A9" s="240">
        <v>1989</v>
      </c>
      <c r="B9" s="9" t="s">
        <v>10</v>
      </c>
      <c r="C9" s="9" t="s">
        <v>10</v>
      </c>
      <c r="D9" s="9" t="s">
        <v>10</v>
      </c>
      <c r="E9" s="9" t="s">
        <v>10</v>
      </c>
      <c r="F9" s="9" t="s">
        <v>10</v>
      </c>
      <c r="G9" s="9" t="s">
        <v>10</v>
      </c>
      <c r="H9" s="9" t="s">
        <v>10</v>
      </c>
      <c r="I9" s="9" t="s">
        <v>10</v>
      </c>
      <c r="J9" s="9" t="s">
        <v>10</v>
      </c>
    </row>
    <row r="10" spans="1:28">
      <c r="A10" s="240">
        <v>1990</v>
      </c>
      <c r="B10" s="9" t="s">
        <v>10</v>
      </c>
      <c r="C10" s="9" t="s">
        <v>10</v>
      </c>
      <c r="D10" s="9" t="s">
        <v>10</v>
      </c>
      <c r="E10" s="9" t="s">
        <v>10</v>
      </c>
      <c r="F10" s="9" t="s">
        <v>10</v>
      </c>
      <c r="G10" s="9" t="s">
        <v>10</v>
      </c>
      <c r="H10" s="9" t="s">
        <v>10</v>
      </c>
      <c r="I10" s="9" t="s">
        <v>10</v>
      </c>
      <c r="J10" s="9" t="s">
        <v>10</v>
      </c>
    </row>
    <row r="11" spans="1:28">
      <c r="A11" s="240">
        <v>1991</v>
      </c>
      <c r="B11" s="9" t="s">
        <v>10</v>
      </c>
      <c r="C11" s="9" t="s">
        <v>10</v>
      </c>
      <c r="D11" s="9" t="s">
        <v>10</v>
      </c>
      <c r="E11" s="9" t="s">
        <v>10</v>
      </c>
      <c r="F11" s="9" t="s">
        <v>10</v>
      </c>
      <c r="G11" s="9" t="s">
        <v>10</v>
      </c>
      <c r="H11" s="9" t="s">
        <v>10</v>
      </c>
      <c r="I11" s="9" t="s">
        <v>10</v>
      </c>
      <c r="J11" s="9" t="s">
        <v>10</v>
      </c>
    </row>
    <row r="12" spans="1:28">
      <c r="A12" s="240">
        <v>1992</v>
      </c>
      <c r="B12" s="9" t="s">
        <v>10</v>
      </c>
      <c r="C12" s="9" t="s">
        <v>10</v>
      </c>
      <c r="D12" s="9" t="s">
        <v>10</v>
      </c>
      <c r="E12" s="9" t="s">
        <v>10</v>
      </c>
      <c r="F12" s="9" t="s">
        <v>10</v>
      </c>
      <c r="G12" s="9" t="s">
        <v>10</v>
      </c>
      <c r="H12" s="9" t="s">
        <v>10</v>
      </c>
      <c r="I12" s="9" t="s">
        <v>10</v>
      </c>
      <c r="J12" s="9" t="s">
        <v>10</v>
      </c>
    </row>
    <row r="13" spans="1:28">
      <c r="A13" s="240">
        <v>1993</v>
      </c>
      <c r="B13" s="9" t="s">
        <v>10</v>
      </c>
      <c r="C13" s="9" t="s">
        <v>10</v>
      </c>
      <c r="D13" s="9" t="s">
        <v>10</v>
      </c>
      <c r="E13" s="9" t="s">
        <v>10</v>
      </c>
      <c r="F13" s="9" t="s">
        <v>10</v>
      </c>
      <c r="G13" s="9" t="s">
        <v>10</v>
      </c>
      <c r="H13" s="9" t="s">
        <v>10</v>
      </c>
      <c r="I13" s="9" t="s">
        <v>10</v>
      </c>
      <c r="J13" s="9" t="s">
        <v>10</v>
      </c>
    </row>
    <row r="14" spans="1:28">
      <c r="A14" s="240">
        <v>1994</v>
      </c>
      <c r="B14" s="9" t="s">
        <v>10</v>
      </c>
      <c r="C14" s="9" t="s">
        <v>10</v>
      </c>
      <c r="D14" s="9" t="s">
        <v>10</v>
      </c>
      <c r="E14" s="9" t="s">
        <v>10</v>
      </c>
      <c r="F14" s="9" t="s">
        <v>10</v>
      </c>
      <c r="G14" s="9" t="s">
        <v>10</v>
      </c>
      <c r="H14" s="9" t="s">
        <v>10</v>
      </c>
      <c r="I14" s="9" t="s">
        <v>10</v>
      </c>
      <c r="J14" s="9" t="s">
        <v>10</v>
      </c>
      <c r="V14" s="239" t="s">
        <v>32</v>
      </c>
    </row>
    <row r="15" spans="1:28">
      <c r="A15" s="240">
        <v>1995</v>
      </c>
      <c r="B15" s="9" t="s">
        <v>10</v>
      </c>
      <c r="C15" s="9" t="s">
        <v>10</v>
      </c>
      <c r="D15" s="9" t="s">
        <v>10</v>
      </c>
      <c r="E15" s="9" t="s">
        <v>10</v>
      </c>
      <c r="F15" s="9" t="s">
        <v>10</v>
      </c>
      <c r="G15" s="9" t="s">
        <v>10</v>
      </c>
      <c r="H15" s="9" t="s">
        <v>10</v>
      </c>
      <c r="I15" s="9" t="s">
        <v>10</v>
      </c>
      <c r="J15" s="9" t="s">
        <v>10</v>
      </c>
      <c r="M15" s="239" t="s">
        <v>24</v>
      </c>
      <c r="V15" s="239" t="s">
        <v>16</v>
      </c>
      <c r="W15" s="239" t="s">
        <v>8</v>
      </c>
      <c r="X15" s="239" t="s">
        <v>3</v>
      </c>
      <c r="Y15" s="239" t="s">
        <v>4</v>
      </c>
      <c r="Z15" s="239" t="s">
        <v>17</v>
      </c>
      <c r="AA15" s="239" t="s">
        <v>6</v>
      </c>
      <c r="AB15" s="239" t="s">
        <v>7</v>
      </c>
    </row>
    <row r="16" spans="1:28">
      <c r="A16" s="240">
        <v>1996</v>
      </c>
      <c r="B16" s="9" t="s">
        <v>10</v>
      </c>
      <c r="C16" s="9" t="s">
        <v>10</v>
      </c>
      <c r="D16" s="9" t="s">
        <v>10</v>
      </c>
      <c r="E16" s="9" t="s">
        <v>10</v>
      </c>
      <c r="F16" s="9" t="s">
        <v>10</v>
      </c>
      <c r="G16" s="9" t="s">
        <v>10</v>
      </c>
      <c r="H16" s="9" t="s">
        <v>10</v>
      </c>
      <c r="I16" s="9" t="s">
        <v>10</v>
      </c>
      <c r="J16" s="9" t="s">
        <v>10</v>
      </c>
      <c r="M16" s="239" t="s">
        <v>16</v>
      </c>
      <c r="N16" s="239" t="s">
        <v>8</v>
      </c>
      <c r="O16" s="239" t="s">
        <v>3</v>
      </c>
      <c r="P16" s="239" t="s">
        <v>4</v>
      </c>
      <c r="Q16" s="239" t="s">
        <v>17</v>
      </c>
      <c r="R16" s="239" t="s">
        <v>6</v>
      </c>
      <c r="S16" s="239" t="s">
        <v>7</v>
      </c>
      <c r="U16" s="239" t="s">
        <v>19</v>
      </c>
      <c r="V16" s="239" t="e">
        <f>((#REF!/#REF!)^(1/3)-1)*100</f>
        <v>#REF!</v>
      </c>
      <c r="W16" s="239" t="e">
        <f>((B20/B17)^(1/3)-1)*100</f>
        <v>#VALUE!</v>
      </c>
      <c r="X16" s="239" t="e">
        <f>((C20/C17)^(1/3)-1)*100</f>
        <v>#VALUE!</v>
      </c>
      <c r="Y16" s="239" t="e">
        <f>((D20/D17)^(1/3)-1)*100</f>
        <v>#VALUE!</v>
      </c>
      <c r="Z16" s="239" t="e">
        <f t="shared" ref="Z16:AB16" si="0">((H20/H17)^(1/3)-1)*100</f>
        <v>#VALUE!</v>
      </c>
      <c r="AA16" s="239" t="e">
        <f t="shared" si="0"/>
        <v>#VALUE!</v>
      </c>
      <c r="AB16" s="239" t="e">
        <f t="shared" si="0"/>
        <v>#VALUE!</v>
      </c>
    </row>
    <row r="17" spans="1:28">
      <c r="A17" s="240">
        <v>1997</v>
      </c>
      <c r="B17" s="9" t="s">
        <v>10</v>
      </c>
      <c r="C17" s="9" t="s">
        <v>10</v>
      </c>
      <c r="D17" s="9" t="s">
        <v>10</v>
      </c>
      <c r="E17" s="11" t="s">
        <v>10</v>
      </c>
      <c r="F17" s="11" t="s">
        <v>10</v>
      </c>
      <c r="G17" s="11" t="s">
        <v>10</v>
      </c>
      <c r="H17" s="9" t="s">
        <v>10</v>
      </c>
      <c r="I17" s="9" t="s">
        <v>10</v>
      </c>
      <c r="J17" s="9" t="s">
        <v>10</v>
      </c>
      <c r="L17" s="239">
        <v>1998</v>
      </c>
      <c r="M17" s="239" t="e">
        <f>((#REF!/#REF!)-1)*100</f>
        <v>#REF!</v>
      </c>
      <c r="N17" s="239" t="e">
        <f>((B18/B17)-1)*100</f>
        <v>#VALUE!</v>
      </c>
      <c r="O17" s="239" t="e">
        <f>((C18/C17)-1)*100</f>
        <v>#VALUE!</v>
      </c>
      <c r="P17" s="239" t="e">
        <f>((D18/D17)-1)*100</f>
        <v>#VALUE!</v>
      </c>
      <c r="Q17" s="239" t="e">
        <f t="shared" ref="Q17:S32" si="1">((H18/H17)-1)*100</f>
        <v>#VALUE!</v>
      </c>
      <c r="R17" s="239" t="e">
        <f t="shared" si="1"/>
        <v>#VALUE!</v>
      </c>
      <c r="S17" s="239" t="e">
        <f t="shared" si="1"/>
        <v>#VALUE!</v>
      </c>
      <c r="U17" s="239" t="s">
        <v>21</v>
      </c>
      <c r="V17" s="239" t="e">
        <f>((#REF!/#REF!)^(1/8)-1)*100</f>
        <v>#REF!</v>
      </c>
      <c r="W17" s="239">
        <f>((B28/B20)^(1/8)-1)*100</f>
        <v>0</v>
      </c>
      <c r="X17" s="239">
        <f>((C28/C20)^(1/8)-1)*100</f>
        <v>1.3637448139923958</v>
      </c>
      <c r="Y17" s="239">
        <f>((D28/D20)^(1/8)-1)*100</f>
        <v>-1.5141706544338329</v>
      </c>
      <c r="Z17" s="239">
        <f t="shared" ref="Z17:AB17" si="2">((H28/H20)^(1/8)-1)*100</f>
        <v>1.0957611031543024</v>
      </c>
      <c r="AA17" s="239">
        <f t="shared" si="2"/>
        <v>0.46172279119403026</v>
      </c>
      <c r="AB17" s="239">
        <f t="shared" si="2"/>
        <v>2.1769552035498796</v>
      </c>
    </row>
    <row r="18" spans="1:28">
      <c r="A18" s="240">
        <v>1998</v>
      </c>
      <c r="B18" s="11">
        <f>'2A'!C18/'2A'!$C18*100</f>
        <v>100</v>
      </c>
      <c r="C18" s="11">
        <f>'2A'!D18/'2A'!$C18*100</f>
        <v>19.9347471451876</v>
      </c>
      <c r="D18" s="11">
        <f>'2A'!E18/'2A'!$C18*100</f>
        <v>41.941876623768962</v>
      </c>
      <c r="E18" s="11">
        <f>'2A'!F18/'2A'!$C18*100</f>
        <v>22.257869615128996</v>
      </c>
      <c r="F18" s="11">
        <f>'2A'!G18/'2A'!$C18*100</f>
        <v>6.9331158238172916</v>
      </c>
      <c r="G18" s="11">
        <f>'2A'!H18/'2A'!$C18*100</f>
        <v>12.750891184822668</v>
      </c>
      <c r="H18" s="11">
        <f>'2A'!I18/'2A'!$C18*100</f>
        <v>38.123376231043444</v>
      </c>
      <c r="I18" s="11">
        <f>'2A'!J18/'2A'!$C18*100</f>
        <v>24.7978974080116</v>
      </c>
      <c r="J18" s="11">
        <f>'2A'!K18/'2A'!$C18*100</f>
        <v>13.325478823031842</v>
      </c>
      <c r="L18" s="239">
        <v>1999</v>
      </c>
      <c r="M18" s="239" t="e">
        <f>((#REF!/#REF!)-1)*100</f>
        <v>#REF!</v>
      </c>
      <c r="N18" s="239">
        <f t="shared" ref="N18:P32" si="3">((B19/B18)-1)*100</f>
        <v>0</v>
      </c>
      <c r="O18" s="239">
        <f t="shared" si="3"/>
        <v>2.6662118863823858</v>
      </c>
      <c r="P18" s="239">
        <f t="shared" si="3"/>
        <v>3.3560853046036287</v>
      </c>
      <c r="Q18" s="239">
        <f t="shared" si="1"/>
        <v>-5.0864009105562218</v>
      </c>
      <c r="R18" s="239">
        <f t="shared" si="1"/>
        <v>-7.1030292847636627</v>
      </c>
      <c r="S18" s="239">
        <f t="shared" si="1"/>
        <v>-1.3335794023904723</v>
      </c>
      <c r="U18" s="239" t="s">
        <v>22</v>
      </c>
      <c r="V18" s="239" t="e">
        <f>((#REF!/#REF!)^(1/5)-1)*100</f>
        <v>#REF!</v>
      </c>
      <c r="W18" s="239">
        <f>((B33/B28)^(1/5)-1)*100</f>
        <v>0</v>
      </c>
      <c r="X18" s="239">
        <f>((C33/C28)^(1/5)-1)*100</f>
        <v>-5.4812091867451951</v>
      </c>
      <c r="Y18" s="239">
        <f>((D33/D28)^(1/5)-1)*100</f>
        <v>2.7988345561678951</v>
      </c>
      <c r="Z18" s="239">
        <f t="shared" ref="Z18:AB18" si="4">((H33/H28)^(1/5)-1)*100</f>
        <v>-0.58361677760592201</v>
      </c>
      <c r="AA18" s="239">
        <f t="shared" si="4"/>
        <v>-1.5420757968659715</v>
      </c>
      <c r="AB18" s="239">
        <f t="shared" si="4"/>
        <v>0.85974834873485673</v>
      </c>
    </row>
    <row r="19" spans="1:28">
      <c r="A19" s="240">
        <v>1999</v>
      </c>
      <c r="B19" s="11">
        <f>'2A'!C19/'2A'!$C19*100</f>
        <v>100</v>
      </c>
      <c r="C19" s="11">
        <f>'2A'!D19/'2A'!$C19*100</f>
        <v>20.466249743092867</v>
      </c>
      <c r="D19" s="11">
        <f>'2A'!E19/'2A'!$C19*100</f>
        <v>43.349481781614259</v>
      </c>
      <c r="E19" s="11">
        <f>'2A'!F19/'2A'!$C19*100</f>
        <v>23.631932822455152</v>
      </c>
      <c r="F19" s="11">
        <f>'2A'!G19/'2A'!$C19*100</f>
        <v>6.6725388296779116</v>
      </c>
      <c r="G19" s="11">
        <f>'2A'!H19/'2A'!$C19*100</f>
        <v>13.045010129481193</v>
      </c>
      <c r="H19" s="11">
        <f>'2A'!I19/'2A'!$C19*100</f>
        <v>36.184268475292875</v>
      </c>
      <c r="I19" s="11">
        <f>'2A'!J19/'2A'!$C19*100</f>
        <v>23.036495493114888</v>
      </c>
      <c r="J19" s="11">
        <f>'2A'!K19/'2A'!$C19*100</f>
        <v>13.147772982177985</v>
      </c>
      <c r="L19" s="239">
        <v>2000</v>
      </c>
      <c r="M19" s="239" t="e">
        <f>((#REF!/#REF!)-1)*100</f>
        <v>#REF!</v>
      </c>
      <c r="N19" s="239">
        <f t="shared" si="3"/>
        <v>0</v>
      </c>
      <c r="O19" s="239">
        <f t="shared" si="3"/>
        <v>-11.871952418023801</v>
      </c>
      <c r="P19" s="239">
        <f t="shared" si="3"/>
        <v>6.728722766809847</v>
      </c>
      <c r="Q19" s="239">
        <f t="shared" si="1"/>
        <v>-1.3462287320034516</v>
      </c>
      <c r="R19" s="239">
        <f t="shared" si="1"/>
        <v>-0.19248867203388587</v>
      </c>
      <c r="S19" s="239">
        <f t="shared" si="1"/>
        <v>-3.3677214766486552</v>
      </c>
      <c r="U19" s="239" t="s">
        <v>18</v>
      </c>
      <c r="V19" s="239" t="e">
        <f>((#REF!/#REF!)^(1/16)-1)*100</f>
        <v>#REF!</v>
      </c>
      <c r="W19" s="239" t="e">
        <f>((B33/B17)^(1/16)-1)*100</f>
        <v>#VALUE!</v>
      </c>
      <c r="X19" s="239" t="e">
        <f>((C33/C17)^(1/16)-1)*100</f>
        <v>#VALUE!</v>
      </c>
      <c r="Y19" s="239" t="e">
        <f>((D33/D17)^(1/16)-1)*100</f>
        <v>#VALUE!</v>
      </c>
      <c r="Z19" s="239" t="e">
        <f t="shared" ref="Z19:AB19" si="5">((H33/H17)^(1/16)-1)*100</f>
        <v>#VALUE!</v>
      </c>
      <c r="AA19" s="239" t="e">
        <f t="shared" si="5"/>
        <v>#VALUE!</v>
      </c>
      <c r="AB19" s="239" t="e">
        <f t="shared" si="5"/>
        <v>#VALUE!</v>
      </c>
    </row>
    <row r="20" spans="1:28">
      <c r="A20" s="240">
        <v>2000</v>
      </c>
      <c r="B20" s="11">
        <f>'2A'!C20/'2A'!$C20*100</f>
        <v>100</v>
      </c>
      <c r="C20" s="11">
        <f>'2A'!D20/'2A'!$C20*100</f>
        <v>18.036506311838963</v>
      </c>
      <c r="D20" s="11">
        <f>'2A'!E20/'2A'!$C20*100</f>
        <v>46.266348231547823</v>
      </c>
      <c r="E20" s="11">
        <f>'2A'!F20/'2A'!$C20*100</f>
        <v>23.128056408506765</v>
      </c>
      <c r="F20" s="11">
        <f>'2A'!G20/'2A'!$C20*100</f>
        <v>6.7678835437279652</v>
      </c>
      <c r="G20" s="11">
        <f>'2A'!H20/'2A'!$C20*100</f>
        <v>16.370408279313089</v>
      </c>
      <c r="H20" s="11">
        <f>'2A'!I20/'2A'!$C20*100</f>
        <v>35.697145456613214</v>
      </c>
      <c r="I20" s="11">
        <f>'2A'!J20/'2A'!$C20*100</f>
        <v>22.992152848857046</v>
      </c>
      <c r="J20" s="11">
        <f>'2A'!K20/'2A'!$C20*100</f>
        <v>12.704992607756168</v>
      </c>
      <c r="L20" s="239">
        <v>2001</v>
      </c>
      <c r="M20" s="239" t="e">
        <f>((#REF!/#REF!)-1)*100</f>
        <v>#REF!</v>
      </c>
      <c r="N20" s="239">
        <f t="shared" si="3"/>
        <v>0</v>
      </c>
      <c r="O20" s="239">
        <f t="shared" si="3"/>
        <v>-6.2510916404675214</v>
      </c>
      <c r="P20" s="239">
        <f t="shared" si="3"/>
        <v>1.987276551966044</v>
      </c>
      <c r="Q20" s="239">
        <f t="shared" si="1"/>
        <v>0.58278679086005702</v>
      </c>
      <c r="R20" s="239">
        <f t="shared" si="1"/>
        <v>1.6189656665277496E-3</v>
      </c>
      <c r="S20" s="239">
        <f t="shared" si="1"/>
        <v>1.634522898091717</v>
      </c>
    </row>
    <row r="21" spans="1:28">
      <c r="A21" s="240">
        <v>2001</v>
      </c>
      <c r="B21" s="11">
        <f>'2A'!C21/'2A'!$C21*100</f>
        <v>100</v>
      </c>
      <c r="C21" s="11">
        <f>'2A'!D21/'2A'!$C21*100</f>
        <v>16.909027773547201</v>
      </c>
      <c r="D21" s="11">
        <f>'2A'!E21/'2A'!$C21*100</f>
        <v>47.185788521404334</v>
      </c>
      <c r="E21" s="11">
        <f>'2A'!F21/'2A'!$C21*100</f>
        <v>23.004099933596915</v>
      </c>
      <c r="F21" s="11">
        <f>'2A'!G21/'2A'!$C21*100</f>
        <v>7.4292258862375036</v>
      </c>
      <c r="G21" s="11">
        <f>'2A'!H21/'2A'!$C21*100</f>
        <v>16.752462701569915</v>
      </c>
      <c r="H21" s="11">
        <f>'2A'!I21/'2A'!$C21*100</f>
        <v>35.905183705048458</v>
      </c>
      <c r="I21" s="11">
        <f>'2A'!J21/'2A'!$C21*100</f>
        <v>22.992525083917663</v>
      </c>
      <c r="J21" s="11">
        <f>'2A'!K21/'2A'!$C21*100</f>
        <v>12.912658621130802</v>
      </c>
      <c r="L21" s="239">
        <v>2002</v>
      </c>
      <c r="M21" s="239" t="e">
        <f>((#REF!/#REF!)-1)*100</f>
        <v>#REF!</v>
      </c>
      <c r="N21" s="239">
        <f t="shared" si="3"/>
        <v>0</v>
      </c>
      <c r="O21" s="239">
        <f t="shared" si="3"/>
        <v>-1.227794440408625</v>
      </c>
      <c r="P21" s="239">
        <f t="shared" si="3"/>
        <v>3.4634880757000275</v>
      </c>
      <c r="Q21" s="239">
        <f t="shared" si="1"/>
        <v>-3.9734264212454073</v>
      </c>
      <c r="R21" s="239">
        <f t="shared" si="1"/>
        <v>-5.8675738555361008</v>
      </c>
      <c r="S21" s="239">
        <f t="shared" si="1"/>
        <v>-0.60067153989997735</v>
      </c>
    </row>
    <row r="22" spans="1:28">
      <c r="A22" s="240">
        <v>2002</v>
      </c>
      <c r="B22" s="11">
        <f>'2A'!C22/'2A'!$C22*100</f>
        <v>100</v>
      </c>
      <c r="C22" s="11">
        <f>'2A'!D22/'2A'!$C22*100</f>
        <v>16.701419670616438</v>
      </c>
      <c r="D22" s="11">
        <f>'2A'!E22/'2A'!$C22*100</f>
        <v>48.820062680268201</v>
      </c>
      <c r="E22" s="11">
        <f>'2A'!F22/'2A'!$C22*100</f>
        <v>22.897027057398645</v>
      </c>
      <c r="F22" s="11">
        <f>'2A'!G22/'2A'!$C22*100</f>
        <v>7.9324251769905985</v>
      </c>
      <c r="G22" s="11">
        <f>'2A'!H22/'2A'!$C22*100</f>
        <v>17.990610445878961</v>
      </c>
      <c r="H22" s="11">
        <f>'2A'!I22/'2A'!$C22*100</f>
        <v>34.478517649115361</v>
      </c>
      <c r="I22" s="11">
        <f>'2A'!J22/'2A'!$C22*100</f>
        <v>21.643421693366129</v>
      </c>
      <c r="J22" s="11">
        <f>'2A'!K22/'2A'!$C22*100</f>
        <v>12.835095955749228</v>
      </c>
      <c r="L22" s="239">
        <v>2003</v>
      </c>
      <c r="M22" s="239" t="e">
        <f>((#REF!/#REF!)-1)*100</f>
        <v>#REF!</v>
      </c>
      <c r="N22" s="239">
        <f t="shared" si="3"/>
        <v>0</v>
      </c>
      <c r="O22" s="239">
        <f t="shared" si="3"/>
        <v>3.733638005624873</v>
      </c>
      <c r="P22" s="239">
        <f t="shared" si="3"/>
        <v>0.50726111259546958</v>
      </c>
      <c r="Q22" s="239">
        <f t="shared" si="1"/>
        <v>-2.5268364327291071</v>
      </c>
      <c r="R22" s="239">
        <f t="shared" si="1"/>
        <v>-1.6763205117378388</v>
      </c>
      <c r="S22" s="239">
        <f t="shared" si="1"/>
        <v>-3.965949373555544</v>
      </c>
    </row>
    <row r="23" spans="1:28">
      <c r="A23" s="240">
        <v>2003</v>
      </c>
      <c r="B23" s="11">
        <f>'2A'!C23/'2A'!$C23*100</f>
        <v>100</v>
      </c>
      <c r="C23" s="11">
        <f>'2A'!D23/'2A'!$C23*100</f>
        <v>17.324990222917481</v>
      </c>
      <c r="D23" s="11">
        <f>'2A'!E23/'2A'!$C23*100</f>
        <v>49.067707873389935</v>
      </c>
      <c r="E23" s="11">
        <f>'2A'!F23/'2A'!$C23*100</f>
        <v>21.706384750274388</v>
      </c>
      <c r="F23" s="11">
        <f>'2A'!G23/'2A'!$C23*100</f>
        <v>7.3012729130659677</v>
      </c>
      <c r="G23" s="11">
        <f>'2A'!H23/'2A'!$C23*100</f>
        <v>20.060050210049578</v>
      </c>
      <c r="H23" s="11">
        <f>'2A'!I23/'2A'!$C23*100</f>
        <v>33.60730190369258</v>
      </c>
      <c r="I23" s="11">
        <f>'2A'!J23/'2A'!$C23*100</f>
        <v>21.280608576078315</v>
      </c>
      <c r="J23" s="11">
        <f>'2A'!K23/'2A'!$C23*100</f>
        <v>12.326062548096939</v>
      </c>
      <c r="L23" s="239">
        <v>2004</v>
      </c>
      <c r="M23" s="239" t="e">
        <f>((#REF!/#REF!)-1)*100</f>
        <v>#REF!</v>
      </c>
      <c r="N23" s="239">
        <f t="shared" si="3"/>
        <v>0</v>
      </c>
      <c r="O23" s="239">
        <f t="shared" si="3"/>
        <v>4.0513181982151814</v>
      </c>
      <c r="P23" s="239">
        <f t="shared" si="3"/>
        <v>-4.1020732458492581</v>
      </c>
      <c r="Q23" s="239">
        <f t="shared" si="1"/>
        <v>3.9006488501884373</v>
      </c>
      <c r="R23" s="239">
        <f t="shared" si="1"/>
        <v>4.2852834921409677</v>
      </c>
      <c r="S23" s="239">
        <f t="shared" si="1"/>
        <v>3.247190271924949</v>
      </c>
    </row>
    <row r="24" spans="1:28">
      <c r="A24" s="240">
        <v>2004</v>
      </c>
      <c r="B24" s="11">
        <f>'2A'!C24/'2A'!$C24*100</f>
        <v>100</v>
      </c>
      <c r="C24" s="11">
        <f>'2A'!D24/'2A'!$C24*100</f>
        <v>18.02688070465754</v>
      </c>
      <c r="D24" s="11">
        <f>'2A'!E24/'2A'!$C24*100</f>
        <v>47.054914556364139</v>
      </c>
      <c r="E24" s="11">
        <f>'2A'!F24/'2A'!$C24*100</f>
        <v>21.771676884287881</v>
      </c>
      <c r="F24" s="11">
        <f>'2A'!G24/'2A'!$C24*100</f>
        <v>6.4875922680513121</v>
      </c>
      <c r="G24" s="11">
        <f>'2A'!H24/'2A'!$C24*100</f>
        <v>18.794993908517004</v>
      </c>
      <c r="H24" s="11">
        <f>'2A'!I24/'2A'!$C24*100</f>
        <v>34.918204738978325</v>
      </c>
      <c r="I24" s="11">
        <f>'2A'!J24/'2A'!$C24*100</f>
        <v>22.192542982416136</v>
      </c>
      <c r="J24" s="11">
        <f>'2A'!K24/'2A'!$C24*100</f>
        <v>12.726313252070126</v>
      </c>
      <c r="L24" s="239">
        <v>2005</v>
      </c>
      <c r="M24" s="239" t="e">
        <f>((#REF!/#REF!)-1)*100</f>
        <v>#REF!</v>
      </c>
      <c r="N24" s="239">
        <f t="shared" si="3"/>
        <v>0</v>
      </c>
      <c r="O24" s="239">
        <f t="shared" si="3"/>
        <v>-1.692011817563821</v>
      </c>
      <c r="P24" s="239">
        <f t="shared" si="3"/>
        <v>-4.3012495122910384</v>
      </c>
      <c r="Q24" s="239">
        <f t="shared" si="1"/>
        <v>6.6697765596343661</v>
      </c>
      <c r="R24" s="239">
        <f t="shared" si="1"/>
        <v>12.38965502526186</v>
      </c>
      <c r="S24" s="239">
        <f t="shared" si="1"/>
        <v>-3.3101870847648374</v>
      </c>
    </row>
    <row r="25" spans="1:28">
      <c r="A25" s="240">
        <v>2005</v>
      </c>
      <c r="B25" s="11">
        <f>'2A'!C25/'2A'!$C25*100</f>
        <v>100</v>
      </c>
      <c r="C25" s="11">
        <f>'2A'!D25/'2A'!$C25*100</f>
        <v>17.721863752796601</v>
      </c>
      <c r="D25" s="11">
        <f>'2A'!E25/'2A'!$C25*100</f>
        <v>45.030965273499561</v>
      </c>
      <c r="E25" s="11">
        <f>'2A'!F25/'2A'!$C25*100</f>
        <v>20.946143121169872</v>
      </c>
      <c r="F25" s="11">
        <f>'2A'!G25/'2A'!$C25*100</f>
        <v>5.938847637884634</v>
      </c>
      <c r="G25" s="11">
        <f>'2A'!H25/'2A'!$C25*100</f>
        <v>18.145326027041925</v>
      </c>
      <c r="H25" s="11">
        <f>'2A'!I25/'2A'!$C25*100</f>
        <v>37.247170973703838</v>
      </c>
      <c r="I25" s="11">
        <f>'2A'!J25/'2A'!$C25*100</f>
        <v>24.942122499270454</v>
      </c>
      <c r="J25" s="11">
        <f>'2A'!K25/'2A'!$C25*100</f>
        <v>12.305048474433384</v>
      </c>
      <c r="L25" s="239">
        <v>2006</v>
      </c>
      <c r="M25" s="239" t="e">
        <f>((#REF!/#REF!)-1)*100</f>
        <v>#REF!</v>
      </c>
      <c r="N25" s="239">
        <f t="shared" si="3"/>
        <v>0</v>
      </c>
      <c r="O25" s="239">
        <f t="shared" si="3"/>
        <v>4.5062376300108342</v>
      </c>
      <c r="P25" s="239">
        <f t="shared" si="3"/>
        <v>-3.4459581265411265</v>
      </c>
      <c r="Q25" s="239">
        <f t="shared" si="1"/>
        <v>2.022056694362151</v>
      </c>
      <c r="R25" s="239">
        <f t="shared" si="1"/>
        <v>3.5523577744447588</v>
      </c>
      <c r="S25" s="239">
        <f t="shared" si="1"/>
        <v>-1.0798373842748621</v>
      </c>
    </row>
    <row r="26" spans="1:28">
      <c r="A26" s="240">
        <v>2006</v>
      </c>
      <c r="B26" s="235">
        <f>'2A'!C26/'2A'!$C26*100</f>
        <v>100</v>
      </c>
      <c r="C26" s="235">
        <f>'2A'!D26/'2A'!$C26*100</f>
        <v>18.520453045964373</v>
      </c>
      <c r="D26" s="235">
        <f>'2A'!E26/'2A'!$C26*100</f>
        <v>43.479217066197492</v>
      </c>
      <c r="E26" s="235">
        <f>'2A'!F26/'2A'!$C26*100</f>
        <v>18.895013195513524</v>
      </c>
      <c r="F26" s="235">
        <f>'2A'!G26/'2A'!$C26*100</f>
        <v>6.3324719595337591</v>
      </c>
      <c r="G26" s="235">
        <f>'2A'!H26/'2A'!$C26*100</f>
        <v>18.251044644820759</v>
      </c>
      <c r="H26" s="235">
        <f>'2A'!I26/'2A'!$C26*100</f>
        <v>38.000329887838134</v>
      </c>
      <c r="I26" s="235">
        <f>'2A'!J26/'2A'!$C26*100</f>
        <v>25.828155926984824</v>
      </c>
      <c r="J26" s="235">
        <f>'2A'!K26/'2A'!$C26*100</f>
        <v>12.172173960853309</v>
      </c>
      <c r="L26" s="239">
        <v>2007</v>
      </c>
      <c r="M26" s="239" t="e">
        <f>((#REF!/#REF!)-1)*100</f>
        <v>#REF!</v>
      </c>
      <c r="N26" s="239">
        <f t="shared" si="3"/>
        <v>0</v>
      </c>
      <c r="O26" s="239">
        <f t="shared" si="3"/>
        <v>-2.1381718280355178</v>
      </c>
      <c r="P26" s="239">
        <f t="shared" si="3"/>
        <v>-3.3342146686476393</v>
      </c>
      <c r="Q26" s="239">
        <f t="shared" si="1"/>
        <v>4.8570355787315389</v>
      </c>
      <c r="R26" s="239">
        <f t="shared" si="1"/>
        <v>-3.9559609751073532</v>
      </c>
      <c r="S26" s="239">
        <f t="shared" si="1"/>
        <v>23.557347446487164</v>
      </c>
    </row>
    <row r="27" spans="1:28">
      <c r="A27" s="240">
        <v>2007</v>
      </c>
      <c r="B27" s="11">
        <f>'2A'!C27/'2A'!$C27*100</f>
        <v>100</v>
      </c>
      <c r="C27" s="11">
        <f>'2A'!D27/'2A'!$C27*100</f>
        <v>18.124453936511017</v>
      </c>
      <c r="D27" s="11">
        <f>'2A'!E27/'2A'!$C27*100</f>
        <v>42.02952663296319</v>
      </c>
      <c r="E27" s="11">
        <f>'2A'!F27/'2A'!$C27*100</f>
        <v>17.97883700611591</v>
      </c>
      <c r="F27" s="11">
        <f>'2A'!G27/'2A'!$C27*100</f>
        <v>5.4908784061293527</v>
      </c>
      <c r="G27" s="11">
        <f>'2A'!H27/'2A'!$C27*100</f>
        <v>18.559811220717929</v>
      </c>
      <c r="H27" s="11">
        <f>'2A'!I27/'2A'!$C27*100</f>
        <v>39.846019430525786</v>
      </c>
      <c r="I27" s="11">
        <f>'2A'!J27/'2A'!$C27*100</f>
        <v>24.806404157923428</v>
      </c>
      <c r="J27" s="11">
        <f>'2A'!K27/'2A'!$C27*100</f>
        <v>15.039615272602362</v>
      </c>
      <c r="L27" s="239">
        <v>2008</v>
      </c>
      <c r="M27" s="239" t="e">
        <f>((#REF!/#REF!)-1)*100</f>
        <v>#REF!</v>
      </c>
      <c r="N27" s="239">
        <f t="shared" si="3"/>
        <v>0</v>
      </c>
      <c r="O27" s="239">
        <f t="shared" si="3"/>
        <v>10.904370833620858</v>
      </c>
      <c r="P27" s="239">
        <f t="shared" si="3"/>
        <v>-2.5682069206288238</v>
      </c>
      <c r="Q27" s="239">
        <f t="shared" si="1"/>
        <v>-2.2510465786289013</v>
      </c>
      <c r="R27" s="239">
        <f t="shared" si="1"/>
        <v>-3.8341677069295477</v>
      </c>
      <c r="S27" s="239">
        <f t="shared" si="1"/>
        <v>0.36016001327872083</v>
      </c>
    </row>
    <row r="28" spans="1:28">
      <c r="A28" s="240">
        <v>2008</v>
      </c>
      <c r="B28" s="11">
        <f>'2A'!C28/'2A'!$C28*100</f>
        <v>100</v>
      </c>
      <c r="C28" s="11">
        <f>'2A'!D28/'2A'!$C28*100</f>
        <v>20.100811605316974</v>
      </c>
      <c r="D28" s="11">
        <f>'2A'!E28/'2A'!$C28*100</f>
        <v>40.950121421267895</v>
      </c>
      <c r="E28" s="11">
        <f>'2A'!F28/'2A'!$C28*100</f>
        <v>15.422098670756645</v>
      </c>
      <c r="F28" s="11">
        <f>'2A'!G28/'2A'!$C28*100</f>
        <v>5.0565567484662584</v>
      </c>
      <c r="G28" s="11">
        <f>'2A'!H28/'2A'!$C28*100</f>
        <v>20.470667177914109</v>
      </c>
      <c r="H28" s="11">
        <f>'2A'!I28/'2A'!$C28*100</f>
        <v>38.949066973415128</v>
      </c>
      <c r="I28" s="11">
        <f>'2A'!J28/'2A'!$C28*100</f>
        <v>23.855285020449898</v>
      </c>
      <c r="J28" s="11">
        <f>'2A'!K28/'2A'!$C28*100</f>
        <v>15.093781952965236</v>
      </c>
      <c r="L28" s="239">
        <v>2009</v>
      </c>
      <c r="M28" s="239" t="e">
        <f>((#REF!/#REF!)-1)*100</f>
        <v>#REF!</v>
      </c>
      <c r="N28" s="239">
        <f t="shared" si="3"/>
        <v>0</v>
      </c>
      <c r="O28" s="239">
        <f t="shared" si="3"/>
        <v>6.2208899654966121</v>
      </c>
      <c r="P28" s="239">
        <f t="shared" si="3"/>
        <v>0.99161442671584776</v>
      </c>
      <c r="Q28" s="239">
        <f t="shared" si="1"/>
        <v>-4.2530330316773668</v>
      </c>
      <c r="R28" s="239">
        <f t="shared" si="1"/>
        <v>-7.7965783689078911</v>
      </c>
      <c r="S28" s="239">
        <f t="shared" si="1"/>
        <v>1.3416077700942219</v>
      </c>
    </row>
    <row r="29" spans="1:28">
      <c r="A29" s="240">
        <v>2009</v>
      </c>
      <c r="B29" s="11">
        <f>'2A'!C29/'2A'!$C29*100</f>
        <v>100</v>
      </c>
      <c r="C29" s="11">
        <f>'2A'!D29/'2A'!$C29*100</f>
        <v>21.351260977455517</v>
      </c>
      <c r="D29" s="11">
        <f>'2A'!E29/'2A'!$C29*100</f>
        <v>41.356188733038842</v>
      </c>
      <c r="E29" s="11">
        <f>'2A'!F29/'2A'!$C29*100</f>
        <v>12.244592668203659</v>
      </c>
      <c r="F29" s="11">
        <f>'2A'!G29/'2A'!$C29*100</f>
        <v>5.7531546435296805</v>
      </c>
      <c r="G29" s="11">
        <f>'2A'!H29/'2A'!$C29*100</f>
        <v>23.358441421305503</v>
      </c>
      <c r="H29" s="11">
        <f>'2A'!I29/'2A'!$C29*100</f>
        <v>37.292550289505641</v>
      </c>
      <c r="I29" s="11">
        <f>'2A'!J29/'2A'!$C29*100</f>
        <v>21.995389028704178</v>
      </c>
      <c r="J29" s="11">
        <f>'2A'!K29/'2A'!$C29*100</f>
        <v>15.296281304447298</v>
      </c>
      <c r="L29" s="239">
        <v>2010</v>
      </c>
      <c r="M29" s="239" t="e">
        <f>((#REF!/#REF!)-1)*100</f>
        <v>#REF!</v>
      </c>
      <c r="N29" s="239">
        <f t="shared" si="3"/>
        <v>0</v>
      </c>
      <c r="O29" s="239">
        <f t="shared" si="3"/>
        <v>-29.390443946392509</v>
      </c>
      <c r="P29" s="239">
        <f t="shared" si="3"/>
        <v>10.414381738524492</v>
      </c>
      <c r="Q29" s="239">
        <f t="shared" si="1"/>
        <v>5.2778343314793252</v>
      </c>
      <c r="R29" s="239">
        <f t="shared" si="1"/>
        <v>0.88253093862338261</v>
      </c>
      <c r="S29" s="239">
        <f t="shared" si="1"/>
        <v>11.609892603035888</v>
      </c>
    </row>
    <row r="30" spans="1:28">
      <c r="A30" s="240">
        <v>2010</v>
      </c>
      <c r="B30" s="11">
        <f>'2A'!C30/'2A'!$C30*100</f>
        <v>100</v>
      </c>
      <c r="C30" s="11">
        <f>'2A'!D30/'2A'!$C30*100</f>
        <v>15.076030588028477</v>
      </c>
      <c r="D30" s="11">
        <f>'2A'!E30/'2A'!$C30*100</f>
        <v>45.663180100202162</v>
      </c>
      <c r="E30" s="11">
        <f>'2A'!F30/'2A'!$C30*100</f>
        <v>13.881515337962554</v>
      </c>
      <c r="F30" s="11">
        <f>'2A'!G30/'2A'!$C30*100</f>
        <v>8.6156280214467795</v>
      </c>
      <c r="G30" s="11">
        <f>'2A'!H30/'2A'!$C30*100</f>
        <v>23.164278808121651</v>
      </c>
      <c r="H30" s="11">
        <f>'2A'!I30/'2A'!$C30*100</f>
        <v>39.260789311769365</v>
      </c>
      <c r="I30" s="11">
        <f>'2A'!J30/'2A'!$C30*100</f>
        <v>22.189505141953063</v>
      </c>
      <c r="J30" s="11">
        <f>'2A'!K30/'2A'!$C30*100</f>
        <v>17.072163136151886</v>
      </c>
      <c r="L30" s="239">
        <v>2011</v>
      </c>
      <c r="M30" s="239" t="e">
        <f>((#REF!/#REF!)-1)*100</f>
        <v>#REF!</v>
      </c>
      <c r="N30" s="239">
        <f t="shared" si="3"/>
        <v>0</v>
      </c>
      <c r="O30" s="239">
        <f t="shared" si="3"/>
        <v>36.758416599494659</v>
      </c>
      <c r="P30" s="239">
        <f t="shared" si="3"/>
        <v>-1.6665803571400462</v>
      </c>
      <c r="Q30" s="239">
        <f t="shared" si="1"/>
        <v>-12.17677133858891</v>
      </c>
      <c r="R30" s="239">
        <f t="shared" si="1"/>
        <v>-10.600612679635246</v>
      </c>
      <c r="S30" s="239">
        <f t="shared" si="1"/>
        <v>-14.229901574594983</v>
      </c>
    </row>
    <row r="31" spans="1:28">
      <c r="A31" s="240">
        <v>2011</v>
      </c>
      <c r="B31" s="11">
        <f>'2A'!C31/'2A'!$C31*100</f>
        <v>100</v>
      </c>
      <c r="C31" s="11">
        <f>'2A'!D31/'2A'!$C31*100</f>
        <v>20.61774071824323</v>
      </c>
      <c r="D31" s="11">
        <f>'2A'!E31/'2A'!$C31*100</f>
        <v>44.902166510206712</v>
      </c>
      <c r="E31" s="11">
        <f>'2A'!F31/'2A'!$C31*100</f>
        <v>12.850884458924661</v>
      </c>
      <c r="F31" s="11">
        <f>'2A'!G31/'2A'!$C31*100</f>
        <v>8.4589614740368511</v>
      </c>
      <c r="G31" s="11">
        <f>'2A'!H31/'2A'!$C31*100</f>
        <v>23.5923205772452</v>
      </c>
      <c r="H31" s="11">
        <f>'2A'!I31/'2A'!$C31*100</f>
        <v>34.480092771550055</v>
      </c>
      <c r="I31" s="11">
        <f>'2A'!J31/'2A'!$C31*100</f>
        <v>19.837281646326872</v>
      </c>
      <c r="J31" s="11">
        <f>'2A'!K31/'2A'!$C31*100</f>
        <v>14.642811125223185</v>
      </c>
      <c r="L31" s="239">
        <v>2012</v>
      </c>
      <c r="M31" s="239" t="e">
        <f>((#REF!/#REF!)-1)*100</f>
        <v>#REF!</v>
      </c>
      <c r="N31" s="239">
        <f t="shared" si="3"/>
        <v>0</v>
      </c>
      <c r="O31" s="239">
        <f t="shared" si="3"/>
        <v>-16.048381179196991</v>
      </c>
      <c r="P31" s="239">
        <f t="shared" si="3"/>
        <v>-0.65519883540878787</v>
      </c>
      <c r="Q31" s="239">
        <f t="shared" si="1"/>
        <v>10.44954292009117</v>
      </c>
      <c r="R31" s="239">
        <f t="shared" si="1"/>
        <v>13.138552133292336</v>
      </c>
      <c r="S31" s="239">
        <f t="shared" si="1"/>
        <v>6.806619942005776</v>
      </c>
    </row>
    <row r="32" spans="1:28">
      <c r="A32" s="240">
        <v>2012</v>
      </c>
      <c r="B32" s="11">
        <f>'2A'!C32/'2A'!$C32*100</f>
        <v>100</v>
      </c>
      <c r="C32" s="11">
        <f>'2A'!D32/'2A'!$C32*100</f>
        <v>17.30892709724105</v>
      </c>
      <c r="D32" s="11">
        <f>'2A'!E32/'2A'!$C32*100</f>
        <v>44.607968038158525</v>
      </c>
      <c r="E32" s="11">
        <f>'2A'!F32/'2A'!$C32*100</f>
        <v>9.8107361619291265</v>
      </c>
      <c r="F32" s="11">
        <f>'2A'!G32/'2A'!$C32*100</f>
        <v>9.0014982113191397</v>
      </c>
      <c r="G32" s="11">
        <f>'2A'!H32/'2A'!$C32*100</f>
        <v>25.796752856283824</v>
      </c>
      <c r="H32" s="11">
        <f>'2A'!I32/'2A'!$C32*100</f>
        <v>38.083104864600429</v>
      </c>
      <c r="I32" s="11">
        <f>'2A'!J32/'2A'!$C32*100</f>
        <v>22.443613237257559</v>
      </c>
      <c r="J32" s="11">
        <f>'2A'!K32/'2A'!$C32*100</f>
        <v>15.639491627342867</v>
      </c>
      <c r="L32" s="239">
        <v>2013</v>
      </c>
      <c r="M32" s="239" t="e">
        <f>((#REF!/#REF!)-1)*100</f>
        <v>#REF!</v>
      </c>
      <c r="N32" s="239">
        <f t="shared" si="3"/>
        <v>0</v>
      </c>
      <c r="O32" s="239">
        <f t="shared" si="3"/>
        <v>-12.393923702415343</v>
      </c>
      <c r="P32" s="239">
        <f t="shared" si="3"/>
        <v>5.3861910261877588</v>
      </c>
      <c r="Q32" s="239">
        <f t="shared" si="1"/>
        <v>-0.67593005930702832</v>
      </c>
      <c r="R32" s="239">
        <f t="shared" si="1"/>
        <v>-1.6566020056255959</v>
      </c>
      <c r="S32" s="239">
        <f t="shared" si="1"/>
        <v>0.73139329878235682</v>
      </c>
    </row>
    <row r="33" spans="1:19">
      <c r="A33" s="240">
        <v>2013</v>
      </c>
      <c r="B33" s="11">
        <f>'2A'!C33/'2A'!$C33*100</f>
        <v>100</v>
      </c>
      <c r="C33" s="11">
        <f>'2A'!D33/'2A'!$C33*100</f>
        <v>15.163671879102299</v>
      </c>
      <c r="D33" s="11">
        <f>'2A'!E33/'2A'!$C33*100</f>
        <v>47.010638409594527</v>
      </c>
      <c r="E33" s="11">
        <f>'2A'!F33/'2A'!$C33*100</f>
        <v>10.94506463910272</v>
      </c>
      <c r="F33" s="11">
        <f>'2A'!G33/'2A'!$C33*100</f>
        <v>8.5590363470242909</v>
      </c>
      <c r="G33" s="11">
        <f>'2A'!H33/'2A'!$C33*100</f>
        <v>27.504437046449837</v>
      </c>
      <c r="H33" s="11">
        <f>'2A'!I33/'2A'!$C33*100</f>
        <v>37.825689711303177</v>
      </c>
      <c r="I33" s="11">
        <f>'2A'!J33/'2A'!$C33*100</f>
        <v>22.071811890234297</v>
      </c>
      <c r="J33" s="11">
        <f>'2A'!K33/'2A'!$C33*100</f>
        <v>15.753877821068881</v>
      </c>
    </row>
    <row r="34" spans="1:19">
      <c r="A34" s="9"/>
      <c r="B34" s="9"/>
      <c r="C34" s="9"/>
      <c r="D34" s="9"/>
      <c r="E34" s="9"/>
      <c r="F34" s="9"/>
      <c r="G34" s="9"/>
      <c r="H34" s="9"/>
      <c r="I34" s="9"/>
      <c r="J34" s="9"/>
      <c r="M34" s="239" t="s">
        <v>27</v>
      </c>
    </row>
    <row r="35" spans="1:19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M35" s="239" t="s">
        <v>16</v>
      </c>
      <c r="N35" s="239" t="s">
        <v>8</v>
      </c>
      <c r="O35" s="239" t="s">
        <v>3</v>
      </c>
      <c r="P35" s="239" t="s">
        <v>4</v>
      </c>
      <c r="Q35" s="239" t="s">
        <v>17</v>
      </c>
      <c r="R35" s="239" t="s">
        <v>6</v>
      </c>
      <c r="S35" s="239" t="s">
        <v>7</v>
      </c>
    </row>
    <row r="36" spans="1:19" ht="30">
      <c r="A36" s="240" t="s">
        <v>19</v>
      </c>
      <c r="B36" s="11" t="s">
        <v>10</v>
      </c>
      <c r="C36" s="11" t="s">
        <v>10</v>
      </c>
      <c r="D36" s="11" t="s">
        <v>10</v>
      </c>
      <c r="E36" s="11" t="s">
        <v>10</v>
      </c>
      <c r="F36" s="11" t="s">
        <v>10</v>
      </c>
      <c r="G36" s="11" t="s">
        <v>10</v>
      </c>
      <c r="H36" s="11" t="s">
        <v>10</v>
      </c>
      <c r="I36" s="11" t="s">
        <v>10</v>
      </c>
      <c r="J36" s="11" t="s">
        <v>10</v>
      </c>
      <c r="L36" s="239">
        <v>1999</v>
      </c>
      <c r="M36" s="239" t="e">
        <f>#REF!/#REF!</f>
        <v>#REF!</v>
      </c>
      <c r="N36" s="239">
        <f t="shared" ref="N36:N38" si="6">B19/$B$20</f>
        <v>1</v>
      </c>
      <c r="O36" s="239">
        <f t="shared" ref="O36:O38" si="7">C19/$C$20</f>
        <v>1.1347125318642806</v>
      </c>
      <c r="P36" s="239">
        <f t="shared" ref="P36:P38" si="8">D19/$D$20</f>
        <v>0.93695490218213007</v>
      </c>
      <c r="Q36" s="239">
        <f t="shared" ref="Q36:Q38" si="9">H19/$H$20</f>
        <v>1.0136459936067357</v>
      </c>
      <c r="R36" s="239">
        <f t="shared" ref="R36:R38" si="10">I19/$I$20</f>
        <v>1.0019285990550488</v>
      </c>
      <c r="S36" s="239">
        <f t="shared" ref="S36:S38" si="11">J19/$J$20</f>
        <v>1.0348508958715574</v>
      </c>
    </row>
    <row r="37" spans="1:19" ht="30">
      <c r="A37" s="325" t="s">
        <v>68</v>
      </c>
      <c r="B37" s="11">
        <f>((B27/B20)^(1/7)-1)*100</f>
        <v>0</v>
      </c>
      <c r="C37" s="11">
        <f t="shared" ref="C37:J37" si="12">((C27/C20)^(1/7)-1)*100</f>
        <v>6.9513294877099341E-2</v>
      </c>
      <c r="D37" s="11">
        <f t="shared" si="12"/>
        <v>-1.3626660692853232</v>
      </c>
      <c r="E37" s="11">
        <f t="shared" ref="E37:G37" si="13">((E27/E20)^(1/7)-1)*100</f>
        <v>-3.5339186934845612</v>
      </c>
      <c r="F37" s="11">
        <f t="shared" si="13"/>
        <v>-2.9429710629512273</v>
      </c>
      <c r="G37" s="11">
        <f t="shared" si="13"/>
        <v>1.8093630832337393</v>
      </c>
      <c r="H37" s="11">
        <f t="shared" si="12"/>
        <v>1.5831407474882431</v>
      </c>
      <c r="I37" s="11">
        <f t="shared" si="12"/>
        <v>1.0908912210886967</v>
      </c>
      <c r="J37" s="11">
        <f t="shared" si="12"/>
        <v>2.4391684185510965</v>
      </c>
      <c r="L37" s="239">
        <v>2000</v>
      </c>
      <c r="M37" s="239" t="e">
        <f>#REF!/#REF!</f>
        <v>#REF!</v>
      </c>
      <c r="N37" s="239">
        <f t="shared" si="6"/>
        <v>1</v>
      </c>
      <c r="O37" s="239">
        <f t="shared" si="7"/>
        <v>1</v>
      </c>
      <c r="P37" s="239">
        <f t="shared" si="8"/>
        <v>1</v>
      </c>
      <c r="Q37" s="239">
        <f t="shared" si="9"/>
        <v>1</v>
      </c>
      <c r="R37" s="239">
        <f t="shared" si="10"/>
        <v>1</v>
      </c>
      <c r="S37" s="239">
        <f t="shared" si="11"/>
        <v>1</v>
      </c>
    </row>
    <row r="38" spans="1:19" ht="30">
      <c r="A38" s="240" t="s">
        <v>69</v>
      </c>
      <c r="B38" s="11">
        <f t="shared" ref="B38:J38" si="14">((B33/B27)^(1/6)-1)*100</f>
        <v>0</v>
      </c>
      <c r="C38" s="11">
        <f t="shared" si="14"/>
        <v>-2.9289096355547217</v>
      </c>
      <c r="D38" s="11">
        <f t="shared" si="14"/>
        <v>1.8842239329194044</v>
      </c>
      <c r="E38" s="11">
        <f t="shared" ref="E38:G38" si="15">((E33/E27)^(1/6)-1)*100</f>
        <v>-7.938907884944868</v>
      </c>
      <c r="F38" s="11">
        <f t="shared" si="15"/>
        <v>7.6788744671365317</v>
      </c>
      <c r="G38" s="11">
        <f t="shared" si="15"/>
        <v>6.7754804593187723</v>
      </c>
      <c r="H38" s="11">
        <f t="shared" si="14"/>
        <v>-0.86348400380219514</v>
      </c>
      <c r="I38" s="11">
        <f t="shared" si="14"/>
        <v>-1.9278502522766416</v>
      </c>
      <c r="J38" s="11">
        <f t="shared" si="14"/>
        <v>0.77631125624937347</v>
      </c>
      <c r="L38" s="239">
        <v>2001</v>
      </c>
      <c r="M38" s="239" t="e">
        <f>#REF!/#REF!</f>
        <v>#REF!</v>
      </c>
      <c r="N38" s="239">
        <f t="shared" si="6"/>
        <v>1</v>
      </c>
      <c r="O38" s="239">
        <f t="shared" si="7"/>
        <v>0.93748908359532479</v>
      </c>
      <c r="P38" s="239">
        <f t="shared" si="8"/>
        <v>1.0198727655196604</v>
      </c>
      <c r="Q38" s="239">
        <f t="shared" si="9"/>
        <v>1.0058278679086006</v>
      </c>
      <c r="R38" s="239">
        <f t="shared" si="10"/>
        <v>1.0000161896566653</v>
      </c>
      <c r="S38" s="239">
        <f t="shared" si="11"/>
        <v>1.0163452289809172</v>
      </c>
    </row>
    <row r="39" spans="1:19" s="259" customFormat="1" ht="30">
      <c r="A39" s="325" t="s">
        <v>15</v>
      </c>
      <c r="B39" s="11">
        <f>((B33/B20)^(1/13)-1)*100</f>
        <v>0</v>
      </c>
      <c r="C39" s="11">
        <f t="shared" ref="C39:J39" si="16">((C33/C20)^(1/13)-1)*100</f>
        <v>-1.3257130038144882</v>
      </c>
      <c r="D39" s="11">
        <f t="shared" si="16"/>
        <v>0.12283729450754954</v>
      </c>
      <c r="E39" s="11">
        <f t="shared" ref="E39:G39" si="17">((E33/E20)^(1/13)-1)*100</f>
        <v>-5.5925881474630623</v>
      </c>
      <c r="F39" s="11">
        <f t="shared" si="17"/>
        <v>1.8225571235730209</v>
      </c>
      <c r="G39" s="11">
        <f t="shared" si="17"/>
        <v>4.0720468322552827</v>
      </c>
      <c r="H39" s="11">
        <f t="shared" si="16"/>
        <v>0.44651520919269938</v>
      </c>
      <c r="I39" s="11">
        <f t="shared" si="16"/>
        <v>-0.31375033249313455</v>
      </c>
      <c r="J39" s="11">
        <f t="shared" si="16"/>
        <v>1.6683135668264848</v>
      </c>
    </row>
    <row r="40" spans="1:19">
      <c r="L40" s="239">
        <v>2003</v>
      </c>
      <c r="M40" s="239" t="e">
        <f>#REF!/#REF!</f>
        <v>#REF!</v>
      </c>
      <c r="N40" s="239">
        <f>B23/$B$20</f>
        <v>1</v>
      </c>
      <c r="O40" s="239">
        <f t="shared" ref="O40:O42" si="18">C23/$C$20</f>
        <v>0.96055133535176651</v>
      </c>
      <c r="P40" s="239">
        <f>D23/$D$20</f>
        <v>1.0605485357915483</v>
      </c>
      <c r="Q40" s="239">
        <f>H23/$H$20</f>
        <v>0.94145628379555846</v>
      </c>
      <c r="R40" s="239">
        <f>I23/$I$20</f>
        <v>0.92555963401818575</v>
      </c>
      <c r="S40" s="239">
        <f>J23/$J$20</f>
        <v>0.97017471230735708</v>
      </c>
    </row>
    <row r="41" spans="1:19">
      <c r="A41" s="239" t="s">
        <v>40</v>
      </c>
      <c r="L41" s="239">
        <v>2004</v>
      </c>
      <c r="M41" s="239" t="e">
        <f>#REF!/#REF!</f>
        <v>#REF!</v>
      </c>
      <c r="N41" s="239">
        <f>B24/$B$20</f>
        <v>1</v>
      </c>
      <c r="O41" s="239">
        <f t="shared" si="18"/>
        <v>0.99946632640407163</v>
      </c>
      <c r="P41" s="239">
        <f>D24/$D$20</f>
        <v>1.0170440580455973</v>
      </c>
      <c r="Q41" s="239">
        <f>H24/$H$20</f>
        <v>0.97817918750445676</v>
      </c>
      <c r="R41" s="239">
        <f>I24/$I$20</f>
        <v>0.96522248822468748</v>
      </c>
      <c r="S41" s="239">
        <f>J24/$J$20</f>
        <v>1.0016781311860774</v>
      </c>
    </row>
    <row r="42" spans="1:19">
      <c r="A42" s="229" t="s">
        <v>52</v>
      </c>
      <c r="B42" s="229"/>
      <c r="C42" s="229"/>
      <c r="D42" s="229"/>
      <c r="E42" s="229"/>
      <c r="F42" s="229"/>
      <c r="G42" s="229"/>
      <c r="H42" s="229"/>
      <c r="I42" s="229"/>
      <c r="J42" s="229"/>
      <c r="L42" s="239">
        <v>2005</v>
      </c>
      <c r="M42" s="239" t="e">
        <f>#REF!/#REF!</f>
        <v>#REF!</v>
      </c>
      <c r="N42" s="239">
        <f>B25/$B$20</f>
        <v>1</v>
      </c>
      <c r="O42" s="239">
        <f t="shared" si="18"/>
        <v>0.98255523804874378</v>
      </c>
      <c r="P42" s="239">
        <f>D25/$D$20</f>
        <v>0.97329845545912597</v>
      </c>
      <c r="Q42" s="239">
        <f>H25/$H$20</f>
        <v>1.0434215536638509</v>
      </c>
      <c r="R42" s="239">
        <f>I25/$I$20</f>
        <v>1.0848102247419751</v>
      </c>
      <c r="S42" s="239">
        <f>J25/$J$20</f>
        <v>0.96852071105664206</v>
      </c>
    </row>
    <row r="43" spans="1:19">
      <c r="A43" s="231" t="s">
        <v>144</v>
      </c>
      <c r="B43" s="229"/>
      <c r="C43" s="229"/>
      <c r="D43" s="229"/>
      <c r="E43" s="229"/>
      <c r="F43" s="229"/>
      <c r="G43" s="229"/>
      <c r="H43" s="229"/>
      <c r="I43" s="229"/>
      <c r="J43" s="229"/>
    </row>
    <row r="44" spans="1:19">
      <c r="A44" s="239" t="s">
        <v>41</v>
      </c>
      <c r="L44" s="239">
        <v>2008</v>
      </c>
      <c r="M44" s="239" t="e">
        <f>#REF!/#REF!</f>
        <v>#REF!</v>
      </c>
      <c r="N44" s="239">
        <f t="shared" ref="N44:N49" si="19">B28/$B$20</f>
        <v>1</v>
      </c>
      <c r="O44" s="239">
        <f t="shared" ref="O44:O49" si="20">C28/$C$20</f>
        <v>1.1144515050635402</v>
      </c>
      <c r="P44" s="239">
        <f t="shared" ref="P44:P49" si="21">D28/$D$20</f>
        <v>0.88509517146946703</v>
      </c>
      <c r="Q44" s="239">
        <f t="shared" ref="Q44:Q49" si="22">H28/$H$20</f>
        <v>1.0910975226507773</v>
      </c>
      <c r="R44" s="239">
        <f t="shared" ref="R44:R49" si="23">I28/$I$20</f>
        <v>1.0375402937370328</v>
      </c>
      <c r="S44" s="239">
        <f t="shared" ref="S44:S49" si="24">J28/$J$20</f>
        <v>1.1880197351512629</v>
      </c>
    </row>
    <row r="45" spans="1:19">
      <c r="A45" s="28" t="s">
        <v>53</v>
      </c>
      <c r="B45" s="28"/>
      <c r="C45" s="28"/>
      <c r="D45" s="28"/>
      <c r="E45" s="28"/>
      <c r="F45" s="28"/>
      <c r="G45" s="28"/>
      <c r="H45" s="28"/>
      <c r="I45" s="28"/>
      <c r="J45" s="28"/>
      <c r="L45" s="239">
        <v>2009</v>
      </c>
      <c r="M45" s="239" t="e">
        <f>#REF!/#REF!</f>
        <v>#REF!</v>
      </c>
      <c r="N45" s="239">
        <f t="shared" si="19"/>
        <v>1</v>
      </c>
      <c r="O45" s="239">
        <f t="shared" si="20"/>
        <v>1.183780306912364</v>
      </c>
      <c r="P45" s="239">
        <f t="shared" si="21"/>
        <v>0.89387190287992357</v>
      </c>
      <c r="Q45" s="239">
        <f t="shared" si="22"/>
        <v>1.0446927846046263</v>
      </c>
      <c r="R45" s="239">
        <f t="shared" si="23"/>
        <v>0.95664765162682808</v>
      </c>
      <c r="S45" s="239">
        <f t="shared" si="24"/>
        <v>1.2039583002283052</v>
      </c>
    </row>
    <row r="46" spans="1:19">
      <c r="A46" s="28" t="s">
        <v>54</v>
      </c>
      <c r="B46" s="28"/>
      <c r="C46" s="28"/>
      <c r="D46" s="28"/>
      <c r="E46" s="28"/>
      <c r="F46" s="28"/>
      <c r="G46" s="28"/>
      <c r="H46" s="28"/>
      <c r="I46" s="28"/>
      <c r="J46" s="28"/>
      <c r="L46" s="239">
        <v>2010</v>
      </c>
      <c r="M46" s="239" t="e">
        <f>#REF!/#REF!</f>
        <v>#REF!</v>
      </c>
      <c r="N46" s="239">
        <f t="shared" si="19"/>
        <v>1</v>
      </c>
      <c r="O46" s="239">
        <f t="shared" si="20"/>
        <v>0.83586201936085247</v>
      </c>
      <c r="P46" s="239">
        <f t="shared" si="21"/>
        <v>0.98696313509925171</v>
      </c>
      <c r="Q46" s="239">
        <f t="shared" si="22"/>
        <v>1.0998299390489767</v>
      </c>
      <c r="R46" s="239">
        <f t="shared" si="23"/>
        <v>0.96509036312604879</v>
      </c>
      <c r="S46" s="239">
        <f t="shared" si="24"/>
        <v>1.3437365658701477</v>
      </c>
    </row>
    <row r="47" spans="1:19">
      <c r="L47" s="239">
        <v>2011</v>
      </c>
      <c r="M47" s="239" t="e">
        <f>#REF!/#REF!</f>
        <v>#REF!</v>
      </c>
      <c r="N47" s="239">
        <f t="shared" si="19"/>
        <v>1</v>
      </c>
      <c r="O47" s="239">
        <f t="shared" si="20"/>
        <v>1.1431116626344633</v>
      </c>
      <c r="P47" s="239">
        <f t="shared" si="21"/>
        <v>0.97051460135747403</v>
      </c>
      <c r="Q47" s="239">
        <f t="shared" si="22"/>
        <v>0.96590616225764103</v>
      </c>
      <c r="R47" s="239">
        <f t="shared" si="23"/>
        <v>0.86278487172257101</v>
      </c>
      <c r="S47" s="239">
        <f t="shared" si="24"/>
        <v>1.1525241751249831</v>
      </c>
    </row>
    <row r="48" spans="1:19">
      <c r="L48" s="239">
        <v>2012</v>
      </c>
      <c r="M48" s="239" t="e">
        <f>#REF!/#REF!</f>
        <v>#REF!</v>
      </c>
      <c r="N48" s="239">
        <f t="shared" si="19"/>
        <v>1</v>
      </c>
      <c r="O48" s="239">
        <f t="shared" si="20"/>
        <v>0.95966074571102844</v>
      </c>
      <c r="P48" s="239">
        <f t="shared" si="21"/>
        <v>0.96415580099190767</v>
      </c>
      <c r="Q48" s="239">
        <f t="shared" si="22"/>
        <v>1.0668389412505586</v>
      </c>
      <c r="R48" s="239">
        <f t="shared" si="23"/>
        <v>0.97614231189200029</v>
      </c>
      <c r="S48" s="239">
        <f t="shared" si="24"/>
        <v>1.2309721154654778</v>
      </c>
    </row>
    <row r="49" spans="12:19">
      <c r="L49" s="239">
        <v>2013</v>
      </c>
      <c r="M49" s="239" t="e">
        <f>#REF!/#REF!</f>
        <v>#REF!</v>
      </c>
      <c r="N49" s="239">
        <f t="shared" si="19"/>
        <v>1</v>
      </c>
      <c r="O49" s="239">
        <f t="shared" si="20"/>
        <v>0.8407211250855734</v>
      </c>
      <c r="P49" s="239">
        <f t="shared" si="21"/>
        <v>1.0160870742234027</v>
      </c>
      <c r="Q49" s="239">
        <f t="shared" si="22"/>
        <v>1.0596278561622532</v>
      </c>
      <c r="R49" s="239">
        <f t="shared" si="23"/>
        <v>0.9599715187754374</v>
      </c>
      <c r="S49" s="239">
        <f t="shared" si="24"/>
        <v>1.2399753630278718</v>
      </c>
    </row>
  </sheetData>
  <mergeCells count="2">
    <mergeCell ref="A1:J1"/>
    <mergeCell ref="A35:J35"/>
  </mergeCells>
  <printOptions gridLines="1"/>
  <pageMargins left="0.7" right="0.7" top="0.75" bottom="0.75" header="0.3" footer="0.3"/>
  <pageSetup scale="8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51"/>
  <sheetViews>
    <sheetView view="pageBreakPreview" topLeftCell="A13" zoomScaleNormal="100" zoomScaleSheetLayoutView="100" workbookViewId="0">
      <selection activeCell="D36" sqref="D36:G39"/>
    </sheetView>
  </sheetViews>
  <sheetFormatPr defaultRowHeight="15"/>
  <cols>
    <col min="1" max="1" width="9.140625" style="239"/>
    <col min="2" max="2" width="11.140625" style="239" bestFit="1" customWidth="1"/>
    <col min="3" max="4" width="10.140625" style="239" bestFit="1" customWidth="1"/>
    <col min="5" max="7" width="10.140625" style="239" customWidth="1"/>
    <col min="8" max="10" width="10.140625" style="239" bestFit="1" customWidth="1"/>
    <col min="11" max="11" width="9.140625" style="239"/>
    <col min="12" max="32" width="0" style="239" hidden="1" customWidth="1"/>
    <col min="33" max="16384" width="9.140625" style="239"/>
  </cols>
  <sheetData>
    <row r="1" spans="1:28">
      <c r="A1" s="454" t="s">
        <v>346</v>
      </c>
      <c r="B1" s="454"/>
      <c r="C1" s="454"/>
      <c r="D1" s="454"/>
      <c r="E1" s="454"/>
      <c r="F1" s="454"/>
      <c r="G1" s="454"/>
      <c r="H1" s="454"/>
      <c r="I1" s="454"/>
      <c r="J1" s="454"/>
    </row>
    <row r="2" spans="1:28" ht="135">
      <c r="A2" s="240"/>
      <c r="B2" s="240" t="s">
        <v>8</v>
      </c>
      <c r="C2" s="240" t="s">
        <v>3</v>
      </c>
      <c r="D2" s="240" t="s">
        <v>4</v>
      </c>
      <c r="E2" s="240" t="s">
        <v>36</v>
      </c>
      <c r="F2" s="240" t="s">
        <v>37</v>
      </c>
      <c r="G2" s="240" t="s">
        <v>38</v>
      </c>
      <c r="H2" s="240" t="s">
        <v>17</v>
      </c>
      <c r="I2" s="240" t="s">
        <v>6</v>
      </c>
      <c r="J2" s="240" t="s">
        <v>7</v>
      </c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</row>
    <row r="4" spans="1:28">
      <c r="A4" s="240">
        <v>1984</v>
      </c>
      <c r="B4" s="9" t="s">
        <v>10</v>
      </c>
      <c r="C4" s="9" t="s">
        <v>10</v>
      </c>
      <c r="D4" s="9" t="s">
        <v>10</v>
      </c>
      <c r="E4" s="9" t="s">
        <v>10</v>
      </c>
      <c r="F4" s="9" t="s">
        <v>10</v>
      </c>
      <c r="G4" s="9" t="s">
        <v>10</v>
      </c>
      <c r="H4" s="9" t="s">
        <v>10</v>
      </c>
      <c r="I4" s="9" t="s">
        <v>10</v>
      </c>
      <c r="J4" s="9" t="s">
        <v>10</v>
      </c>
    </row>
    <row r="5" spans="1:28">
      <c r="A5" s="240">
        <v>1985</v>
      </c>
      <c r="B5" s="9" t="s">
        <v>10</v>
      </c>
      <c r="C5" s="9" t="s">
        <v>10</v>
      </c>
      <c r="D5" s="9" t="s">
        <v>10</v>
      </c>
      <c r="E5" s="9" t="s">
        <v>10</v>
      </c>
      <c r="F5" s="9" t="s">
        <v>10</v>
      </c>
      <c r="G5" s="9" t="s">
        <v>10</v>
      </c>
      <c r="H5" s="9" t="s">
        <v>10</v>
      </c>
      <c r="I5" s="9" t="s">
        <v>10</v>
      </c>
      <c r="J5" s="9" t="s">
        <v>10</v>
      </c>
    </row>
    <row r="6" spans="1:28">
      <c r="A6" s="240">
        <v>1986</v>
      </c>
      <c r="B6" s="9" t="s">
        <v>10</v>
      </c>
      <c r="C6" s="9" t="s">
        <v>10</v>
      </c>
      <c r="D6" s="9" t="s">
        <v>10</v>
      </c>
      <c r="E6" s="9" t="s">
        <v>10</v>
      </c>
      <c r="F6" s="9" t="s">
        <v>10</v>
      </c>
      <c r="G6" s="9" t="s">
        <v>10</v>
      </c>
      <c r="H6" s="9" t="s">
        <v>10</v>
      </c>
      <c r="I6" s="9" t="s">
        <v>10</v>
      </c>
      <c r="J6" s="9" t="s">
        <v>10</v>
      </c>
    </row>
    <row r="7" spans="1:28">
      <c r="A7" s="240">
        <v>1987</v>
      </c>
      <c r="B7" s="9" t="s">
        <v>10</v>
      </c>
      <c r="C7" s="9" t="s">
        <v>10</v>
      </c>
      <c r="D7" s="9" t="s">
        <v>10</v>
      </c>
      <c r="E7" s="9" t="s">
        <v>10</v>
      </c>
      <c r="F7" s="9" t="s">
        <v>10</v>
      </c>
      <c r="G7" s="9" t="s">
        <v>10</v>
      </c>
      <c r="H7" s="9" t="s">
        <v>10</v>
      </c>
      <c r="I7" s="9" t="s">
        <v>10</v>
      </c>
      <c r="J7" s="9" t="s">
        <v>10</v>
      </c>
    </row>
    <row r="8" spans="1:28">
      <c r="A8" s="240">
        <v>1988</v>
      </c>
      <c r="B8" s="9" t="s">
        <v>10</v>
      </c>
      <c r="C8" s="9" t="s">
        <v>10</v>
      </c>
      <c r="D8" s="9" t="s">
        <v>10</v>
      </c>
      <c r="E8" s="9" t="s">
        <v>10</v>
      </c>
      <c r="F8" s="9" t="s">
        <v>10</v>
      </c>
      <c r="G8" s="9" t="s">
        <v>10</v>
      </c>
      <c r="H8" s="9" t="s">
        <v>10</v>
      </c>
      <c r="I8" s="9" t="s">
        <v>10</v>
      </c>
      <c r="J8" s="9" t="s">
        <v>10</v>
      </c>
    </row>
    <row r="9" spans="1:28">
      <c r="A9" s="240">
        <v>1989</v>
      </c>
      <c r="B9" s="9" t="s">
        <v>10</v>
      </c>
      <c r="C9" s="9" t="s">
        <v>10</v>
      </c>
      <c r="D9" s="9" t="s">
        <v>10</v>
      </c>
      <c r="E9" s="9" t="s">
        <v>10</v>
      </c>
      <c r="F9" s="9" t="s">
        <v>10</v>
      </c>
      <c r="G9" s="9" t="s">
        <v>10</v>
      </c>
      <c r="H9" s="9" t="s">
        <v>10</v>
      </c>
      <c r="I9" s="9" t="s">
        <v>10</v>
      </c>
      <c r="J9" s="9" t="s">
        <v>10</v>
      </c>
    </row>
    <row r="10" spans="1:28">
      <c r="A10" s="240">
        <v>1990</v>
      </c>
      <c r="B10" s="9" t="s">
        <v>10</v>
      </c>
      <c r="C10" s="9" t="s">
        <v>10</v>
      </c>
      <c r="D10" s="9" t="s">
        <v>10</v>
      </c>
      <c r="E10" s="9" t="s">
        <v>10</v>
      </c>
      <c r="F10" s="9" t="s">
        <v>10</v>
      </c>
      <c r="G10" s="9" t="s">
        <v>10</v>
      </c>
      <c r="H10" s="9" t="s">
        <v>10</v>
      </c>
      <c r="I10" s="9" t="s">
        <v>10</v>
      </c>
      <c r="J10" s="9" t="s">
        <v>10</v>
      </c>
    </row>
    <row r="11" spans="1:28">
      <c r="A11" s="240">
        <v>1991</v>
      </c>
      <c r="B11" s="9" t="s">
        <v>10</v>
      </c>
      <c r="C11" s="9" t="s">
        <v>10</v>
      </c>
      <c r="D11" s="9" t="s">
        <v>10</v>
      </c>
      <c r="E11" s="9" t="s">
        <v>10</v>
      </c>
      <c r="F11" s="9" t="s">
        <v>10</v>
      </c>
      <c r="G11" s="9" t="s">
        <v>10</v>
      </c>
      <c r="H11" s="9" t="s">
        <v>10</v>
      </c>
      <c r="I11" s="9" t="s">
        <v>10</v>
      </c>
      <c r="J11" s="9" t="s">
        <v>10</v>
      </c>
    </row>
    <row r="12" spans="1:28">
      <c r="A12" s="240">
        <v>1992</v>
      </c>
      <c r="B12" s="9" t="s">
        <v>10</v>
      </c>
      <c r="C12" s="9" t="s">
        <v>10</v>
      </c>
      <c r="D12" s="9" t="s">
        <v>10</v>
      </c>
      <c r="E12" s="9" t="s">
        <v>10</v>
      </c>
      <c r="F12" s="9" t="s">
        <v>10</v>
      </c>
      <c r="G12" s="9" t="s">
        <v>10</v>
      </c>
      <c r="H12" s="9" t="s">
        <v>10</v>
      </c>
      <c r="I12" s="9" t="s">
        <v>10</v>
      </c>
      <c r="J12" s="9" t="s">
        <v>10</v>
      </c>
    </row>
    <row r="13" spans="1:28">
      <c r="A13" s="240">
        <v>1993</v>
      </c>
      <c r="B13" s="9" t="s">
        <v>10</v>
      </c>
      <c r="C13" s="9" t="s">
        <v>10</v>
      </c>
      <c r="D13" s="9" t="s">
        <v>10</v>
      </c>
      <c r="E13" s="9" t="s">
        <v>10</v>
      </c>
      <c r="F13" s="9" t="s">
        <v>10</v>
      </c>
      <c r="G13" s="9" t="s">
        <v>10</v>
      </c>
      <c r="H13" s="9" t="s">
        <v>10</v>
      </c>
      <c r="I13" s="9" t="s">
        <v>10</v>
      </c>
      <c r="J13" s="9" t="s">
        <v>10</v>
      </c>
    </row>
    <row r="14" spans="1:28">
      <c r="A14" s="240">
        <v>1994</v>
      </c>
      <c r="B14" s="9" t="s">
        <v>10</v>
      </c>
      <c r="C14" s="9" t="s">
        <v>10</v>
      </c>
      <c r="D14" s="9" t="s">
        <v>10</v>
      </c>
      <c r="E14" s="9" t="s">
        <v>10</v>
      </c>
      <c r="F14" s="9" t="s">
        <v>10</v>
      </c>
      <c r="G14" s="9" t="s">
        <v>10</v>
      </c>
      <c r="H14" s="9" t="s">
        <v>10</v>
      </c>
      <c r="I14" s="9" t="s">
        <v>10</v>
      </c>
      <c r="J14" s="9" t="s">
        <v>10</v>
      </c>
      <c r="V14" s="239" t="s">
        <v>32</v>
      </c>
    </row>
    <row r="15" spans="1:28">
      <c r="A15" s="240">
        <v>1995</v>
      </c>
      <c r="B15" s="9" t="s">
        <v>10</v>
      </c>
      <c r="C15" s="9" t="s">
        <v>10</v>
      </c>
      <c r="D15" s="9" t="s">
        <v>10</v>
      </c>
      <c r="E15" s="9" t="s">
        <v>10</v>
      </c>
      <c r="F15" s="9" t="s">
        <v>10</v>
      </c>
      <c r="G15" s="9" t="s">
        <v>10</v>
      </c>
      <c r="H15" s="9" t="s">
        <v>10</v>
      </c>
      <c r="I15" s="9" t="s">
        <v>10</v>
      </c>
      <c r="J15" s="9" t="s">
        <v>10</v>
      </c>
      <c r="M15" s="239" t="s">
        <v>24</v>
      </c>
      <c r="V15" s="239" t="s">
        <v>16</v>
      </c>
      <c r="W15" s="239" t="s">
        <v>8</v>
      </c>
      <c r="X15" s="239" t="s">
        <v>3</v>
      </c>
      <c r="Y15" s="239" t="s">
        <v>4</v>
      </c>
      <c r="Z15" s="239" t="s">
        <v>17</v>
      </c>
      <c r="AA15" s="239" t="s">
        <v>6</v>
      </c>
      <c r="AB15" s="239" t="s">
        <v>7</v>
      </c>
    </row>
    <row r="16" spans="1:28">
      <c r="A16" s="240">
        <v>1996</v>
      </c>
      <c r="B16" s="9" t="s">
        <v>10</v>
      </c>
      <c r="C16" s="9" t="s">
        <v>10</v>
      </c>
      <c r="D16" s="9" t="s">
        <v>10</v>
      </c>
      <c r="E16" s="9" t="s">
        <v>10</v>
      </c>
      <c r="F16" s="9" t="s">
        <v>10</v>
      </c>
      <c r="G16" s="9" t="s">
        <v>10</v>
      </c>
      <c r="H16" s="9" t="s">
        <v>10</v>
      </c>
      <c r="I16" s="9" t="s">
        <v>10</v>
      </c>
      <c r="J16" s="9" t="s">
        <v>10</v>
      </c>
      <c r="M16" s="239" t="s">
        <v>16</v>
      </c>
      <c r="N16" s="239" t="s">
        <v>8</v>
      </c>
      <c r="O16" s="239" t="s">
        <v>3</v>
      </c>
      <c r="P16" s="239" t="s">
        <v>4</v>
      </c>
      <c r="Q16" s="239" t="s">
        <v>17</v>
      </c>
      <c r="R16" s="239" t="s">
        <v>6</v>
      </c>
      <c r="S16" s="239" t="s">
        <v>7</v>
      </c>
      <c r="U16" s="239" t="s">
        <v>19</v>
      </c>
      <c r="V16" s="239" t="e">
        <f>((#REF!/#REF!)^(1/3)-1)*100</f>
        <v>#REF!</v>
      </c>
      <c r="W16" s="239">
        <f>((B20/B17)^(1/3)-1)*100</f>
        <v>0</v>
      </c>
      <c r="X16" s="239">
        <f>((C20/C17)^(1/3)-1)*100</f>
        <v>-6.742307913448764E-2</v>
      </c>
      <c r="Y16" s="239">
        <f>((D20/D17)^(1/3)-1)*100</f>
        <v>0.93780319267313672</v>
      </c>
      <c r="Z16" s="239">
        <f t="shared" ref="Z16:AB16" si="0">((H20/H17)^(1/3)-1)*100</f>
        <v>-0.83933028998461889</v>
      </c>
      <c r="AA16" s="239">
        <f t="shared" si="0"/>
        <v>-4.8496143166759094</v>
      </c>
      <c r="AB16" s="239">
        <f t="shared" si="0"/>
        <v>2.8381625750898865</v>
      </c>
    </row>
    <row r="17" spans="1:28">
      <c r="A17" s="240">
        <v>1997</v>
      </c>
      <c r="B17" s="11">
        <f>'2B'!C17/'2B'!$C17*100</f>
        <v>100</v>
      </c>
      <c r="C17" s="11">
        <f>'2B'!D17/'2B'!$C17*100</f>
        <v>14.120869595367704</v>
      </c>
      <c r="D17" s="11">
        <f>'2B'!E17/'2B'!$C17*100</f>
        <v>40.714954405187058</v>
      </c>
      <c r="E17" s="11">
        <f>'2B'!F17/'2B'!$C17*100</f>
        <v>12.007211955202662</v>
      </c>
      <c r="F17" s="11">
        <f>'2B'!G17/'2B'!$C17*100</f>
        <v>9.1016261572067556</v>
      </c>
      <c r="G17" s="11">
        <f>'2B'!H17/'2B'!$C17*100</f>
        <v>19.606809750008669</v>
      </c>
      <c r="H17" s="11">
        <f>'2B'!I17/'2B'!$C17*100</f>
        <v>45.164175999445234</v>
      </c>
      <c r="I17" s="11">
        <f>'2B'!J17/'2B'!$C17*100</f>
        <v>22.479803058146388</v>
      </c>
      <c r="J17" s="11">
        <f>'2B'!K17/'2B'!$C17*100</f>
        <v>22.684372941298843</v>
      </c>
      <c r="L17" s="239">
        <v>1998</v>
      </c>
      <c r="M17" s="239" t="e">
        <f>((#REF!/#REF!)-1)*100</f>
        <v>#REF!</v>
      </c>
      <c r="N17" s="239">
        <f>((B18/B17)-1)*100</f>
        <v>0</v>
      </c>
      <c r="O17" s="239">
        <f>((C18/C17)-1)*100</f>
        <v>-9.3959329847330348</v>
      </c>
      <c r="P17" s="239">
        <f>((D18/D17)-1)*100</f>
        <v>6.833428341566572</v>
      </c>
      <c r="Q17" s="239">
        <f t="shared" ref="Q17:S32" si="1">((H18/H17)-1)*100</f>
        <v>-3.2225536220466866</v>
      </c>
      <c r="R17" s="239">
        <f t="shared" si="1"/>
        <v>-10.287221628781262</v>
      </c>
      <c r="S17" s="239">
        <f t="shared" si="1"/>
        <v>3.7784045209685591</v>
      </c>
      <c r="U17" s="239" t="s">
        <v>21</v>
      </c>
      <c r="V17" s="239" t="e">
        <f>((#REF!/#REF!)^(1/8)-1)*100</f>
        <v>#REF!</v>
      </c>
      <c r="W17" s="239">
        <f>((B28/B20)^(1/8)-1)*100</f>
        <v>0</v>
      </c>
      <c r="X17" s="239">
        <f>((C28/C20)^(1/8)-1)*100</f>
        <v>-2.7644849337587263</v>
      </c>
      <c r="Y17" s="239">
        <f>((D28/D20)^(1/8)-1)*100</f>
        <v>-0.16759028875552584</v>
      </c>
      <c r="Z17" s="239">
        <f t="shared" ref="Z17:AB17" si="2">((H28/H20)^(1/8)-1)*100</f>
        <v>0.93115075585743501</v>
      </c>
      <c r="AA17" s="239">
        <f t="shared" si="2"/>
        <v>-3.9351493219812017</v>
      </c>
      <c r="AB17" s="239">
        <f t="shared" si="2"/>
        <v>3.8513941109437289</v>
      </c>
    </row>
    <row r="18" spans="1:28">
      <c r="A18" s="240">
        <v>1998</v>
      </c>
      <c r="B18" s="11">
        <f>'2B'!C18/'2B'!$C18*100</f>
        <v>100</v>
      </c>
      <c r="C18" s="11">
        <f>'2B'!D18/'2B'!$C18*100</f>
        <v>12.794082151325412</v>
      </c>
      <c r="D18" s="11">
        <f>'2B'!E18/'2B'!$C18*100</f>
        <v>43.497181638767017</v>
      </c>
      <c r="E18" s="11">
        <f>'2B'!F18/'2B'!$C18*100</f>
        <v>12.626542289616788</v>
      </c>
      <c r="F18" s="11">
        <f>'2B'!G18/'2B'!$C18*100</f>
        <v>9.2679359940935093</v>
      </c>
      <c r="G18" s="11">
        <f>'2B'!H18/'2B'!$C18*100</f>
        <v>21.603413269724982</v>
      </c>
      <c r="H18" s="11">
        <f>'2B'!I18/'2B'!$C18*100</f>
        <v>43.70873620990757</v>
      </c>
      <c r="I18" s="11">
        <f>'2B'!J18/'2B'!$C18*100</f>
        <v>20.167255895841322</v>
      </c>
      <c r="J18" s="11">
        <f>'2B'!K18/'2B'!$C18*100</f>
        <v>23.541480314066249</v>
      </c>
      <c r="L18" s="239">
        <v>1999</v>
      </c>
      <c r="M18" s="239" t="e">
        <f>((#REF!/#REF!)-1)*100</f>
        <v>#REF!</v>
      </c>
      <c r="N18" s="239">
        <f t="shared" ref="N18:P32" si="3">((B19/B18)-1)*100</f>
        <v>0</v>
      </c>
      <c r="O18" s="239">
        <f t="shared" si="3"/>
        <v>-1.9114925139318117</v>
      </c>
      <c r="P18" s="239">
        <f t="shared" si="3"/>
        <v>-1.2358958537243225</v>
      </c>
      <c r="Q18" s="239">
        <f t="shared" si="1"/>
        <v>1.7894312550085667</v>
      </c>
      <c r="R18" s="239">
        <f t="shared" si="1"/>
        <v>4.9467398816002373</v>
      </c>
      <c r="S18" s="239">
        <f t="shared" si="1"/>
        <v>-0.91533710132013502</v>
      </c>
      <c r="U18" s="239" t="s">
        <v>22</v>
      </c>
      <c r="V18" s="239" t="e">
        <f>((#REF!/#REF!)^(1/5)-1)*100</f>
        <v>#REF!</v>
      </c>
      <c r="W18" s="239">
        <f>((B33/B28)^(1/5)-1)*100</f>
        <v>0</v>
      </c>
      <c r="X18" s="239">
        <f>((C33/C28)^(1/5)-1)*100</f>
        <v>-0.14465732719325386</v>
      </c>
      <c r="Y18" s="239">
        <f>((D33/D28)^(1/5)-1)*100</f>
        <v>-0.33931481861346757</v>
      </c>
      <c r="Z18" s="239">
        <f t="shared" ref="Z18:AB18" si="4">((H33/H28)^(1/5)-1)*100</f>
        <v>0.32570263424516188</v>
      </c>
      <c r="AA18" s="239">
        <f t="shared" si="4"/>
        <v>1.1208193839270963</v>
      </c>
      <c r="AB18" s="239">
        <f t="shared" si="4"/>
        <v>-1.6536451091031523E-2</v>
      </c>
    </row>
    <row r="19" spans="1:28">
      <c r="A19" s="240">
        <v>1999</v>
      </c>
      <c r="B19" s="11">
        <f>'2B'!C19/'2B'!$C19*100</f>
        <v>100</v>
      </c>
      <c r="C19" s="11">
        <f>'2B'!D19/'2B'!$C19*100</f>
        <v>12.549524228776541</v>
      </c>
      <c r="D19" s="11">
        <f>'2B'!E19/'2B'!$C19*100</f>
        <v>42.959601774406558</v>
      </c>
      <c r="E19" s="11">
        <f>'2B'!F19/'2B'!$C19*100</f>
        <v>10.752091022992786</v>
      </c>
      <c r="F19" s="11">
        <f>'2B'!G19/'2B'!$C19*100</f>
        <v>10.651180115810504</v>
      </c>
      <c r="G19" s="11">
        <f>'2B'!H19/'2B'!$C19*100</f>
        <v>21.557007890013885</v>
      </c>
      <c r="H19" s="11">
        <f>'2B'!I19/'2B'!$C19*100</f>
        <v>44.490873996816902</v>
      </c>
      <c r="I19" s="11">
        <f>'2B'!J19/'2B'!$C19*100</f>
        <v>21.16487758626528</v>
      </c>
      <c r="J19" s="11">
        <f>'2B'!K19/'2B'!$C19*100</f>
        <v>23.325996410551625</v>
      </c>
      <c r="L19" s="239">
        <v>2000</v>
      </c>
      <c r="M19" s="239" t="e">
        <f>((#REF!/#REF!)-1)*100</f>
        <v>#REF!</v>
      </c>
      <c r="N19" s="239">
        <f t="shared" si="3"/>
        <v>0</v>
      </c>
      <c r="O19" s="239">
        <f t="shared" si="3"/>
        <v>12.293712625202069</v>
      </c>
      <c r="P19" s="239">
        <f t="shared" si="3"/>
        <v>-2.5335268099226371</v>
      </c>
      <c r="Q19" s="239">
        <f t="shared" si="1"/>
        <v>-1.0213542133557962</v>
      </c>
      <c r="R19" s="239">
        <f t="shared" si="1"/>
        <v>-8.502674389624298</v>
      </c>
      <c r="S19" s="239">
        <f t="shared" si="1"/>
        <v>5.7668327917126172</v>
      </c>
      <c r="U19" s="239" t="s">
        <v>18</v>
      </c>
      <c r="V19" s="239" t="e">
        <f>((#REF!/#REF!)^(1/16)-1)*100</f>
        <v>#REF!</v>
      </c>
      <c r="W19" s="239">
        <f>((B33/B17)^(1/16)-1)*100</f>
        <v>0</v>
      </c>
      <c r="X19" s="239">
        <f>((C33/C17)^(1/16)-1)*100</f>
        <v>-1.448991819200407</v>
      </c>
      <c r="Y19" s="239">
        <f>((D33/D17)^(1/16)-1)*100</f>
        <v>-1.5061781491443327E-2</v>
      </c>
      <c r="Z19" s="239">
        <f t="shared" ref="Z19:AB19" si="5">((H33/H17)^(1/16)-1)*100</f>
        <v>0.40782858754320195</v>
      </c>
      <c r="AA19" s="239">
        <f t="shared" si="5"/>
        <v>-2.5578369558424963</v>
      </c>
      <c r="AB19" s="239">
        <f t="shared" si="5"/>
        <v>2.4383686559225737</v>
      </c>
    </row>
    <row r="20" spans="1:28">
      <c r="A20" s="240">
        <v>2000</v>
      </c>
      <c r="B20" s="11">
        <f>'2B'!C20/'2B'!$C20*100</f>
        <v>100</v>
      </c>
      <c r="C20" s="11">
        <f>'2B'!D20/'2B'!$C20*100</f>
        <v>14.092326673292435</v>
      </c>
      <c r="D20" s="11">
        <f>'2B'!E20/'2B'!$C20*100</f>
        <v>41.871208746015967</v>
      </c>
      <c r="E20" s="11">
        <f>'2B'!F20/'2B'!$C20*100</f>
        <v>10.156619486617087</v>
      </c>
      <c r="F20" s="11">
        <f>'2B'!G20/'2B'!$C20*100</f>
        <v>10.097672983995338</v>
      </c>
      <c r="G20" s="11">
        <f>'2B'!H20/'2B'!$C20*100</f>
        <v>21.617601699852635</v>
      </c>
      <c r="H20" s="11">
        <f>'2B'!I20/'2B'!$C20*100</f>
        <v>44.036464580691593</v>
      </c>
      <c r="I20" s="11">
        <f>'2B'!J20/'2B'!$C20*100</f>
        <v>19.365296960142569</v>
      </c>
      <c r="J20" s="11">
        <f>'2B'!K20/'2B'!$C20*100</f>
        <v>24.671167620549024</v>
      </c>
      <c r="L20" s="239">
        <v>2001</v>
      </c>
      <c r="M20" s="239" t="e">
        <f>((#REF!/#REF!)-1)*100</f>
        <v>#REF!</v>
      </c>
      <c r="N20" s="239">
        <f t="shared" si="3"/>
        <v>0</v>
      </c>
      <c r="O20" s="239">
        <f t="shared" si="3"/>
        <v>-13.610775012539399</v>
      </c>
      <c r="P20" s="239">
        <f t="shared" si="3"/>
        <v>1.1969430046567586</v>
      </c>
      <c r="Q20" s="239">
        <f t="shared" si="1"/>
        <v>3.2175615980409633</v>
      </c>
      <c r="R20" s="239">
        <f t="shared" si="1"/>
        <v>-2.4800722034734157</v>
      </c>
      <c r="S20" s="239">
        <f t="shared" si="1"/>
        <v>7.6898416389973967</v>
      </c>
    </row>
    <row r="21" spans="1:28">
      <c r="A21" s="240">
        <v>2001</v>
      </c>
      <c r="B21" s="11">
        <f>'2B'!C21/'2B'!$C21*100</f>
        <v>100</v>
      </c>
      <c r="C21" s="11">
        <f>'2B'!D21/'2B'!$C21*100</f>
        <v>12.174251795758524</v>
      </c>
      <c r="D21" s="11">
        <f>'2B'!E21/'2B'!$C21*100</f>
        <v>42.372383250066633</v>
      </c>
      <c r="E21" s="11">
        <f>'2B'!F21/'2B'!$C21*100</f>
        <v>11.58580342680618</v>
      </c>
      <c r="F21" s="11">
        <f>'2B'!G21/'2B'!$C21*100</f>
        <v>9.2764340438910029</v>
      </c>
      <c r="G21" s="11">
        <f>'2B'!H21/'2B'!$C21*100</f>
        <v>21.510145779369452</v>
      </c>
      <c r="H21" s="11">
        <f>'2B'!I21/'2B'!$C21*100</f>
        <v>45.453364954174837</v>
      </c>
      <c r="I21" s="11">
        <f>'2B'!J21/'2B'!$C21*100</f>
        <v>18.88502361311399</v>
      </c>
      <c r="J21" s="11">
        <f>'2B'!K21/'2B'!$C21*100</f>
        <v>26.568341341060847</v>
      </c>
      <c r="L21" s="239">
        <v>2002</v>
      </c>
      <c r="M21" s="239" t="e">
        <f>((#REF!/#REF!)-1)*100</f>
        <v>#REF!</v>
      </c>
      <c r="N21" s="239">
        <f t="shared" si="3"/>
        <v>0</v>
      </c>
      <c r="O21" s="239">
        <f t="shared" si="3"/>
        <v>-3.5390630005245227</v>
      </c>
      <c r="P21" s="239">
        <f t="shared" si="3"/>
        <v>-2.2258515063833251E-2</v>
      </c>
      <c r="Q21" s="239">
        <f t="shared" si="1"/>
        <v>0.96865414617135492</v>
      </c>
      <c r="R21" s="239">
        <f t="shared" si="1"/>
        <v>-1.6592121492002732</v>
      </c>
      <c r="S21" s="239">
        <f t="shared" si="1"/>
        <v>2.839123958748524</v>
      </c>
    </row>
    <row r="22" spans="1:28">
      <c r="A22" s="240">
        <v>2002</v>
      </c>
      <c r="B22" s="11">
        <f>'2B'!C22/'2B'!$C22*100</f>
        <v>100</v>
      </c>
      <c r="C22" s="11">
        <f>'2B'!D22/'2B'!$C22*100</f>
        <v>11.743397354864141</v>
      </c>
      <c r="D22" s="11">
        <f>'2B'!E22/'2B'!$C22*100</f>
        <v>42.362951786758011</v>
      </c>
      <c r="E22" s="11">
        <f>'2B'!F22/'2B'!$C22*100</f>
        <v>10.564911851459174</v>
      </c>
      <c r="F22" s="11">
        <f>'2B'!G22/'2B'!$C22*100</f>
        <v>9.625657545977246</v>
      </c>
      <c r="G22" s="11">
        <f>'2B'!H22/'2B'!$C22*100</f>
        <v>22.173741657491604</v>
      </c>
      <c r="H22" s="11">
        <f>'2B'!I22/'2B'!$C22*100</f>
        <v>45.893650858377846</v>
      </c>
      <c r="I22" s="11">
        <f>'2B'!J22/'2B'!$C22*100</f>
        <v>18.571681006945862</v>
      </c>
      <c r="J22" s="11">
        <f>'2B'!K22/'2B'!$C22*100</f>
        <v>27.322649485516997</v>
      </c>
      <c r="L22" s="239">
        <v>2003</v>
      </c>
      <c r="M22" s="239" t="e">
        <f>((#REF!/#REF!)-1)*100</f>
        <v>#REF!</v>
      </c>
      <c r="N22" s="239">
        <f t="shared" si="3"/>
        <v>0</v>
      </c>
      <c r="O22" s="239">
        <f t="shared" si="3"/>
        <v>3.3747379513700215</v>
      </c>
      <c r="P22" s="239">
        <f t="shared" si="3"/>
        <v>-0.87336840662616266</v>
      </c>
      <c r="Q22" s="239">
        <f t="shared" si="1"/>
        <v>-5.7359242079468853E-2</v>
      </c>
      <c r="R22" s="239">
        <f t="shared" si="1"/>
        <v>-6.0171661921444963</v>
      </c>
      <c r="S22" s="239">
        <f t="shared" si="1"/>
        <v>3.9911393917377191</v>
      </c>
    </row>
    <row r="23" spans="1:28">
      <c r="A23" s="240">
        <v>2003</v>
      </c>
      <c r="B23" s="11">
        <f>'2B'!C23/'2B'!$C23*100</f>
        <v>100</v>
      </c>
      <c r="C23" s="11">
        <f>'2B'!D23/'2B'!$C23*100</f>
        <v>12.139706242178926</v>
      </c>
      <c r="D23" s="11">
        <f>'2B'!E23/'2B'!$C23*100</f>
        <v>41.992967149738192</v>
      </c>
      <c r="E23" s="11">
        <f>'2B'!F23/'2B'!$C23*100</f>
        <v>10.23188831330439</v>
      </c>
      <c r="F23" s="11">
        <f>'2B'!G23/'2B'!$C23*100</f>
        <v>10.602406269443454</v>
      </c>
      <c r="G23" s="11">
        <f>'2B'!H23/'2B'!$C23*100</f>
        <v>21.157973476507063</v>
      </c>
      <c r="H23" s="11">
        <f>'2B'!I23/'2B'!$C23*100</f>
        <v>45.867326608082884</v>
      </c>
      <c r="I23" s="11">
        <f>'2B'!J23/'2B'!$C23*100</f>
        <v>17.454192096082995</v>
      </c>
      <c r="J23" s="11">
        <f>'2B'!K23/'2B'!$C23*100</f>
        <v>28.413134511999889</v>
      </c>
      <c r="L23" s="239">
        <v>2004</v>
      </c>
      <c r="M23" s="239" t="e">
        <f>((#REF!/#REF!)-1)*100</f>
        <v>#REF!</v>
      </c>
      <c r="N23" s="239">
        <f t="shared" si="3"/>
        <v>0</v>
      </c>
      <c r="O23" s="239">
        <f t="shared" si="3"/>
        <v>-5.8518284775153866</v>
      </c>
      <c r="P23" s="239">
        <f t="shared" si="3"/>
        <v>0.58212937544954713</v>
      </c>
      <c r="Q23" s="239">
        <f t="shared" si="1"/>
        <v>1.0158459714609158</v>
      </c>
      <c r="R23" s="239">
        <f t="shared" si="1"/>
        <v>2.8609415367719437</v>
      </c>
      <c r="S23" s="239">
        <f t="shared" si="1"/>
        <v>-0.12006020386898797</v>
      </c>
    </row>
    <row r="24" spans="1:28">
      <c r="A24" s="240">
        <v>2004</v>
      </c>
      <c r="B24" s="11">
        <f>'2B'!C24/'2B'!$C24*100</f>
        <v>100</v>
      </c>
      <c r="C24" s="11">
        <f>'2B'!D24/'2B'!$C24*100</f>
        <v>11.429311455212387</v>
      </c>
      <c r="D24" s="11">
        <f>'2B'!E24/'2B'!$C24*100</f>
        <v>42.237420547139699</v>
      </c>
      <c r="E24" s="11">
        <f>'2B'!F24/'2B'!$C24*100</f>
        <v>10.94559404138549</v>
      </c>
      <c r="F24" s="11">
        <f>'2B'!G24/'2B'!$C24*100</f>
        <v>10.144065186346708</v>
      </c>
      <c r="G24" s="11">
        <f>'2B'!H24/'2B'!$C24*100</f>
        <v>21.1477613194075</v>
      </c>
      <c r="H24" s="11">
        <f>'2B'!I24/'2B'!$C24*100</f>
        <v>46.333267997647916</v>
      </c>
      <c r="I24" s="11">
        <f>'2B'!J24/'2B'!$C24*100</f>
        <v>17.953546327667798</v>
      </c>
      <c r="J24" s="11">
        <f>'2B'!K24/'2B'!$C24*100</f>
        <v>28.379021644779211</v>
      </c>
      <c r="L24" s="239">
        <v>2005</v>
      </c>
      <c r="M24" s="239" t="e">
        <f>((#REF!/#REF!)-1)*100</f>
        <v>#REF!</v>
      </c>
      <c r="N24" s="239">
        <f t="shared" si="3"/>
        <v>0</v>
      </c>
      <c r="O24" s="239">
        <f t="shared" si="3"/>
        <v>3.7003645093903526</v>
      </c>
      <c r="P24" s="239">
        <f t="shared" si="3"/>
        <v>0.17931361459437856</v>
      </c>
      <c r="Q24" s="239">
        <f t="shared" si="1"/>
        <v>-1.0762539570405072</v>
      </c>
      <c r="R24" s="239">
        <f t="shared" si="1"/>
        <v>-14.033977754772742</v>
      </c>
      <c r="S24" s="239">
        <f t="shared" si="1"/>
        <v>7.1236884698584024</v>
      </c>
    </row>
    <row r="25" spans="1:28">
      <c r="A25" s="240">
        <v>2005</v>
      </c>
      <c r="B25" s="11">
        <f>'2B'!C25/'2B'!$C25*100</f>
        <v>100</v>
      </c>
      <c r="C25" s="11">
        <f>'2B'!D25/'2B'!$C25*100</f>
        <v>11.852237639968752</v>
      </c>
      <c r="D25" s="11">
        <f>'2B'!E25/'2B'!$C25*100</f>
        <v>42.313157992634203</v>
      </c>
      <c r="E25" s="11">
        <f>'2B'!F25/'2B'!$C25*100</f>
        <v>11.241397269446821</v>
      </c>
      <c r="F25" s="11">
        <f>'2B'!G25/'2B'!$C25*100</f>
        <v>9.6544027379933777</v>
      </c>
      <c r="G25" s="11">
        <f>'2B'!H25/'2B'!$C25*100</f>
        <v>21.416613965254268</v>
      </c>
      <c r="H25" s="11">
        <f>'2B'!I25/'2B'!$C25*100</f>
        <v>45.834604367397048</v>
      </c>
      <c r="I25" s="11">
        <f>'2B'!J25/'2B'!$C25*100</f>
        <v>15.43394962985008</v>
      </c>
      <c r="J25" s="11">
        <f>'2B'!K25/'2B'!$C25*100</f>
        <v>30.400654737546969</v>
      </c>
      <c r="L25" s="239">
        <v>2006</v>
      </c>
      <c r="M25" s="239" t="e">
        <f>((#REF!/#REF!)-1)*100</f>
        <v>#REF!</v>
      </c>
      <c r="N25" s="239">
        <f t="shared" si="3"/>
        <v>0</v>
      </c>
      <c r="O25" s="239">
        <f t="shared" si="3"/>
        <v>-0.36661861506303017</v>
      </c>
      <c r="P25" s="239">
        <f t="shared" si="3"/>
        <v>1.9084501699754508</v>
      </c>
      <c r="Q25" s="239">
        <f t="shared" si="1"/>
        <v>-1.6670221913953731</v>
      </c>
      <c r="R25" s="239">
        <f t="shared" si="1"/>
        <v>-5.3939154698703913</v>
      </c>
      <c r="S25" s="239">
        <f t="shared" si="1"/>
        <v>0.22506479266448665</v>
      </c>
    </row>
    <row r="26" spans="1:28">
      <c r="A26" s="240">
        <v>2006</v>
      </c>
      <c r="B26" s="235">
        <f>'2B'!C26/'2B'!$C26*100</f>
        <v>100</v>
      </c>
      <c r="C26" s="235">
        <f>'2B'!D26/'2B'!$C26*100</f>
        <v>11.808785130479119</v>
      </c>
      <c r="D26" s="235">
        <f>'2B'!E26/'2B'!$C26*100</f>
        <v>43.120683528266611</v>
      </c>
      <c r="E26" s="235">
        <f>'2B'!F26/'2B'!$C26*100</f>
        <v>10.408201103162709</v>
      </c>
      <c r="F26" s="235">
        <f>'2B'!G26/'2B'!$C26*100</f>
        <v>9.4371398111954026</v>
      </c>
      <c r="G26" s="235">
        <f>'2B'!H26/'2B'!$C26*100</f>
        <v>23.275342613908503</v>
      </c>
      <c r="H26" s="235">
        <f>'2B'!I26/'2B'!$C26*100</f>
        <v>45.070531341254267</v>
      </c>
      <c r="I26" s="235">
        <f>'2B'!J26/'2B'!$C26*100</f>
        <v>14.601455433153593</v>
      </c>
      <c r="J26" s="235">
        <f>'2B'!K26/'2B'!$C26*100</f>
        <v>30.469075908100674</v>
      </c>
      <c r="L26" s="239">
        <v>2007</v>
      </c>
      <c r="M26" s="239" t="e">
        <f>((#REF!/#REF!)-1)*100</f>
        <v>#REF!</v>
      </c>
      <c r="N26" s="239">
        <f t="shared" si="3"/>
        <v>0</v>
      </c>
      <c r="O26" s="239">
        <f t="shared" si="3"/>
        <v>-5.4808964819944244</v>
      </c>
      <c r="P26" s="239">
        <f t="shared" si="3"/>
        <v>-1.4142540732060005</v>
      </c>
      <c r="Q26" s="239">
        <f t="shared" si="1"/>
        <v>2.7891024901782524</v>
      </c>
      <c r="R26" s="239">
        <f t="shared" si="1"/>
        <v>1.8859277254332563</v>
      </c>
      <c r="S26" s="239">
        <f t="shared" si="1"/>
        <v>3.2219238240299486</v>
      </c>
    </row>
    <row r="27" spans="1:28">
      <c r="A27" s="240">
        <v>2007</v>
      </c>
      <c r="B27" s="11">
        <f>'2B'!C27/'2B'!$C27*100</f>
        <v>100</v>
      </c>
      <c r="C27" s="11">
        <f>'2B'!D27/'2B'!$C27*100</f>
        <v>11.161557841696409</v>
      </c>
      <c r="D27" s="11">
        <f>'2B'!E27/'2B'!$C27*100</f>
        <v>42.510847505073833</v>
      </c>
      <c r="E27" s="11">
        <f>'2B'!F27/'2B'!$C27*100</f>
        <v>9.6359087409895725</v>
      </c>
      <c r="F27" s="11">
        <f>'2B'!G27/'2B'!$C27*100</f>
        <v>8.1268808174119957</v>
      </c>
      <c r="G27" s="11">
        <f>'2B'!H27/'2B'!$C27*100</f>
        <v>24.74718314787599</v>
      </c>
      <c r="H27" s="11">
        <f>'2B'!I27/'2B'!$C27*100</f>
        <v>46.32759465322976</v>
      </c>
      <c r="I27" s="11">
        <f>'2B'!J27/'2B'!$C27*100</f>
        <v>14.876828329484217</v>
      </c>
      <c r="J27" s="11">
        <f>'2B'!K27/'2B'!$C27*100</f>
        <v>31.450766323745537</v>
      </c>
      <c r="L27" s="239">
        <v>2008</v>
      </c>
      <c r="M27" s="239" t="e">
        <f>((#REF!/#REF!)-1)*100</f>
        <v>#REF!</v>
      </c>
      <c r="N27" s="239">
        <f t="shared" si="3"/>
        <v>0</v>
      </c>
      <c r="O27" s="239">
        <f t="shared" si="3"/>
        <v>0.89211822293091547</v>
      </c>
      <c r="P27" s="239">
        <f t="shared" si="3"/>
        <v>-2.8174775047661527</v>
      </c>
      <c r="Q27" s="239">
        <f t="shared" si="1"/>
        <v>2.3704215215404112</v>
      </c>
      <c r="R27" s="239">
        <f t="shared" si="1"/>
        <v>-5.5874112731116981</v>
      </c>
      <c r="S27" s="239">
        <f t="shared" si="1"/>
        <v>6.1346322610223103</v>
      </c>
    </row>
    <row r="28" spans="1:28">
      <c r="A28" s="240">
        <v>2008</v>
      </c>
      <c r="B28" s="11">
        <f>'2B'!C28/'2B'!$C28*100</f>
        <v>100</v>
      </c>
      <c r="C28" s="11">
        <f>'2B'!D28/'2B'!$C28*100</f>
        <v>11.261132133165157</v>
      </c>
      <c r="D28" s="11">
        <f>'2B'!E28/'2B'!$C28*100</f>
        <v>41.313113939532933</v>
      </c>
      <c r="E28" s="11">
        <f>'2B'!F28/'2B'!$C28*100</f>
        <v>8.1202461491419182</v>
      </c>
      <c r="F28" s="11">
        <f>'2B'!G28/'2B'!$C28*100</f>
        <v>7.658716508045714</v>
      </c>
      <c r="G28" s="11">
        <f>'2B'!H28/'2B'!$C28*100</f>
        <v>25.534151282345295</v>
      </c>
      <c r="H28" s="11">
        <f>'2B'!I28/'2B'!$C28*100</f>
        <v>47.425753927301919</v>
      </c>
      <c r="I28" s="11">
        <f>'2B'!J28/'2B'!$C28*100</f>
        <v>14.045598746321142</v>
      </c>
      <c r="J28" s="11">
        <f>'2B'!K28/'2B'!$C28*100</f>
        <v>33.380155180980772</v>
      </c>
      <c r="L28" s="239">
        <v>2009</v>
      </c>
      <c r="M28" s="239" t="e">
        <f>((#REF!/#REF!)-1)*100</f>
        <v>#REF!</v>
      </c>
      <c r="N28" s="239">
        <f t="shared" si="3"/>
        <v>0</v>
      </c>
      <c r="O28" s="239">
        <f t="shared" si="3"/>
        <v>-9.5645691341692434</v>
      </c>
      <c r="P28" s="239">
        <f t="shared" si="3"/>
        <v>-5.8007713742330047</v>
      </c>
      <c r="Q28" s="239">
        <f t="shared" si="1"/>
        <v>7.3242020795282858</v>
      </c>
      <c r="R28" s="239">
        <f t="shared" si="1"/>
        <v>2.8095343710438314</v>
      </c>
      <c r="S28" s="239">
        <f t="shared" si="1"/>
        <v>9.2238700338125756</v>
      </c>
    </row>
    <row r="29" spans="1:28">
      <c r="A29" s="240">
        <v>2009</v>
      </c>
      <c r="B29" s="11">
        <f>'2B'!C29/'2B'!$C29*100</f>
        <v>100</v>
      </c>
      <c r="C29" s="11">
        <f>'2B'!D29/'2B'!$C29*100</f>
        <v>10.184053364998428</v>
      </c>
      <c r="D29" s="11">
        <f>'2B'!E29/'2B'!$C29*100</f>
        <v>38.916634652324241</v>
      </c>
      <c r="E29" s="11">
        <f>'2B'!F29/'2B'!$C29*100</f>
        <v>6.6997287512078136</v>
      </c>
      <c r="F29" s="11">
        <f>'2B'!G29/'2B'!$C29*100</f>
        <v>7.7882163936716378</v>
      </c>
      <c r="G29" s="11">
        <f>'2B'!H29/'2B'!$C29*100</f>
        <v>24.428689507444791</v>
      </c>
      <c r="H29" s="11">
        <f>'2B'!I29/'2B'!$C29*100</f>
        <v>50.899311982677332</v>
      </c>
      <c r="I29" s="11">
        <f>'2B'!J29/'2B'!$C29*100</f>
        <v>14.440214670717936</v>
      </c>
      <c r="J29" s="11">
        <f>'2B'!K29/'2B'!$C29*100</f>
        <v>36.45909731195939</v>
      </c>
      <c r="L29" s="239">
        <v>2010</v>
      </c>
      <c r="M29" s="239" t="e">
        <f>((#REF!/#REF!)-1)*100</f>
        <v>#REF!</v>
      </c>
      <c r="N29" s="239">
        <f t="shared" si="3"/>
        <v>0</v>
      </c>
      <c r="O29" s="239">
        <f t="shared" si="3"/>
        <v>0.55770004864561518</v>
      </c>
      <c r="P29" s="239">
        <f t="shared" si="3"/>
        <v>6.7670570047680956</v>
      </c>
      <c r="Q29" s="239">
        <f t="shared" si="1"/>
        <v>-5.2855475192796426</v>
      </c>
      <c r="R29" s="239">
        <f t="shared" si="1"/>
        <v>-4.7914826666584753</v>
      </c>
      <c r="S29" s="239">
        <f t="shared" si="1"/>
        <v>-5.4812298882659256</v>
      </c>
    </row>
    <row r="30" spans="1:28">
      <c r="A30" s="240">
        <v>2010</v>
      </c>
      <c r="B30" s="11">
        <f>'2B'!C30/'2B'!$C30*100</f>
        <v>100</v>
      </c>
      <c r="C30" s="11">
        <f>'2B'!D30/'2B'!$C30*100</f>
        <v>10.24084983556912</v>
      </c>
      <c r="D30" s="11">
        <f>'2B'!E30/'2B'!$C30*100</f>
        <v>41.550145503584361</v>
      </c>
      <c r="E30" s="11">
        <f>'2B'!F30/'2B'!$C30*100</f>
        <v>7.8666572030189039</v>
      </c>
      <c r="F30" s="11">
        <f>'2B'!G30/'2B'!$C30*100</f>
        <v>8.1198097806799634</v>
      </c>
      <c r="G30" s="11">
        <f>'2B'!H30/'2B'!$C30*100</f>
        <v>25.563678519885492</v>
      </c>
      <c r="H30" s="11">
        <f>'2B'!I30/'2B'!$C30*100</f>
        <v>48.209004660846524</v>
      </c>
      <c r="I30" s="11">
        <f>'2B'!J30/'2B'!$C30*100</f>
        <v>13.748314287742211</v>
      </c>
      <c r="J30" s="11">
        <f>'2B'!K30/'2B'!$C30*100</f>
        <v>34.460690373104313</v>
      </c>
      <c r="L30" s="239">
        <v>2011</v>
      </c>
      <c r="M30" s="239" t="e">
        <f>((#REF!/#REF!)-1)*100</f>
        <v>#REF!</v>
      </c>
      <c r="N30" s="239">
        <f t="shared" si="3"/>
        <v>0</v>
      </c>
      <c r="O30" s="239">
        <f t="shared" si="3"/>
        <v>14.074188701289113</v>
      </c>
      <c r="P30" s="239">
        <f t="shared" si="3"/>
        <v>-5.2394639188224517</v>
      </c>
      <c r="Q30" s="239">
        <f t="shared" si="1"/>
        <v>1.526039287847758</v>
      </c>
      <c r="R30" s="239">
        <f t="shared" si="1"/>
        <v>3.092205837871731</v>
      </c>
      <c r="S30" s="239">
        <f t="shared" si="1"/>
        <v>0.90120705948695257</v>
      </c>
    </row>
    <row r="31" spans="1:28">
      <c r="A31" s="240">
        <v>2011</v>
      </c>
      <c r="B31" s="11">
        <f>'2B'!C31/'2B'!$C31*100</f>
        <v>100</v>
      </c>
      <c r="C31" s="11">
        <f>'2B'!D31/'2B'!$C31*100</f>
        <v>11.682166366042775</v>
      </c>
      <c r="D31" s="11">
        <f>'2B'!E31/'2B'!$C31*100</f>
        <v>39.373140621705829</v>
      </c>
      <c r="E31" s="11">
        <f>'2B'!F31/'2B'!$C31*100</f>
        <v>7.9352994916723274</v>
      </c>
      <c r="F31" s="11">
        <f>'2B'!G31/'2B'!$C31*100</f>
        <v>6.9760359811661079</v>
      </c>
      <c r="G31" s="11">
        <f>'2B'!H31/'2B'!$C31*100</f>
        <v>24.461805148867391</v>
      </c>
      <c r="H31" s="11">
        <f>'2B'!I31/'2B'!$C31*100</f>
        <v>48.944693012251399</v>
      </c>
      <c r="I31" s="11">
        <f>'2B'!J31/'2B'!$C31*100</f>
        <v>14.173440464756728</v>
      </c>
      <c r="J31" s="11">
        <f>'2B'!K31/'2B'!$C31*100</f>
        <v>34.771252547494669</v>
      </c>
      <c r="L31" s="239">
        <v>2012</v>
      </c>
      <c r="M31" s="239" t="e">
        <f>((#REF!/#REF!)-1)*100</f>
        <v>#REF!</v>
      </c>
      <c r="N31" s="239">
        <f t="shared" si="3"/>
        <v>0</v>
      </c>
      <c r="O31" s="239">
        <f t="shared" si="3"/>
        <v>-4.3600173666867086</v>
      </c>
      <c r="P31" s="239">
        <f t="shared" si="3"/>
        <v>-0.31550484128378686</v>
      </c>
      <c r="Q31" s="239">
        <f t="shared" si="1"/>
        <v>1.2944583124324671</v>
      </c>
      <c r="R31" s="239">
        <f t="shared" si="1"/>
        <v>2.5238492169679771</v>
      </c>
      <c r="S31" s="239">
        <f t="shared" si="1"/>
        <v>0.79333461061741328</v>
      </c>
    </row>
    <row r="32" spans="1:28">
      <c r="A32" s="240">
        <v>2012</v>
      </c>
      <c r="B32" s="11">
        <f>'2B'!C32/'2B'!$C32*100</f>
        <v>100</v>
      </c>
      <c r="C32" s="11">
        <f>'2B'!D32/'2B'!$C32*100</f>
        <v>11.172821883678077</v>
      </c>
      <c r="D32" s="11">
        <f>'2B'!E32/'2B'!$C32*100</f>
        <v>39.248916456878874</v>
      </c>
      <c r="E32" s="11">
        <f>'2B'!F32/'2B'!$C32*100</f>
        <v>5.4514546728608133</v>
      </c>
      <c r="F32" s="11">
        <f>'2B'!G32/'2B'!$C32*100</f>
        <v>7.7898315641950644</v>
      </c>
      <c r="G32" s="11">
        <f>'2B'!H32/'2B'!$C32*100</f>
        <v>26.007630219822996</v>
      </c>
      <c r="H32" s="11">
        <f>'2B'!I32/'2B'!$C32*100</f>
        <v>49.578261659443044</v>
      </c>
      <c r="I32" s="11">
        <f>'2B'!J32/'2B'!$C32*100</f>
        <v>14.531156730943914</v>
      </c>
      <c r="J32" s="11">
        <f>'2B'!K32/'2B'!$C32*100</f>
        <v>35.047104928499131</v>
      </c>
      <c r="L32" s="239">
        <v>2013</v>
      </c>
      <c r="M32" s="239" t="e">
        <f>((#REF!/#REF!)-1)*100</f>
        <v>#REF!</v>
      </c>
      <c r="N32" s="239">
        <f t="shared" si="3"/>
        <v>0</v>
      </c>
      <c r="O32" s="239">
        <f t="shared" si="3"/>
        <v>6.3504929170488111E-2</v>
      </c>
      <c r="P32" s="239">
        <f t="shared" si="3"/>
        <v>3.4855238622204965</v>
      </c>
      <c r="Q32" s="239">
        <f t="shared" si="1"/>
        <v>-2.7736463429010705</v>
      </c>
      <c r="R32" s="239">
        <f t="shared" si="1"/>
        <v>2.1981350197011418</v>
      </c>
      <c r="S32" s="239">
        <f t="shared" si="1"/>
        <v>-4.8350358459527616</v>
      </c>
    </row>
    <row r="33" spans="1:19">
      <c r="A33" s="240">
        <v>2013</v>
      </c>
      <c r="B33" s="11">
        <f>'2B'!C33/'2B'!$C33*100</f>
        <v>100</v>
      </c>
      <c r="C33" s="11">
        <f>'2B'!D33/'2B'!$C33*100</f>
        <v>11.179917176301652</v>
      </c>
      <c r="D33" s="11">
        <f>'2B'!E33/'2B'!$C33*100</f>
        <v>40.616946805646371</v>
      </c>
      <c r="E33" s="11">
        <f>'2B'!F33/'2B'!$C33*100</f>
        <v>5.2719976409349076</v>
      </c>
      <c r="F33" s="11">
        <f>'2B'!G33/'2B'!$C33*100</f>
        <v>8.6746926163826821</v>
      </c>
      <c r="G33" s="11">
        <f>'2B'!H33/'2B'!$C33*100</f>
        <v>26.668974447735174</v>
      </c>
      <c r="H33" s="11">
        <f>'2B'!I33/'2B'!$C33*100</f>
        <v>48.203136018051978</v>
      </c>
      <c r="I33" s="11">
        <f>'2B'!J33/'2B'!$C33*100</f>
        <v>14.850571175814453</v>
      </c>
      <c r="J33" s="11">
        <f>'2B'!K33/'2B'!$C33*100</f>
        <v>33.35256484223752</v>
      </c>
    </row>
    <row r="34" spans="1:19">
      <c r="A34" s="9"/>
      <c r="B34" s="9"/>
      <c r="C34" s="9"/>
      <c r="D34" s="9"/>
      <c r="E34" s="9"/>
      <c r="F34" s="9"/>
      <c r="G34" s="9"/>
      <c r="H34" s="9"/>
      <c r="I34" s="9"/>
      <c r="J34" s="9"/>
      <c r="M34" s="239" t="s">
        <v>27</v>
      </c>
    </row>
    <row r="35" spans="1:19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M35" s="239" t="s">
        <v>16</v>
      </c>
      <c r="N35" s="239" t="s">
        <v>8</v>
      </c>
      <c r="O35" s="239" t="s">
        <v>3</v>
      </c>
      <c r="P35" s="239" t="s">
        <v>4</v>
      </c>
      <c r="Q35" s="239" t="s">
        <v>17</v>
      </c>
      <c r="R35" s="239" t="s">
        <v>6</v>
      </c>
      <c r="S35" s="239" t="s">
        <v>7</v>
      </c>
    </row>
    <row r="36" spans="1:19" ht="30">
      <c r="A36" s="240" t="s">
        <v>19</v>
      </c>
      <c r="B36" s="11">
        <f t="shared" ref="B36:J36" si="6">((B20/B17)^(1/3)-1)*100</f>
        <v>0</v>
      </c>
      <c r="C36" s="11">
        <f t="shared" si="6"/>
        <v>-6.742307913448764E-2</v>
      </c>
      <c r="D36" s="11">
        <f t="shared" si="6"/>
        <v>0.93780319267313672</v>
      </c>
      <c r="E36" s="382">
        <f t="shared" ref="E36:G36" si="7">((E20/E17)^(1/3)-1)*100</f>
        <v>-5.4266001965006527</v>
      </c>
      <c r="F36" s="382">
        <f t="shared" si="7"/>
        <v>3.5223454181884106</v>
      </c>
      <c r="G36" s="382">
        <f t="shared" si="7"/>
        <v>3.3078980629395405</v>
      </c>
      <c r="H36" s="11">
        <f t="shared" si="6"/>
        <v>-0.83933028998461889</v>
      </c>
      <c r="I36" s="11">
        <f t="shared" si="6"/>
        <v>-4.8496143166759094</v>
      </c>
      <c r="J36" s="11">
        <f t="shared" si="6"/>
        <v>2.8381625750898865</v>
      </c>
      <c r="L36" s="239">
        <v>1999</v>
      </c>
      <c r="M36" s="239" t="e">
        <f>#REF!/#REF!</f>
        <v>#REF!</v>
      </c>
      <c r="N36" s="239">
        <f t="shared" ref="N36:N38" si="8">B19/$B$20</f>
        <v>1</v>
      </c>
      <c r="O36" s="239">
        <f t="shared" ref="O36:O38" si="9">C19/$C$20</f>
        <v>0.89052180805318759</v>
      </c>
      <c r="P36" s="239">
        <f t="shared" ref="P36:P38" si="10">D19/$D$20</f>
        <v>1.0259938287187411</v>
      </c>
      <c r="Q36" s="239">
        <f t="shared" ref="Q36:Q38" si="11">H19/$H$20</f>
        <v>1.0103189350110671</v>
      </c>
      <c r="R36" s="239">
        <f t="shared" ref="R36:R38" si="12">I19/$I$20</f>
        <v>1.0929281192964191</v>
      </c>
      <c r="S36" s="239">
        <f t="shared" ref="S36:S38" si="13">J19/$J$20</f>
        <v>0.94547598108502229</v>
      </c>
    </row>
    <row r="37" spans="1:19" ht="30">
      <c r="A37" s="325" t="s">
        <v>68</v>
      </c>
      <c r="B37" s="11">
        <f>((B27/B20)^(1/7)-1)*100</f>
        <v>0</v>
      </c>
      <c r="C37" s="11">
        <f t="shared" ref="C37:J37" si="14">((C27/C20)^(1/7)-1)*100</f>
        <v>-3.2759244808325927</v>
      </c>
      <c r="D37" s="11">
        <f t="shared" si="14"/>
        <v>0.2168179987196428</v>
      </c>
      <c r="E37" s="382">
        <f t="shared" ref="E37:G37" si="15">((E27/E20)^(1/7)-1)*100</f>
        <v>-0.74902422687835868</v>
      </c>
      <c r="F37" s="382">
        <f t="shared" si="15"/>
        <v>-3.0542128421040537</v>
      </c>
      <c r="G37" s="382">
        <f t="shared" si="15"/>
        <v>1.9502565756681634</v>
      </c>
      <c r="H37" s="11">
        <f t="shared" si="14"/>
        <v>0.72719919018147117</v>
      </c>
      <c r="I37" s="11">
        <f t="shared" si="14"/>
        <v>-3.696763174192963</v>
      </c>
      <c r="J37" s="11">
        <f t="shared" si="14"/>
        <v>3.5292518023575692</v>
      </c>
      <c r="L37" s="239">
        <v>2000</v>
      </c>
      <c r="M37" s="239" t="e">
        <f>#REF!/#REF!</f>
        <v>#REF!</v>
      </c>
      <c r="N37" s="239">
        <f t="shared" si="8"/>
        <v>1</v>
      </c>
      <c r="O37" s="239">
        <f t="shared" si="9"/>
        <v>1</v>
      </c>
      <c r="P37" s="239">
        <f t="shared" si="10"/>
        <v>1</v>
      </c>
      <c r="Q37" s="239">
        <f t="shared" si="11"/>
        <v>1</v>
      </c>
      <c r="R37" s="239">
        <f t="shared" si="12"/>
        <v>1</v>
      </c>
      <c r="S37" s="239">
        <f t="shared" si="13"/>
        <v>1</v>
      </c>
    </row>
    <row r="38" spans="1:19" ht="30">
      <c r="A38" s="240" t="s">
        <v>69</v>
      </c>
      <c r="B38" s="11">
        <f t="shared" ref="B38:J38" si="16">((B33/B27)^(1/6)-1)*100</f>
        <v>0</v>
      </c>
      <c r="C38" s="11">
        <f t="shared" si="16"/>
        <v>2.7395764228987929E-2</v>
      </c>
      <c r="D38" s="11">
        <f t="shared" si="16"/>
        <v>-0.75668743371274383</v>
      </c>
      <c r="E38" s="382">
        <f t="shared" ref="E38:G38" si="17">((E33/E27)^(1/6)-1)*100</f>
        <v>-9.5628040920841872</v>
      </c>
      <c r="F38" s="382">
        <f t="shared" si="17"/>
        <v>1.093143378745931</v>
      </c>
      <c r="G38" s="382">
        <f t="shared" si="17"/>
        <v>1.2542879224775927</v>
      </c>
      <c r="H38" s="11">
        <f t="shared" si="16"/>
        <v>0.66363068726482677</v>
      </c>
      <c r="I38" s="11">
        <f t="shared" si="16"/>
        <v>-2.943782052623467E-2</v>
      </c>
      <c r="J38" s="11">
        <f t="shared" si="16"/>
        <v>0.98332529750069231</v>
      </c>
      <c r="L38" s="239">
        <v>2001</v>
      </c>
      <c r="M38" s="239" t="e">
        <f>#REF!/#REF!</f>
        <v>#REF!</v>
      </c>
      <c r="N38" s="239">
        <f t="shared" si="8"/>
        <v>1</v>
      </c>
      <c r="O38" s="239">
        <f t="shared" si="9"/>
        <v>0.863892249874606</v>
      </c>
      <c r="P38" s="239">
        <f t="shared" si="10"/>
        <v>1.0119694300465676</v>
      </c>
      <c r="Q38" s="239">
        <f t="shared" si="11"/>
        <v>1.0321756159804096</v>
      </c>
      <c r="R38" s="239">
        <f t="shared" si="12"/>
        <v>0.97519927796526584</v>
      </c>
      <c r="S38" s="239">
        <f t="shared" si="13"/>
        <v>1.076898416389974</v>
      </c>
    </row>
    <row r="39" spans="1:19" s="259" customFormat="1" ht="30">
      <c r="A39" s="325" t="s">
        <v>15</v>
      </c>
      <c r="B39" s="11">
        <f>((B33/B20)^(1/13)-1)*100</f>
        <v>0</v>
      </c>
      <c r="C39" s="11">
        <f t="shared" ref="C39:J39" si="18">((C33/C20)^(1/13)-1)*100</f>
        <v>-1.7650932456338753</v>
      </c>
      <c r="D39" s="11">
        <f t="shared" si="18"/>
        <v>-0.23367317445079916</v>
      </c>
      <c r="E39" s="382">
        <f t="shared" ref="E39:G39" si="19">((E33/E20)^(1/13)-1)*100</f>
        <v>-4.9188754449641658</v>
      </c>
      <c r="F39" s="382">
        <f t="shared" si="19"/>
        <v>-1.1616243419341865</v>
      </c>
      <c r="G39" s="382">
        <f t="shared" si="19"/>
        <v>1.6284478293273397</v>
      </c>
      <c r="H39" s="11">
        <f t="shared" si="18"/>
        <v>0.69785489447580229</v>
      </c>
      <c r="I39" s="11">
        <f t="shared" si="18"/>
        <v>-2.0211741935941663</v>
      </c>
      <c r="J39" s="11">
        <f t="shared" si="18"/>
        <v>2.3463294615904351</v>
      </c>
    </row>
    <row r="40" spans="1:19">
      <c r="L40" s="239">
        <v>2003</v>
      </c>
      <c r="M40" s="239" t="e">
        <f>#REF!/#REF!</f>
        <v>#REF!</v>
      </c>
      <c r="N40" s="239">
        <f>B23/$B$20</f>
        <v>1</v>
      </c>
      <c r="O40" s="239">
        <f t="shared" ref="O40:O43" si="20">C23/$C$20</f>
        <v>0.86144087655773083</v>
      </c>
      <c r="P40" s="239">
        <f>D23/$D$20</f>
        <v>1.0029079266486141</v>
      </c>
      <c r="Q40" s="239">
        <f>H23/$H$20</f>
        <v>1.0415760448715508</v>
      </c>
      <c r="R40" s="239">
        <f>I23/$I$20</f>
        <v>0.90131290689768462</v>
      </c>
      <c r="S40" s="239">
        <f>J23/$J$20</f>
        <v>1.1516736843996844</v>
      </c>
    </row>
    <row r="41" spans="1:19">
      <c r="A41" s="239" t="s">
        <v>40</v>
      </c>
      <c r="L41" s="239">
        <v>2004</v>
      </c>
      <c r="M41" s="239" t="e">
        <f>#REF!/#REF!</f>
        <v>#REF!</v>
      </c>
      <c r="N41" s="239">
        <f>B24/$B$20</f>
        <v>1</v>
      </c>
      <c r="O41" s="239">
        <f t="shared" si="20"/>
        <v>0.81103083402636744</v>
      </c>
      <c r="P41" s="239">
        <f>D24/$D$20</f>
        <v>1.0087461482983477</v>
      </c>
      <c r="Q41" s="239">
        <f>H24/$H$20</f>
        <v>1.0521568531630805</v>
      </c>
      <c r="R41" s="239">
        <f>I24/$I$20</f>
        <v>0.92709894222740707</v>
      </c>
      <c r="S41" s="239">
        <f>J24/$J$20</f>
        <v>1.1502909826262886</v>
      </c>
    </row>
    <row r="42" spans="1:19" ht="15" customHeight="1">
      <c r="A42" s="229" t="s">
        <v>52</v>
      </c>
      <c r="B42" s="229"/>
      <c r="C42" s="229"/>
      <c r="D42" s="229"/>
      <c r="E42" s="229"/>
      <c r="F42" s="229"/>
      <c r="G42" s="229"/>
      <c r="H42" s="229"/>
      <c r="I42" s="229"/>
      <c r="L42" s="239">
        <v>2005</v>
      </c>
      <c r="M42" s="239" t="e">
        <f>#REF!/#REF!</f>
        <v>#REF!</v>
      </c>
      <c r="N42" s="239">
        <f>B25/$B$20</f>
        <v>1</v>
      </c>
      <c r="O42" s="239">
        <f t="shared" si="20"/>
        <v>0.8410419311688917</v>
      </c>
      <c r="P42" s="239">
        <f>D25/$D$20</f>
        <v>1.0105549674789431</v>
      </c>
      <c r="Q42" s="239">
        <f>H25/$H$20</f>
        <v>1.0408329733966399</v>
      </c>
      <c r="R42" s="239">
        <f>I25/$I$20</f>
        <v>0.79699008291047935</v>
      </c>
      <c r="S42" s="239">
        <f>J25/$J$20</f>
        <v>1.2322341287254583</v>
      </c>
    </row>
    <row r="43" spans="1:19">
      <c r="A43" s="231" t="s">
        <v>144</v>
      </c>
      <c r="L43" s="239">
        <v>2006</v>
      </c>
      <c r="M43" s="239" t="e">
        <f>#REF!/#REF!</f>
        <v>#REF!</v>
      </c>
      <c r="N43" s="239">
        <f>B26/$B$20</f>
        <v>1</v>
      </c>
      <c r="O43" s="239">
        <f t="shared" si="20"/>
        <v>0.83795851488874085</v>
      </c>
      <c r="P43" s="239">
        <f>D26/$D$20</f>
        <v>1.0298409054734903</v>
      </c>
      <c r="Q43" s="239">
        <f>H26/$H$20</f>
        <v>1.0234820567547576</v>
      </c>
      <c r="R43" s="239">
        <f>I26/$I$20</f>
        <v>0.75400111153503813</v>
      </c>
      <c r="S43" s="239">
        <f>J26/$J$20</f>
        <v>1.2350074539124154</v>
      </c>
    </row>
    <row r="45" spans="1:19">
      <c r="A45" s="239" t="s">
        <v>41</v>
      </c>
      <c r="L45" s="239">
        <v>2007</v>
      </c>
      <c r="M45" s="239" t="e">
        <f>#REF!/#REF!</f>
        <v>#REF!</v>
      </c>
      <c r="N45" s="239">
        <f t="shared" ref="N45:N51" si="21">B27/$B$20</f>
        <v>1</v>
      </c>
      <c r="O45" s="239">
        <f t="shared" ref="O45:O51" si="22">C27/$C$20</f>
        <v>0.79203087612563117</v>
      </c>
      <c r="P45" s="239">
        <f t="shared" ref="P45:P51" si="23">D27/$D$20</f>
        <v>1.0152763385202901</v>
      </c>
      <c r="Q45" s="239">
        <f t="shared" ref="Q45:Q51" si="24">H27/$H$20</f>
        <v>1.0520280202862322</v>
      </c>
      <c r="R45" s="239">
        <f t="shared" ref="R45:R51" si="25">I27/$I$20</f>
        <v>0.76822102754755239</v>
      </c>
      <c r="S45" s="239">
        <f t="shared" ref="S45:S51" si="26">J27/$J$20</f>
        <v>1.274798453298565</v>
      </c>
    </row>
    <row r="46" spans="1:19">
      <c r="A46" s="455" t="s">
        <v>53</v>
      </c>
      <c r="B46" s="455"/>
      <c r="C46" s="455"/>
      <c r="D46" s="455"/>
      <c r="E46" s="455"/>
      <c r="F46" s="455"/>
      <c r="G46" s="455"/>
      <c r="H46" s="455"/>
      <c r="I46" s="455"/>
      <c r="J46" s="455"/>
      <c r="L46" s="239">
        <v>2008</v>
      </c>
      <c r="M46" s="239" t="e">
        <f>#REF!/#REF!</f>
        <v>#REF!</v>
      </c>
      <c r="N46" s="239">
        <f t="shared" si="21"/>
        <v>1</v>
      </c>
      <c r="O46" s="239">
        <f t="shared" si="22"/>
        <v>0.7990967279027873</v>
      </c>
      <c r="P46" s="239">
        <f t="shared" si="23"/>
        <v>0.98667115607126732</v>
      </c>
      <c r="Q46" s="239">
        <f t="shared" si="24"/>
        <v>1.0769655188917324</v>
      </c>
      <c r="R46" s="239">
        <f t="shared" si="25"/>
        <v>0.72529735925194594</v>
      </c>
      <c r="S46" s="239">
        <f t="shared" si="26"/>
        <v>1.3530026504776322</v>
      </c>
    </row>
    <row r="47" spans="1:19">
      <c r="A47" s="455" t="s">
        <v>54</v>
      </c>
      <c r="B47" s="455"/>
      <c r="C47" s="455"/>
      <c r="D47" s="455"/>
      <c r="E47" s="455"/>
      <c r="F47" s="455"/>
      <c r="G47" s="455"/>
      <c r="H47" s="455"/>
      <c r="I47" s="455"/>
      <c r="J47" s="455"/>
      <c r="L47" s="239">
        <v>2009</v>
      </c>
      <c r="M47" s="239" t="e">
        <f>#REF!/#REF!</f>
        <v>#REF!</v>
      </c>
      <c r="N47" s="239">
        <f t="shared" si="21"/>
        <v>1</v>
      </c>
      <c r="O47" s="239">
        <f t="shared" si="22"/>
        <v>0.72266656891364101</v>
      </c>
      <c r="P47" s="239">
        <f t="shared" si="23"/>
        <v>0.92943661809207134</v>
      </c>
      <c r="Q47" s="239">
        <f t="shared" si="24"/>
        <v>1.1558446498222033</v>
      </c>
      <c r="R47" s="239">
        <f t="shared" si="25"/>
        <v>0.74567483785240263</v>
      </c>
      <c r="S47" s="239">
        <f t="shared" si="26"/>
        <v>1.4778018565117284</v>
      </c>
    </row>
    <row r="48" spans="1:19">
      <c r="L48" s="239">
        <v>2010</v>
      </c>
      <c r="M48" s="239" t="e">
        <f>#REF!/#REF!</f>
        <v>#REF!</v>
      </c>
      <c r="N48" s="239">
        <f t="shared" si="21"/>
        <v>1</v>
      </c>
      <c r="O48" s="239">
        <f t="shared" si="22"/>
        <v>0.72669688072001792</v>
      </c>
      <c r="P48" s="239">
        <f t="shared" si="23"/>
        <v>0.99233212386155067</v>
      </c>
      <c r="Q48" s="239">
        <f t="shared" si="24"/>
        <v>1.0947519316067993</v>
      </c>
      <c r="R48" s="239">
        <f t="shared" si="25"/>
        <v>0.7099459572470711</v>
      </c>
      <c r="S48" s="239">
        <f t="shared" si="26"/>
        <v>1.3968001394632588</v>
      </c>
    </row>
    <row r="49" spans="12:19">
      <c r="L49" s="239">
        <v>2011</v>
      </c>
      <c r="M49" s="239" t="e">
        <f>#REF!/#REF!</f>
        <v>#REF!</v>
      </c>
      <c r="N49" s="239">
        <f t="shared" si="21"/>
        <v>1</v>
      </c>
      <c r="O49" s="239">
        <f t="shared" si="22"/>
        <v>0.82897357099893521</v>
      </c>
      <c r="P49" s="239">
        <f t="shared" si="23"/>
        <v>0.94033924027694027</v>
      </c>
      <c r="Q49" s="239">
        <f t="shared" si="24"/>
        <v>1.1114582761875913</v>
      </c>
      <c r="R49" s="239">
        <f t="shared" si="25"/>
        <v>0.73189894758279928</v>
      </c>
      <c r="S49" s="239">
        <f t="shared" si="26"/>
        <v>1.4093882009270253</v>
      </c>
    </row>
    <row r="50" spans="12:19">
      <c r="L50" s="239">
        <v>2012</v>
      </c>
      <c r="M50" s="239" t="e">
        <f>#REF!/#REF!</f>
        <v>#REF!</v>
      </c>
      <c r="N50" s="239">
        <f t="shared" si="21"/>
        <v>1</v>
      </c>
      <c r="O50" s="239">
        <f t="shared" si="22"/>
        <v>0.79283017933813871</v>
      </c>
      <c r="P50" s="239">
        <f t="shared" si="23"/>
        <v>0.9373724244493753</v>
      </c>
      <c r="Q50" s="239">
        <f t="shared" si="24"/>
        <v>1.1258456402329202</v>
      </c>
      <c r="R50" s="239">
        <f t="shared" si="25"/>
        <v>0.75037097344036463</v>
      </c>
      <c r="S50" s="239">
        <f t="shared" si="26"/>
        <v>1.4205693653229374</v>
      </c>
    </row>
    <row r="51" spans="12:19">
      <c r="L51" s="239">
        <v>2013</v>
      </c>
      <c r="M51" s="239" t="e">
        <f>#REF!/#REF!</f>
        <v>#REF!</v>
      </c>
      <c r="N51" s="239">
        <f t="shared" si="21"/>
        <v>1</v>
      </c>
      <c r="O51" s="239">
        <f t="shared" si="22"/>
        <v>0.79333366558196972</v>
      </c>
      <c r="P51" s="239">
        <f t="shared" si="23"/>
        <v>0.97004476398143302</v>
      </c>
      <c r="Q51" s="239">
        <f t="shared" si="24"/>
        <v>1.0946186638058888</v>
      </c>
      <c r="R51" s="239">
        <f t="shared" si="25"/>
        <v>0.7668651405852297</v>
      </c>
      <c r="S51" s="239">
        <f t="shared" si="26"/>
        <v>1.3518843272929497</v>
      </c>
    </row>
  </sheetData>
  <mergeCells count="4">
    <mergeCell ref="A1:J1"/>
    <mergeCell ref="A35:J35"/>
    <mergeCell ref="A46:J46"/>
    <mergeCell ref="A47:J47"/>
  </mergeCells>
  <printOptions gridLines="1"/>
  <pageMargins left="0.7" right="0.7" top="0.75" bottom="0.75" header="0.3" footer="0.3"/>
  <pageSetup scale="7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zoomScaleNormal="100" zoomScaleSheetLayoutView="100" workbookViewId="0">
      <selection activeCell="E24" sqref="E24:H27"/>
    </sheetView>
  </sheetViews>
  <sheetFormatPr defaultRowHeight="15"/>
  <cols>
    <col min="1" max="12" width="9.140625" style="3"/>
    <col min="13" max="21" width="0" style="3" hidden="1" customWidth="1"/>
    <col min="22" max="16384" width="9.140625" style="3"/>
  </cols>
  <sheetData>
    <row r="1" spans="1:20">
      <c r="A1" s="454" t="s">
        <v>558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20">
      <c r="A3" s="115"/>
      <c r="B3" s="146"/>
      <c r="C3" s="146"/>
      <c r="D3" s="146"/>
      <c r="E3" s="146"/>
      <c r="F3" s="146"/>
      <c r="G3" s="146"/>
      <c r="H3" s="146"/>
      <c r="I3" s="146"/>
      <c r="J3" s="146"/>
      <c r="K3" s="146"/>
    </row>
    <row r="4" spans="1:20">
      <c r="A4" s="115">
        <v>1997</v>
      </c>
      <c r="B4" s="17">
        <f>'2A'!B17*1000/'4E'!B4/52</f>
        <v>33.998603810423859</v>
      </c>
      <c r="C4" s="17"/>
      <c r="D4" s="17">
        <f>'2A'!D17*1000/'4E'!D4/52</f>
        <v>39.820440490398177</v>
      </c>
      <c r="E4" s="17">
        <f>'2A'!E17*1000/'4E'!E4/52</f>
        <v>40.232617616628502</v>
      </c>
      <c r="F4" s="17">
        <f>'2A'!F17*1000/'4E'!F4/52</f>
        <v>40.117734920704649</v>
      </c>
      <c r="G4" s="17">
        <f>'2A'!G17*1000/'4E'!G4/52</f>
        <v>40.898414562536701</v>
      </c>
      <c r="H4" s="17">
        <f>'2A'!H17*1000/'4E'!H4/52</f>
        <v>40.089687767481671</v>
      </c>
      <c r="I4" s="17" t="s">
        <v>10</v>
      </c>
      <c r="J4" s="17" t="s">
        <v>10</v>
      </c>
      <c r="K4" s="17" t="s">
        <v>10</v>
      </c>
      <c r="N4" s="3" t="s">
        <v>24</v>
      </c>
    </row>
    <row r="5" spans="1:20">
      <c r="A5" s="115">
        <v>1998</v>
      </c>
      <c r="B5" s="17">
        <f>'2A'!B18*1000/'4E'!B5/52</f>
        <v>33.932883853024045</v>
      </c>
      <c r="C5" s="17">
        <f>'2A'!C18*1000/'4E'!C5/52</f>
        <v>38.484790706542718</v>
      </c>
      <c r="D5" s="17">
        <f>'2A'!D18*1000/'4E'!D5/52</f>
        <v>40.298507462686565</v>
      </c>
      <c r="E5" s="17">
        <f>'2A'!E18*1000/'4E'!E5/52</f>
        <v>38.829596813890007</v>
      </c>
      <c r="F5" s="17">
        <f>'2A'!F18*1000/'4E'!F5/52</f>
        <v>38.078060074835136</v>
      </c>
      <c r="G5" s="17">
        <f>'2A'!G18*1000/'4E'!G5/52</f>
        <v>40.416314454775993</v>
      </c>
      <c r="H5" s="17">
        <f>'2A'!H18*1000/'4E'!H5/52</f>
        <v>39.345240314702259</v>
      </c>
      <c r="I5" s="17">
        <f>'2A'!I18*1000/'4E'!I5/52</f>
        <v>37.244416111819426</v>
      </c>
      <c r="J5" s="17">
        <f>'2A'!J18*1000/'4E'!J5/52</f>
        <v>37.292155045521454</v>
      </c>
      <c r="K5" s="17">
        <f>'2A'!K18*1000/'4E'!K5/52</f>
        <v>37.155901479160349</v>
      </c>
      <c r="N5" s="3" t="s">
        <v>2</v>
      </c>
      <c r="O5" s="3" t="s">
        <v>8</v>
      </c>
      <c r="P5" s="3" t="s">
        <v>20</v>
      </c>
      <c r="Q5" s="3" t="s">
        <v>4</v>
      </c>
      <c r="R5" s="3" t="s">
        <v>5</v>
      </c>
      <c r="S5" s="3" t="s">
        <v>6</v>
      </c>
      <c r="T5" s="3" t="s">
        <v>7</v>
      </c>
    </row>
    <row r="6" spans="1:20">
      <c r="A6" s="115">
        <v>1999</v>
      </c>
      <c r="B6" s="17">
        <f>'2A'!B19*1000/'4E'!B6/52</f>
        <v>34.047470615962411</v>
      </c>
      <c r="C6" s="17">
        <f>'2A'!C19*1000/'4E'!C6/52</f>
        <v>38.06036197517399</v>
      </c>
      <c r="D6" s="17">
        <f>'2A'!D19*1000/'4E'!D6/52</f>
        <v>40.719927095990279</v>
      </c>
      <c r="E6" s="17">
        <f>'2A'!E19*1000/'4E'!E6/52</f>
        <v>38.415744720710215</v>
      </c>
      <c r="F6" s="17">
        <f>'2A'!F19*1000/'4E'!F6/52</f>
        <v>38.754285274064941</v>
      </c>
      <c r="G6" s="17">
        <f>'2A'!G19*1000/'4E'!G6/52</f>
        <v>38.06955239882069</v>
      </c>
      <c r="H6" s="17">
        <f>'2A'!H19*1000/'4E'!H6/52</f>
        <v>37.991243971679722</v>
      </c>
      <c r="I6" s="17">
        <f>'2A'!I19*1000/'4E'!I6/52</f>
        <v>36.316273368066199</v>
      </c>
      <c r="J6" s="17">
        <f>'2A'!J19*1000/'4E'!J6/52</f>
        <v>35.720789627039622</v>
      </c>
      <c r="K6" s="17">
        <f>'2A'!K19*1000/'4E'!K6/52</f>
        <v>37.408942057074114</v>
      </c>
      <c r="M6" s="3">
        <v>1998</v>
      </c>
      <c r="N6" s="3">
        <f>((B5/B4)-1)*100</f>
        <v>-0.19330193018004538</v>
      </c>
      <c r="O6" s="3" t="e">
        <f>((C5/C4)-1)*100</f>
        <v>#DIV/0!</v>
      </c>
      <c r="P6" s="3">
        <f>((D5/D4)-1)*100</f>
        <v>1.2005567150962682</v>
      </c>
      <c r="Q6" s="3">
        <f>((E5/E4)-1)*100</f>
        <v>-3.4872719844075362</v>
      </c>
      <c r="R6" s="3" t="e">
        <f t="shared" ref="R6:T20" si="0">((I5/I4)-1)*100</f>
        <v>#VALUE!</v>
      </c>
      <c r="S6" s="3" t="e">
        <f t="shared" si="0"/>
        <v>#VALUE!</v>
      </c>
      <c r="T6" s="3" t="e">
        <f t="shared" si="0"/>
        <v>#VALUE!</v>
      </c>
    </row>
    <row r="7" spans="1:20">
      <c r="A7" s="115">
        <v>2000</v>
      </c>
      <c r="B7" s="17">
        <f>'2A'!B20*1000/'4E'!B7/52</f>
        <v>33.746430933843619</v>
      </c>
      <c r="C7" s="17">
        <f>'2A'!C20*1000/'4E'!C7/52</f>
        <v>38.059003791616888</v>
      </c>
      <c r="D7" s="17">
        <f>'2A'!D20*1000/'4E'!D7/52</f>
        <v>40.952048958091254</v>
      </c>
      <c r="E7" s="17">
        <f>'2A'!E20*1000/'4E'!E7/52</f>
        <v>38.005642644943109</v>
      </c>
      <c r="F7" s="17">
        <f>'2A'!F20*1000/'4E'!F7/52</f>
        <v>38.540186101161709</v>
      </c>
      <c r="G7" s="17">
        <f>'2A'!G20*1000/'4E'!G7/52</f>
        <v>37.863459947827195</v>
      </c>
      <c r="H7" s="17">
        <f>'2A'!H20*1000/'4E'!H7/52</f>
        <v>37.332071165516886</v>
      </c>
      <c r="I7" s="17">
        <f>'2A'!I20*1000/'4E'!I7/52</f>
        <v>36.812014026528431</v>
      </c>
      <c r="J7" s="17">
        <f>'2A'!J20*1000/'4E'!J7/52</f>
        <v>36.764866339334425</v>
      </c>
      <c r="K7" s="17">
        <f>'2A'!K20*1000/'4E'!K7/52</f>
        <v>36.897645077121247</v>
      </c>
      <c r="M7" s="3">
        <v>1999</v>
      </c>
      <c r="N7" s="3">
        <f t="shared" ref="N7:Q20" si="1">((B6/B5)-1)*100</f>
        <v>0.33768648557748193</v>
      </c>
      <c r="O7" s="3">
        <f t="shared" si="1"/>
        <v>-1.1028479655901369</v>
      </c>
      <c r="P7" s="3">
        <f t="shared" si="1"/>
        <v>1.0457450159758741</v>
      </c>
      <c r="Q7" s="3">
        <f t="shared" si="1"/>
        <v>-1.0658160968381458</v>
      </c>
      <c r="R7" s="3">
        <f t="shared" si="0"/>
        <v>-2.4920319356508402</v>
      </c>
      <c r="S7" s="3">
        <f t="shared" si="0"/>
        <v>-4.2136621403716434</v>
      </c>
      <c r="T7" s="3">
        <f t="shared" si="0"/>
        <v>0.68102392309250526</v>
      </c>
    </row>
    <row r="8" spans="1:20">
      <c r="A8" s="115">
        <v>2001</v>
      </c>
      <c r="B8" s="17">
        <f>'2A'!B21*1000/'4E'!B8/52</f>
        <v>33.311397133952987</v>
      </c>
      <c r="C8" s="17">
        <f>'2A'!C21*1000/'4E'!C8/52</f>
        <v>37.9640593922013</v>
      </c>
      <c r="D8" s="17">
        <f>'2A'!D21*1000/'4E'!D8/52</f>
        <v>39.32001699957501</v>
      </c>
      <c r="E8" s="17">
        <f>'2A'!E21*1000/'4E'!E8/52</f>
        <v>37.809854823435224</v>
      </c>
      <c r="F8" s="17">
        <f>'2A'!F21*1000/'4E'!F8/52</f>
        <v>38.340711558768582</v>
      </c>
      <c r="G8" s="17">
        <f>'2A'!G21*1000/'4E'!G8/52</f>
        <v>37.886790108114823</v>
      </c>
      <c r="H8" s="17">
        <f>'2A'!H21*1000/'4E'!H8/52</f>
        <v>37.07163849119685</v>
      </c>
      <c r="I8" s="17">
        <f>'2A'!I21*1000/'4E'!I8/52</f>
        <v>37.555436611102614</v>
      </c>
      <c r="J8" s="17">
        <f>'2A'!J21*1000/'4E'!J8/52</f>
        <v>37.655392597026839</v>
      </c>
      <c r="K8" s="17">
        <f>'2A'!K21*1000/'4E'!K8/52</f>
        <v>37.378760624977957</v>
      </c>
      <c r="M8" s="3">
        <v>2000</v>
      </c>
      <c r="N8" s="3">
        <f t="shared" si="1"/>
        <v>-0.88417634753066299</v>
      </c>
      <c r="O8" s="3">
        <f t="shared" si="1"/>
        <v>-3.5684987914397226E-3</v>
      </c>
      <c r="P8" s="3">
        <f t="shared" si="1"/>
        <v>0.57004488626364314</v>
      </c>
      <c r="Q8" s="3">
        <f t="shared" si="1"/>
        <v>-1.0675364456647296</v>
      </c>
      <c r="R8" s="3">
        <f t="shared" si="0"/>
        <v>1.3650647835968366</v>
      </c>
      <c r="S8" s="3">
        <f t="shared" si="0"/>
        <v>2.9228825095861444</v>
      </c>
      <c r="T8" s="3">
        <f t="shared" si="0"/>
        <v>-1.3667774383268827</v>
      </c>
    </row>
    <row r="9" spans="1:20">
      <c r="A9" s="115">
        <v>2002</v>
      </c>
      <c r="B9" s="17">
        <f>'2A'!B22*1000/'4E'!B9/52</f>
        <v>32.998309566516966</v>
      </c>
      <c r="C9" s="17">
        <f>'2A'!C22*1000/'4E'!C9/52</f>
        <v>37.281042709181889</v>
      </c>
      <c r="D9" s="17">
        <f>'2A'!D22*1000/'4E'!D9/52</f>
        <v>38.051888939462906</v>
      </c>
      <c r="E9" s="17">
        <f>'2A'!E22*1000/'4E'!E9/52</f>
        <v>37.558114961961117</v>
      </c>
      <c r="F9" s="17">
        <f>'2A'!F22*1000/'4E'!F9/52</f>
        <v>38.197004728280113</v>
      </c>
      <c r="G9" s="17">
        <f>'2A'!G22*1000/'4E'!G9/52</f>
        <v>37.649638497096127</v>
      </c>
      <c r="H9" s="17">
        <f>'2A'!H22*1000/'4E'!H9/52</f>
        <v>36.736697177532442</v>
      </c>
      <c r="I9" s="17">
        <f>'2A'!I22*1000/'4E'!I9/52</f>
        <v>36.540777302862288</v>
      </c>
      <c r="J9" s="17">
        <f>'2A'!J22*1000/'4E'!J9/52</f>
        <v>36.431273644388398</v>
      </c>
      <c r="K9" s="17">
        <f>'2A'!K22*1000/'4E'!K9/52</f>
        <v>36.726928436171356</v>
      </c>
      <c r="M9" s="3">
        <v>2001</v>
      </c>
      <c r="N9" s="3">
        <f t="shared" si="1"/>
        <v>-1.2891253618596665</v>
      </c>
      <c r="O9" s="3">
        <f t="shared" si="1"/>
        <v>-0.24946632848151795</v>
      </c>
      <c r="P9" s="3">
        <f t="shared" si="1"/>
        <v>-3.9852266248909807</v>
      </c>
      <c r="Q9" s="3">
        <f t="shared" si="1"/>
        <v>-0.51515461358455639</v>
      </c>
      <c r="R9" s="3">
        <f t="shared" si="0"/>
        <v>2.0195107609120244</v>
      </c>
      <c r="S9" s="3">
        <f t="shared" si="0"/>
        <v>2.4222208493102748</v>
      </c>
      <c r="T9" s="3">
        <f t="shared" si="0"/>
        <v>1.303919387947694</v>
      </c>
    </row>
    <row r="10" spans="1:20">
      <c r="A10" s="115">
        <v>2003</v>
      </c>
      <c r="B10" s="17">
        <f>'2A'!B23*1000/'4E'!B10/52</f>
        <v>32.64198860971409</v>
      </c>
      <c r="C10" s="17">
        <f>'2A'!C23*1000/'4E'!C10/52</f>
        <v>37.508990763173834</v>
      </c>
      <c r="D10" s="17">
        <f>'2A'!D23*1000/'4E'!D10/52</f>
        <v>38.69540715694562</v>
      </c>
      <c r="E10" s="17">
        <f>'2A'!E23*1000/'4E'!E10/52</f>
        <v>37.997010609405834</v>
      </c>
      <c r="F10" s="17">
        <f>'2A'!F23*1000/'4E'!F10/52</f>
        <v>38.519745679233452</v>
      </c>
      <c r="G10" s="17">
        <f>'2A'!G23*1000/'4E'!G10/52</f>
        <v>37.696215723311404</v>
      </c>
      <c r="H10" s="17">
        <f>'2A'!H23*1000/'4E'!H10/52</f>
        <v>37.554616093148482</v>
      </c>
      <c r="I10" s="17">
        <f>'2A'!I23*1000/'4E'!I10/52</f>
        <v>36.256056399368497</v>
      </c>
      <c r="J10" s="17">
        <f>'2A'!J23*1000/'4E'!J10/52</f>
        <v>35.785353642496503</v>
      </c>
      <c r="K10" s="17">
        <f>'2A'!K23*1000/'4E'!K10/52</f>
        <v>37.096590477636873</v>
      </c>
      <c r="M10" s="3">
        <v>2002</v>
      </c>
      <c r="N10" s="3">
        <f t="shared" si="1"/>
        <v>-0.93988122496641013</v>
      </c>
      <c r="O10" s="3">
        <f t="shared" si="1"/>
        <v>-1.7991139355337693</v>
      </c>
      <c r="P10" s="3">
        <f t="shared" si="1"/>
        <v>-3.2251462661519459</v>
      </c>
      <c r="Q10" s="3">
        <f t="shared" si="1"/>
        <v>-0.66580488777246982</v>
      </c>
      <c r="R10" s="3">
        <f t="shared" si="0"/>
        <v>-2.7017641114052693</v>
      </c>
      <c r="S10" s="3">
        <f t="shared" si="0"/>
        <v>-3.2508463415545252</v>
      </c>
      <c r="T10" s="3">
        <f t="shared" si="0"/>
        <v>-1.7438571475026921</v>
      </c>
    </row>
    <row r="11" spans="1:20">
      <c r="A11" s="115">
        <v>2004</v>
      </c>
      <c r="B11" s="17">
        <f>'2A'!B24*1000/'4E'!B11/52</f>
        <v>32.817772852796331</v>
      </c>
      <c r="C11" s="17">
        <f>'2A'!C24*1000/'4E'!C11/52</f>
        <v>37.483028083028088</v>
      </c>
      <c r="D11" s="17">
        <f>'2A'!D24*1000/'4E'!D11/52</f>
        <v>40.495843578035355</v>
      </c>
      <c r="E11" s="17">
        <f>'2A'!E24*1000/'4E'!E11/52</f>
        <v>36.886510117156782</v>
      </c>
      <c r="F11" s="17">
        <f>'2A'!F24*1000/'4E'!F11/52</f>
        <v>38.094478135971912</v>
      </c>
      <c r="G11" s="17">
        <f>'2A'!G24*1000/'4E'!G11/52</f>
        <v>35.561745589600747</v>
      </c>
      <c r="H11" s="17">
        <f>'2A'!H24*1000/'4E'!H11/52</f>
        <v>36.025224775224778</v>
      </c>
      <c r="I11" s="17">
        <f>'2A'!I24*1000/'4E'!I11/52</f>
        <v>36.870382345252672</v>
      </c>
      <c r="J11" s="17">
        <f>'2A'!J24*1000/'4E'!J11/52</f>
        <v>36.740152724448855</v>
      </c>
      <c r="K11" s="17">
        <f>'2A'!K24*1000/'4E'!K11/52</f>
        <v>37.10161443494777</v>
      </c>
      <c r="M11" s="3">
        <v>2003</v>
      </c>
      <c r="N11" s="3">
        <f t="shared" si="1"/>
        <v>-1.0798157890016036</v>
      </c>
      <c r="O11" s="3">
        <f t="shared" si="1"/>
        <v>0.61143154114571274</v>
      </c>
      <c r="P11" s="3">
        <f t="shared" si="1"/>
        <v>1.69115971747551</v>
      </c>
      <c r="Q11" s="3">
        <f t="shared" si="1"/>
        <v>1.1685774110048675</v>
      </c>
      <c r="R11" s="3">
        <f t="shared" si="0"/>
        <v>-0.779186772995899</v>
      </c>
      <c r="S11" s="3">
        <f t="shared" si="0"/>
        <v>-1.7729822135696516</v>
      </c>
      <c r="T11" s="3">
        <f t="shared" si="0"/>
        <v>1.0065149937816376</v>
      </c>
    </row>
    <row r="12" spans="1:20">
      <c r="A12" s="115">
        <v>2005</v>
      </c>
      <c r="B12" s="17">
        <f>'2A'!B25*1000/'4E'!B12/52</f>
        <v>32.565112152463378</v>
      </c>
      <c r="C12" s="17">
        <f>'2A'!C25*1000/'4E'!C12/52</f>
        <v>36.833694810964715</v>
      </c>
      <c r="D12" s="17">
        <f>'2A'!D25*1000/'4E'!D12/52</f>
        <v>39.410458308096104</v>
      </c>
      <c r="E12" s="17">
        <f>'2A'!E25*1000/'4E'!E12/52</f>
        <v>36.828036828036829</v>
      </c>
      <c r="F12" s="17">
        <f>'2A'!F25*1000/'4E'!F12/52</f>
        <v>37.817585762791239</v>
      </c>
      <c r="G12" s="17">
        <f>'2A'!G25*1000/'4E'!G12/52</f>
        <v>36.960206634918073</v>
      </c>
      <c r="H12" s="17">
        <f>'2A'!H25*1000/'4E'!H12/52</f>
        <v>35.706446837833703</v>
      </c>
      <c r="I12" s="17">
        <f>'2A'!I25*1000/'4E'!I12/52</f>
        <v>35.728859527986167</v>
      </c>
      <c r="J12" s="17">
        <f>'2A'!J25*1000/'4E'!J12/52</f>
        <v>35.714816328046652</v>
      </c>
      <c r="K12" s="17">
        <f>'2A'!K25*1000/'4E'!K12/52</f>
        <v>35.757358760788449</v>
      </c>
      <c r="M12" s="3">
        <v>2004</v>
      </c>
      <c r="N12" s="3">
        <f t="shared" si="1"/>
        <v>0.53852185656950713</v>
      </c>
      <c r="O12" s="3">
        <f t="shared" si="1"/>
        <v>-6.921721863878405E-2</v>
      </c>
      <c r="P12" s="3">
        <f t="shared" si="1"/>
        <v>4.6528426843715609</v>
      </c>
      <c r="Q12" s="3">
        <f t="shared" si="1"/>
        <v>-2.9225996320198844</v>
      </c>
      <c r="R12" s="3">
        <f t="shared" si="0"/>
        <v>1.6944091743383183</v>
      </c>
      <c r="S12" s="3">
        <f t="shared" si="0"/>
        <v>2.6681281160191972</v>
      </c>
      <c r="T12" s="3">
        <f t="shared" si="0"/>
        <v>1.3542908515873364E-2</v>
      </c>
    </row>
    <row r="13" spans="1:20">
      <c r="A13" s="115">
        <v>2006</v>
      </c>
      <c r="B13" s="361">
        <f>'2A'!B26*1000/'4E'!B13/52</f>
        <v>32.388156520229394</v>
      </c>
      <c r="C13" s="361">
        <f>'2A'!C26*1000/'4E'!C13/52</f>
        <v>37.303744116169128</v>
      </c>
      <c r="D13" s="361">
        <f>'2A'!D26*1000/'4E'!D13/52</f>
        <v>39.695960875585541</v>
      </c>
      <c r="E13" s="361">
        <f>'2A'!E26*1000/'4E'!E13/52</f>
        <v>37.125889063637004</v>
      </c>
      <c r="F13" s="17">
        <f>'2A'!F26*1000/'4E'!F13/52</f>
        <v>37.900468706920321</v>
      </c>
      <c r="G13" s="17">
        <f>'2A'!G26*1000/'4E'!G13/52</f>
        <v>36.384457431685355</v>
      </c>
      <c r="H13" s="17">
        <f>'2A'!H26*1000/'4E'!H13/52</f>
        <v>36.608767576509514</v>
      </c>
      <c r="I13" s="361">
        <f>'2A'!I26*1000/'4E'!I13/52</f>
        <v>36.43336276538264</v>
      </c>
      <c r="J13" s="361">
        <f>'2A'!J26*1000/'4E'!J13/52</f>
        <v>36.482157418553179</v>
      </c>
      <c r="K13" s="361">
        <f>'2A'!K26*1000/'4E'!K13/52</f>
        <v>36.330256410256411</v>
      </c>
      <c r="M13" s="3">
        <v>2005</v>
      </c>
      <c r="N13" s="3">
        <f t="shared" si="1"/>
        <v>-0.76988984434214203</v>
      </c>
      <c r="O13" s="3">
        <f t="shared" si="1"/>
        <v>-1.7323394220580157</v>
      </c>
      <c r="P13" s="3">
        <f t="shared" si="1"/>
        <v>-2.6802386962200608</v>
      </c>
      <c r="Q13" s="3">
        <f t="shared" si="1"/>
        <v>-0.15852215060256913</v>
      </c>
      <c r="R13" s="3">
        <f t="shared" si="0"/>
        <v>-3.0960427981932326</v>
      </c>
      <c r="S13" s="3">
        <f t="shared" si="0"/>
        <v>-2.7907788083849971</v>
      </c>
      <c r="T13" s="3">
        <f t="shared" si="0"/>
        <v>-3.6231729929603884</v>
      </c>
    </row>
    <row r="14" spans="1:20">
      <c r="A14" s="115">
        <v>2007</v>
      </c>
      <c r="B14" s="17">
        <f>'2A'!B27*1000/'4E'!B14/52</f>
        <v>32.208775849092667</v>
      </c>
      <c r="C14" s="17">
        <f>'2A'!C27*1000/'4E'!C14/52</f>
        <v>36.8392818825549</v>
      </c>
      <c r="D14" s="17">
        <f>'2A'!D27*1000/'4E'!D14/52</f>
        <v>40.551694178974806</v>
      </c>
      <c r="E14" s="17">
        <f>'2A'!E27*1000/'4E'!E14/52</f>
        <v>36.915599748137268</v>
      </c>
      <c r="F14" s="17">
        <f>'2A'!F27*1000/'4E'!F14/52</f>
        <v>37.129109863672809</v>
      </c>
      <c r="G14" s="17">
        <f>'2A'!G27*1000/'4E'!G14/52</f>
        <v>37.758036356167196</v>
      </c>
      <c r="H14" s="17">
        <f>'2A'!H27*1000/'4E'!H14/52</f>
        <v>36.471693129457343</v>
      </c>
      <c r="I14" s="17">
        <f>'2A'!I27*1000/'4E'!I14/52</f>
        <v>35.292678087175076</v>
      </c>
      <c r="J14" s="17">
        <f>'2A'!J27*1000/'4E'!J14/52</f>
        <v>34.391758981260999</v>
      </c>
      <c r="K14" s="17">
        <f>'2A'!K27*1000/'4E'!K14/52</f>
        <v>36.886446886446883</v>
      </c>
      <c r="M14" s="3">
        <v>2006</v>
      </c>
      <c r="N14" s="3">
        <f t="shared" si="1"/>
        <v>-0.54339021283118516</v>
      </c>
      <c r="O14" s="3">
        <f t="shared" si="1"/>
        <v>1.2761394359614542</v>
      </c>
      <c r="P14" s="3">
        <f t="shared" si="1"/>
        <v>0.72443351269220191</v>
      </c>
      <c r="Q14" s="3">
        <f t="shared" si="1"/>
        <v>0.80876490102079757</v>
      </c>
      <c r="R14" s="3">
        <f t="shared" si="0"/>
        <v>1.9718044368156828</v>
      </c>
      <c r="S14" s="3">
        <f t="shared" si="0"/>
        <v>2.1485231324119614</v>
      </c>
      <c r="T14" s="3">
        <f t="shared" si="0"/>
        <v>1.6021811155028542</v>
      </c>
    </row>
    <row r="15" spans="1:20">
      <c r="A15" s="115">
        <v>2008</v>
      </c>
      <c r="B15" s="17">
        <f>'2A'!B28*1000/'4E'!B15/52</f>
        <v>32.275910806910773</v>
      </c>
      <c r="C15" s="17">
        <f>'2A'!C28*1000/'4E'!C15/52</f>
        <v>37.068051665018331</v>
      </c>
      <c r="D15" s="17">
        <f>'2A'!D28*1000/'4E'!D15/52</f>
        <v>41.113325926410042</v>
      </c>
      <c r="E15" s="17">
        <f>'2A'!E28*1000/'4E'!E15/52</f>
        <v>36.498590265713553</v>
      </c>
      <c r="F15" s="17">
        <f>'2A'!F28*1000/'4E'!F15/52</f>
        <v>36.814004042561308</v>
      </c>
      <c r="G15" s="17">
        <f>'2A'!G28*1000/'4E'!G15/52</f>
        <v>35.030437188710565</v>
      </c>
      <c r="H15" s="17">
        <f>'2A'!H28*1000/'4E'!H15/52</f>
        <v>36.639977123248499</v>
      </c>
      <c r="I15" s="17">
        <f>'2A'!I28*1000/'4E'!I15/52</f>
        <v>35.836187508268537</v>
      </c>
      <c r="J15" s="17">
        <f>'2A'!J28*1000/'4E'!J15/52</f>
        <v>35.006916277870253</v>
      </c>
      <c r="K15" s="17">
        <f>'2A'!K28*1000/'4E'!K15/52</f>
        <v>37.230059899117279</v>
      </c>
      <c r="M15" s="3">
        <v>2007</v>
      </c>
      <c r="N15" s="3">
        <f t="shared" si="1"/>
        <v>-0.55384649949029585</v>
      </c>
      <c r="O15" s="3">
        <f t="shared" si="1"/>
        <v>-1.2450820812190511</v>
      </c>
      <c r="P15" s="3">
        <f t="shared" si="1"/>
        <v>2.1557188301129404</v>
      </c>
      <c r="Q15" s="3">
        <f t="shared" si="1"/>
        <v>-0.56642230207412103</v>
      </c>
      <c r="R15" s="3">
        <f t="shared" si="0"/>
        <v>-3.1308794786612193</v>
      </c>
      <c r="S15" s="3">
        <f t="shared" si="0"/>
        <v>-5.7299200080450756</v>
      </c>
      <c r="T15" s="3">
        <f t="shared" si="0"/>
        <v>1.5309291239504086</v>
      </c>
    </row>
    <row r="16" spans="1:20">
      <c r="A16" s="115">
        <v>2009</v>
      </c>
      <c r="B16" s="17">
        <f>'2A'!B29*1000/'4E'!B16/52</f>
        <v>31.852263552482732</v>
      </c>
      <c r="C16" s="17">
        <f>'2A'!C29*1000/'4E'!C16/52</f>
        <v>36.209478534058107</v>
      </c>
      <c r="D16" s="17">
        <f>'2A'!D29*1000/'4E'!D16/52</f>
        <v>40.104459356715481</v>
      </c>
      <c r="E16" s="17">
        <f>'2A'!E29*1000/'4E'!E16/52</f>
        <v>35.716565592084265</v>
      </c>
      <c r="F16" s="17">
        <f>'2A'!F29*1000/'4E'!F16/52</f>
        <v>35.631977875652971</v>
      </c>
      <c r="G16" s="17">
        <f>'2A'!G29*1000/'4E'!G16/52</f>
        <v>35.668303327877794</v>
      </c>
      <c r="H16" s="17">
        <f>'2A'!H29*1000/'4E'!H16/52</f>
        <v>35.773004150719636</v>
      </c>
      <c r="I16" s="17">
        <f>'2A'!I29*1000/'4E'!I16/52</f>
        <v>34.806747811232114</v>
      </c>
      <c r="J16" s="17">
        <f>'2A'!J29*1000/'4E'!J16/52</f>
        <v>34.507703351924462</v>
      </c>
      <c r="K16" s="17">
        <f>'2A'!K29*1000/'4E'!K16/52</f>
        <v>35.243907384128789</v>
      </c>
      <c r="M16" s="3">
        <v>2008</v>
      </c>
      <c r="N16" s="3">
        <f t="shared" si="1"/>
        <v>0.20843685004563461</v>
      </c>
      <c r="O16" s="3">
        <f t="shared" si="1"/>
        <v>0.62099414204859205</v>
      </c>
      <c r="P16" s="3">
        <f t="shared" si="1"/>
        <v>1.3849772711257868</v>
      </c>
      <c r="Q16" s="3">
        <f t="shared" si="1"/>
        <v>-1.1296294392311945</v>
      </c>
      <c r="R16" s="3">
        <f t="shared" si="0"/>
        <v>1.5400061728128467</v>
      </c>
      <c r="S16" s="3">
        <f t="shared" si="0"/>
        <v>1.7886764586377613</v>
      </c>
      <c r="T16" s="3">
        <f t="shared" si="0"/>
        <v>0.93154272551159156</v>
      </c>
    </row>
    <row r="17" spans="1:20">
      <c r="A17" s="115">
        <v>2010</v>
      </c>
      <c r="B17" s="17">
        <f>'2A'!B30*1000/'4E'!B17/52</f>
        <v>31.85937063477439</v>
      </c>
      <c r="C17" s="17">
        <f>'2A'!C30*1000/'4E'!C17/52</f>
        <v>36.12158849900306</v>
      </c>
      <c r="D17" s="17">
        <f>'2A'!D30*1000/'4E'!D17/52</f>
        <v>36.527813271999314</v>
      </c>
      <c r="E17" s="17">
        <f>'2A'!E30*1000/'4E'!E17/52</f>
        <v>35.725288478730278</v>
      </c>
      <c r="F17" s="17">
        <f>'2A'!F30*1000/'4E'!F17/52</f>
        <v>36.746707617850994</v>
      </c>
      <c r="G17" s="17">
        <f>'2A'!G30*1000/'4E'!G17/52</f>
        <v>35.332708528584817</v>
      </c>
      <c r="H17" s="17">
        <f>'2A'!H30*1000/'4E'!H17/52</f>
        <v>35.280730407775309</v>
      </c>
      <c r="I17" s="17">
        <f>'2A'!I30*1000/'4E'!I17/52</f>
        <v>36.43608777224896</v>
      </c>
      <c r="J17" s="17">
        <f>'2A'!J30*1000/'4E'!J17/52</f>
        <v>36.876625083993105</v>
      </c>
      <c r="K17" s="17">
        <f>'2A'!K30*1000/'4E'!K17/52</f>
        <v>35.880809872164335</v>
      </c>
      <c r="M17" s="3">
        <v>2009</v>
      </c>
      <c r="N17" s="3">
        <f t="shared" si="1"/>
        <v>-1.312580323333068</v>
      </c>
      <c r="O17" s="3">
        <f t="shared" si="1"/>
        <v>-2.3162078728040436</v>
      </c>
      <c r="P17" s="3">
        <f t="shared" si="1"/>
        <v>-2.4538675647413188</v>
      </c>
      <c r="Q17" s="3">
        <f t="shared" si="1"/>
        <v>-2.1426161063648363</v>
      </c>
      <c r="R17" s="3">
        <f t="shared" si="0"/>
        <v>-2.8726261597969871</v>
      </c>
      <c r="S17" s="3">
        <f t="shared" si="0"/>
        <v>-1.4260408485661791</v>
      </c>
      <c r="T17" s="3">
        <f t="shared" si="0"/>
        <v>-5.3348088087163736</v>
      </c>
    </row>
    <row r="18" spans="1:20">
      <c r="A18" s="115">
        <v>2011</v>
      </c>
      <c r="B18" s="17">
        <f>'2A'!B31*1000/'4E'!B18/52</f>
        <v>31.668093113938308</v>
      </c>
      <c r="C18" s="17">
        <f>'2A'!C31*1000/'4E'!C18/52</f>
        <v>36.52972027972028</v>
      </c>
      <c r="D18" s="17">
        <f>'2A'!D31*1000/'4E'!D18/52</f>
        <v>41.443741443741445</v>
      </c>
      <c r="E18" s="17">
        <f>'2A'!E31*1000/'4E'!E18/52</f>
        <v>36.16926635430876</v>
      </c>
      <c r="F18" s="17">
        <f>'2A'!F31*1000/'4E'!F18/52</f>
        <v>36.434088299759942</v>
      </c>
      <c r="G18" s="17">
        <f>'2A'!G31*1000/'4E'!G18/52</f>
        <v>37.171398527865406</v>
      </c>
      <c r="H18" s="17">
        <f>'2A'!H31*1000/'4E'!H18/52</f>
        <v>35.683064673292684</v>
      </c>
      <c r="I18" s="17">
        <f>'2A'!I31*1000/'4E'!I18/52</f>
        <v>34.52966874965437</v>
      </c>
      <c r="J18" s="17">
        <f>'2A'!J31*1000/'4E'!J18/52</f>
        <v>34.890572390572387</v>
      </c>
      <c r="K18" s="17">
        <f>'2A'!K31*1000/'4E'!K18/52</f>
        <v>34.052480630110011</v>
      </c>
      <c r="M18" s="3">
        <v>2010</v>
      </c>
      <c r="N18" s="3">
        <f t="shared" si="1"/>
        <v>2.2312644374378188E-2</v>
      </c>
      <c r="O18" s="3">
        <f t="shared" si="1"/>
        <v>-0.24272659704938082</v>
      </c>
      <c r="P18" s="3">
        <f t="shared" si="1"/>
        <v>-8.9183251490890783</v>
      </c>
      <c r="Q18" s="3">
        <f t="shared" si="1"/>
        <v>2.4422523558498277E-2</v>
      </c>
      <c r="R18" s="3">
        <f t="shared" si="0"/>
        <v>4.681103703952072</v>
      </c>
      <c r="S18" s="3">
        <f t="shared" si="0"/>
        <v>6.8649069684799224</v>
      </c>
      <c r="T18" s="3">
        <f t="shared" si="0"/>
        <v>1.8071279131846696</v>
      </c>
    </row>
    <row r="19" spans="1:20">
      <c r="A19" s="115">
        <v>2012</v>
      </c>
      <c r="B19" s="17">
        <f>'2A'!B32*1000/'4E'!B19/52</f>
        <v>31.734437603289813</v>
      </c>
      <c r="C19" s="17">
        <f>'2A'!C32*1000/'4E'!C19/52</f>
        <v>35.912930807297002</v>
      </c>
      <c r="D19" s="17">
        <f>'2A'!D32*1000/'4E'!D19/52</f>
        <v>41.02966756861229</v>
      </c>
      <c r="E19" s="17">
        <f>'2A'!E32*1000/'4E'!E19/52</f>
        <v>35.50695244430743</v>
      </c>
      <c r="F19" s="17">
        <f>'2A'!F32*1000/'4E'!F19/52</f>
        <v>35.530783995275357</v>
      </c>
      <c r="G19" s="17">
        <f>'2A'!G32*1000/'4E'!G19/52</f>
        <v>35.607160135462024</v>
      </c>
      <c r="H19" s="17">
        <f>'2A'!H32*1000/'4E'!H19/52</f>
        <v>35.464480874316941</v>
      </c>
      <c r="I19" s="17">
        <f>'2A'!I32*1000/'4E'!I19/52</f>
        <v>34.422846614463381</v>
      </c>
      <c r="J19" s="17">
        <f>'2A'!J32*1000/'4E'!J19/52</f>
        <v>34.289940828402365</v>
      </c>
      <c r="K19" s="17">
        <f>'2A'!K32*1000/'4E'!K19/52</f>
        <v>34.615384615384613</v>
      </c>
      <c r="M19" s="3">
        <v>2011</v>
      </c>
      <c r="N19" s="3">
        <f t="shared" si="1"/>
        <v>-0.60038072637662587</v>
      </c>
      <c r="O19" s="3">
        <f t="shared" si="1"/>
        <v>1.1298832572894213</v>
      </c>
      <c r="P19" s="3">
        <f t="shared" si="1"/>
        <v>13.458041233227824</v>
      </c>
      <c r="Q19" s="3">
        <f t="shared" si="1"/>
        <v>1.2427551868274378</v>
      </c>
      <c r="R19" s="3">
        <f t="shared" si="0"/>
        <v>-5.2322275500900179</v>
      </c>
      <c r="S19" s="3">
        <f t="shared" si="0"/>
        <v>-5.3856682624755621</v>
      </c>
      <c r="T19" s="3">
        <f t="shared" si="0"/>
        <v>-5.0955629166907652</v>
      </c>
    </row>
    <row r="20" spans="1:20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M20" s="3">
        <v>2012</v>
      </c>
      <c r="N20" s="3">
        <f t="shared" si="1"/>
        <v>0.20949947669031133</v>
      </c>
      <c r="O20" s="3">
        <f t="shared" si="1"/>
        <v>-1.6884593358512334</v>
      </c>
      <c r="P20" s="3">
        <f t="shared" si="1"/>
        <v>-0.99912281252706459</v>
      </c>
      <c r="Q20" s="3">
        <f t="shared" si="1"/>
        <v>-1.83115107592563</v>
      </c>
      <c r="R20" s="3">
        <f t="shared" si="0"/>
        <v>-0.30936333610804834</v>
      </c>
      <c r="S20" s="3">
        <f t="shared" si="0"/>
        <v>-1.7214723663642628</v>
      </c>
      <c r="T20" s="3">
        <f t="shared" si="0"/>
        <v>1.6530483972344356</v>
      </c>
    </row>
    <row r="21" spans="1:20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</row>
    <row r="22" spans="1:20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3" t="s">
        <v>27</v>
      </c>
    </row>
    <row r="24" spans="1:20" ht="30">
      <c r="A24" s="115" t="s">
        <v>19</v>
      </c>
      <c r="B24" s="7">
        <f>((B7/B4)^(1/3)-1)*100</f>
        <v>-0.2478522629894786</v>
      </c>
      <c r="C24" s="11" t="s">
        <v>10</v>
      </c>
      <c r="D24" s="7">
        <f t="shared" ref="D24:E24" si="2">((D7/D4)^(1/3)-1)*100</f>
        <v>0.93842532364969422</v>
      </c>
      <c r="E24" s="7">
        <f t="shared" si="2"/>
        <v>-1.8802129521236055</v>
      </c>
      <c r="F24" s="7">
        <f t="shared" ref="F24:H24" si="3">((F7/F4)^(1/3)-1)*100</f>
        <v>-1.3283324885404513</v>
      </c>
      <c r="G24" s="7">
        <f t="shared" si="3"/>
        <v>-2.5374115342729375</v>
      </c>
      <c r="H24" s="7">
        <f t="shared" si="3"/>
        <v>-2.3475515045830231</v>
      </c>
      <c r="I24" s="11" t="s">
        <v>10</v>
      </c>
      <c r="J24" s="11" t="s">
        <v>10</v>
      </c>
      <c r="K24" s="11" t="s">
        <v>10</v>
      </c>
      <c r="M24" s="3">
        <v>1998</v>
      </c>
      <c r="N24" s="3">
        <f t="shared" ref="N24:N25" si="4">B5/$B$7</f>
        <v>1.0055251152202125</v>
      </c>
      <c r="O24" s="3">
        <f>C5/$C$7</f>
        <v>1.0111875475579215</v>
      </c>
      <c r="P24" s="3">
        <f t="shared" ref="P24:P26" si="5">D5/$D$7</f>
        <v>0.98404129922599237</v>
      </c>
      <c r="Q24" s="3">
        <f>E5/$E$7</f>
        <v>1.021679785200436</v>
      </c>
      <c r="R24" s="3">
        <f t="shared" ref="R24:R25" si="6">I5/$I$7</f>
        <v>1.0117462218986277</v>
      </c>
      <c r="S24" s="3">
        <f t="shared" ref="S24:S25" si="7">J5/$J$7</f>
        <v>1.0143421902128034</v>
      </c>
      <c r="T24" s="3">
        <f t="shared" ref="T24:T25" si="8">K5/$K$7</f>
        <v>1.0069992651698858</v>
      </c>
    </row>
    <row r="25" spans="1:20" ht="30">
      <c r="A25" s="325" t="s">
        <v>68</v>
      </c>
      <c r="B25" s="7">
        <f>((B14/B7)^(1/7)-1)*100</f>
        <v>-0.66400999303871666</v>
      </c>
      <c r="C25" s="7">
        <f t="shared" ref="C25:K25" si="9">((C14/C7)^(1/7)-1)*100</f>
        <v>-0.46424714774890852</v>
      </c>
      <c r="D25" s="7">
        <f t="shared" si="9"/>
        <v>-0.1402484878414989</v>
      </c>
      <c r="E25" s="7">
        <f t="shared" si="9"/>
        <v>-0.4148573686454271</v>
      </c>
      <c r="F25" s="7">
        <f t="shared" ref="F25:H25" si="10">((F14/F7)^(1/7)-1)*100</f>
        <v>-0.53144278189835026</v>
      </c>
      <c r="G25" s="7">
        <f t="shared" si="10"/>
        <v>-3.9823395679983165E-2</v>
      </c>
      <c r="H25" s="7">
        <f t="shared" si="10"/>
        <v>-0.3325365111121692</v>
      </c>
      <c r="I25" s="7">
        <f t="shared" si="9"/>
        <v>-0.60031567871827729</v>
      </c>
      <c r="J25" s="7">
        <f t="shared" si="9"/>
        <v>-0.94869548897013045</v>
      </c>
      <c r="K25" s="7">
        <f t="shared" si="9"/>
        <v>-4.3361836149391486E-3</v>
      </c>
      <c r="M25" s="3">
        <v>1999</v>
      </c>
      <c r="N25" s="3">
        <f t="shared" si="4"/>
        <v>1.0089206376433983</v>
      </c>
      <c r="O25" s="3">
        <f t="shared" ref="O25:O26" si="11">C6/$C$7</f>
        <v>1.0000356862613782</v>
      </c>
      <c r="P25" s="3">
        <f t="shared" si="5"/>
        <v>0.99433186206779256</v>
      </c>
      <c r="Q25" s="3">
        <f t="shared" ref="Q25" si="12">E6/$E$7</f>
        <v>1.0107905575916283</v>
      </c>
      <c r="R25" s="3">
        <f t="shared" si="6"/>
        <v>0.98653318294117298</v>
      </c>
      <c r="S25" s="3">
        <f t="shared" si="7"/>
        <v>0.97160123736999005</v>
      </c>
      <c r="T25" s="3">
        <f t="shared" si="8"/>
        <v>1.0138571710710584</v>
      </c>
    </row>
    <row r="26" spans="1:20" ht="30">
      <c r="A26" s="130" t="s">
        <v>70</v>
      </c>
      <c r="B26" s="7">
        <f>((B19/B14)^(1/5)-1)*100</f>
        <v>-0.29629031864205624</v>
      </c>
      <c r="C26" s="7">
        <f t="shared" ref="C26:K26" si="13">((C19/C14)^(1/5)-1)*100</f>
        <v>-0.50805099429598322</v>
      </c>
      <c r="D26" s="7">
        <f t="shared" si="13"/>
        <v>0.2346317219960925</v>
      </c>
      <c r="E26" s="7">
        <f t="shared" si="13"/>
        <v>-0.77509449606769643</v>
      </c>
      <c r="F26" s="7">
        <f t="shared" ref="F26:H26" si="14">((F19/F14)^(1/5)-1)*100</f>
        <v>-0.87617539175736114</v>
      </c>
      <c r="G26" s="7">
        <f t="shared" si="14"/>
        <v>-1.1661786367069715</v>
      </c>
      <c r="H26" s="7">
        <f t="shared" si="14"/>
        <v>-0.55852983285616942</v>
      </c>
      <c r="I26" s="7">
        <f t="shared" si="13"/>
        <v>-0.4978572241076229</v>
      </c>
      <c r="J26" s="7">
        <f t="shared" si="13"/>
        <v>-5.9281028454760687E-2</v>
      </c>
      <c r="K26" s="7">
        <f t="shared" si="13"/>
        <v>-1.2628772305792846</v>
      </c>
      <c r="M26" s="3">
        <v>2000</v>
      </c>
      <c r="N26" s="3">
        <f>B7/$B$7</f>
        <v>1</v>
      </c>
      <c r="O26" s="3">
        <f t="shared" si="11"/>
        <v>1</v>
      </c>
      <c r="P26" s="3">
        <f t="shared" si="5"/>
        <v>1</v>
      </c>
      <c r="Q26" s="3">
        <f>E7/$E$7</f>
        <v>1</v>
      </c>
      <c r="R26" s="3">
        <f>I7/$I$7</f>
        <v>1</v>
      </c>
      <c r="S26" s="3">
        <f>J7/$J$7</f>
        <v>1</v>
      </c>
      <c r="T26" s="3">
        <f>K7/$K$7</f>
        <v>1</v>
      </c>
    </row>
    <row r="27" spans="1:20" ht="30">
      <c r="A27" s="325" t="s">
        <v>523</v>
      </c>
      <c r="B27" s="7">
        <f>((B19/B7)^(1/12)-1)*100</f>
        <v>-0.51095856519618454</v>
      </c>
      <c r="C27" s="7">
        <f t="shared" ref="C27:K27" si="15">((C19/C7)^(1/12)-1)*100</f>
        <v>-0.48250109374418093</v>
      </c>
      <c r="D27" s="7">
        <f t="shared" si="15"/>
        <v>1.5780908496765278E-2</v>
      </c>
      <c r="E27" s="7">
        <f t="shared" si="15"/>
        <v>-0.56511483933314732</v>
      </c>
      <c r="F27" s="7">
        <f t="shared" ref="F27:H27" si="16">((F19/F7)^(1/12)-1)*100</f>
        <v>-0.67522683145962992</v>
      </c>
      <c r="G27" s="7">
        <f t="shared" si="16"/>
        <v>-0.51068972761711962</v>
      </c>
      <c r="H27" s="7">
        <f t="shared" si="16"/>
        <v>-0.42676274475365039</v>
      </c>
      <c r="I27" s="7">
        <f t="shared" si="15"/>
        <v>-0.55763748369891397</v>
      </c>
      <c r="J27" s="7">
        <f t="shared" si="15"/>
        <v>-0.57907212033455613</v>
      </c>
      <c r="K27" s="7">
        <f t="shared" si="15"/>
        <v>-0.5306661713509131</v>
      </c>
    </row>
    <row r="28" spans="1:20">
      <c r="M28" s="3">
        <v>2002</v>
      </c>
      <c r="N28" s="3">
        <f>B9/$B$7</f>
        <v>0.97783109660416334</v>
      </c>
      <c r="O28" s="3">
        <f>C9/$C$7</f>
        <v>0.97955907919464891</v>
      </c>
      <c r="P28" s="3">
        <f>D9/$D$7</f>
        <v>0.9291815649664743</v>
      </c>
      <c r="Q28" s="3">
        <f>E9/$E$7</f>
        <v>0.98822470423239805</v>
      </c>
      <c r="R28" s="3">
        <f>I9/$I$7</f>
        <v>0.99263184232542456</v>
      </c>
      <c r="S28" s="3">
        <f>J9/$J$7</f>
        <v>0.99092631829891575</v>
      </c>
      <c r="T28" s="3">
        <f>K9/$K$7</f>
        <v>0.99537323749000595</v>
      </c>
    </row>
    <row r="29" spans="1:20">
      <c r="A29" s="231" t="s">
        <v>144</v>
      </c>
    </row>
    <row r="30" spans="1:20">
      <c r="A30" s="234" t="s">
        <v>320</v>
      </c>
      <c r="M30" s="3">
        <v>2003</v>
      </c>
      <c r="N30" s="3">
        <f t="shared" ref="N30:N39" si="17">B10/$B$7</f>
        <v>0.96727232203326408</v>
      </c>
      <c r="O30" s="3">
        <f t="shared" ref="O30:O39" si="18">C10/$C$7</f>
        <v>0.98554841236900159</v>
      </c>
      <c r="P30" s="3">
        <f t="shared" ref="P30:P39" si="19">D10/$D$7</f>
        <v>0.9448955092953959</v>
      </c>
      <c r="Q30" s="3">
        <f t="shared" ref="Q30:Q39" si="20">E10/$E$7</f>
        <v>0.99977287489602751</v>
      </c>
      <c r="R30" s="3">
        <f t="shared" ref="R30:R39" si="21">I10/$I$7</f>
        <v>0.98489738630547941</v>
      </c>
      <c r="S30" s="3">
        <f t="shared" ref="S30:S39" si="22">J10/$J$7</f>
        <v>0.97335737092589536</v>
      </c>
      <c r="T30" s="3">
        <f t="shared" ref="T30:T39" si="23">K10/$K$7</f>
        <v>1.0053918183694326</v>
      </c>
    </row>
    <row r="31" spans="1:20">
      <c r="M31" s="3">
        <v>2004</v>
      </c>
      <c r="N31" s="3">
        <f t="shared" si="17"/>
        <v>0.9724812948999606</v>
      </c>
      <c r="O31" s="3">
        <f t="shared" si="18"/>
        <v>0.98486624316962101</v>
      </c>
      <c r="P31" s="3">
        <f t="shared" si="19"/>
        <v>0.98886001087460207</v>
      </c>
      <c r="Q31" s="3">
        <f t="shared" si="20"/>
        <v>0.97055351653328159</v>
      </c>
      <c r="R31" s="3">
        <f t="shared" si="21"/>
        <v>1.0015855779768577</v>
      </c>
      <c r="S31" s="3">
        <f t="shared" si="22"/>
        <v>0.99932779260891458</v>
      </c>
      <c r="T31" s="3">
        <f t="shared" si="23"/>
        <v>1.0055279776636206</v>
      </c>
    </row>
    <row r="32" spans="1:20">
      <c r="M32" s="3">
        <v>2005</v>
      </c>
      <c r="N32" s="3">
        <f t="shared" si="17"/>
        <v>0.96499426017239887</v>
      </c>
      <c r="O32" s="3">
        <f t="shared" si="18"/>
        <v>0.96780501698465193</v>
      </c>
      <c r="P32" s="3">
        <f t="shared" si="19"/>
        <v>0.96235620221169504</v>
      </c>
      <c r="Q32" s="3">
        <f t="shared" si="20"/>
        <v>0.96901497422612415</v>
      </c>
      <c r="R32" s="3">
        <f t="shared" si="21"/>
        <v>0.97057605982216311</v>
      </c>
      <c r="S32" s="3">
        <f t="shared" si="22"/>
        <v>0.97143876434648335</v>
      </c>
      <c r="T32" s="3">
        <f t="shared" si="23"/>
        <v>0.96909595954025141</v>
      </c>
    </row>
    <row r="33" spans="13:20">
      <c r="M33" s="3">
        <v>2006</v>
      </c>
      <c r="N33" s="3">
        <f t="shared" si="17"/>
        <v>0.9597505758082393</v>
      </c>
      <c r="O33" s="3">
        <f t="shared" si="18"/>
        <v>0.98015555846960667</v>
      </c>
      <c r="P33" s="3">
        <f t="shared" si="19"/>
        <v>0.96932783305198855</v>
      </c>
      <c r="Q33" s="3">
        <f t="shared" si="20"/>
        <v>0.97685202722330067</v>
      </c>
      <c r="R33" s="3">
        <f t="shared" si="21"/>
        <v>0.98971392163240735</v>
      </c>
      <c r="S33" s="3">
        <f t="shared" si="22"/>
        <v>0.99231035091568442</v>
      </c>
      <c r="T33" s="3">
        <f t="shared" si="23"/>
        <v>0.98462263199510658</v>
      </c>
    </row>
    <row r="34" spans="13:20">
      <c r="M34" s="3">
        <v>2007</v>
      </c>
      <c r="N34" s="3">
        <f t="shared" si="17"/>
        <v>0.95443503084028747</v>
      </c>
      <c r="O34" s="3">
        <f t="shared" si="18"/>
        <v>0.96795181724302903</v>
      </c>
      <c r="P34" s="3">
        <f t="shared" si="19"/>
        <v>0.99022381567461604</v>
      </c>
      <c r="Q34" s="3">
        <f t="shared" si="20"/>
        <v>0.97131891948284477</v>
      </c>
      <c r="R34" s="3">
        <f t="shared" si="21"/>
        <v>0.95872717156256515</v>
      </c>
      <c r="S34" s="3">
        <f t="shared" si="22"/>
        <v>0.93545176157666432</v>
      </c>
      <c r="T34" s="3">
        <f t="shared" si="23"/>
        <v>0.99969650662932663</v>
      </c>
    </row>
    <row r="35" spans="13:20">
      <c r="M35" s="3">
        <v>2008</v>
      </c>
      <c r="N35" s="3">
        <f t="shared" si="17"/>
        <v>0.95642442515430304</v>
      </c>
      <c r="O35" s="3">
        <f t="shared" si="18"/>
        <v>0.97396274132596106</v>
      </c>
      <c r="P35" s="3">
        <f t="shared" si="19"/>
        <v>1.0039381904549838</v>
      </c>
      <c r="Q35" s="3">
        <f t="shared" si="20"/>
        <v>0.96034661501954421</v>
      </c>
      <c r="R35" s="3">
        <f t="shared" si="21"/>
        <v>0.9734916291850626</v>
      </c>
      <c r="S35" s="3">
        <f t="shared" si="22"/>
        <v>0.95218396701789842</v>
      </c>
      <c r="T35" s="3">
        <f t="shared" si="23"/>
        <v>1.0090091067140257</v>
      </c>
    </row>
    <row r="36" spans="13:20">
      <c r="M36" s="3">
        <v>2009</v>
      </c>
      <c r="N36" s="3">
        <f t="shared" si="17"/>
        <v>0.94387058634217624</v>
      </c>
      <c r="O36" s="3">
        <f t="shared" si="18"/>
        <v>0.95140373963319114</v>
      </c>
      <c r="P36" s="3">
        <f t="shared" si="19"/>
        <v>0.97930287682935802</v>
      </c>
      <c r="Q36" s="3">
        <f t="shared" si="20"/>
        <v>0.93977007376920596</v>
      </c>
      <c r="R36" s="3">
        <f t="shared" si="21"/>
        <v>0.94552685398165859</v>
      </c>
      <c r="S36" s="3">
        <f t="shared" si="22"/>
        <v>0.93860543469472535</v>
      </c>
      <c r="T36" s="3">
        <f t="shared" si="23"/>
        <v>0.95518040000829552</v>
      </c>
    </row>
    <row r="37" spans="13:20">
      <c r="M37" s="3">
        <v>2010</v>
      </c>
      <c r="N37" s="3">
        <f t="shared" si="17"/>
        <v>0.94408118882946124</v>
      </c>
      <c r="O37" s="3">
        <f t="shared" si="18"/>
        <v>0.94909442971177882</v>
      </c>
      <c r="P37" s="3">
        <f t="shared" si="19"/>
        <v>0.89196546207933258</v>
      </c>
      <c r="Q37" s="3">
        <f t="shared" si="20"/>
        <v>0.93999958933686789</v>
      </c>
      <c r="R37" s="3">
        <f t="shared" si="21"/>
        <v>0.98978794656525559</v>
      </c>
      <c r="S37" s="3">
        <f t="shared" si="22"/>
        <v>1.0030398245876149</v>
      </c>
      <c r="T37" s="3">
        <f t="shared" si="23"/>
        <v>0.97244173163811443</v>
      </c>
    </row>
    <row r="38" spans="13:20">
      <c r="M38" s="3">
        <v>2011</v>
      </c>
      <c r="N38" s="3">
        <f t="shared" si="17"/>
        <v>0.93841310733038175</v>
      </c>
      <c r="O38" s="3">
        <f t="shared" si="18"/>
        <v>0.95981808876895891</v>
      </c>
      <c r="P38" s="3">
        <f t="shared" si="19"/>
        <v>1.0120065417521202</v>
      </c>
      <c r="Q38" s="3">
        <f t="shared" si="20"/>
        <v>0.95168148298950839</v>
      </c>
      <c r="R38" s="3">
        <f t="shared" si="21"/>
        <v>0.93799998893759795</v>
      </c>
      <c r="S38" s="3">
        <f t="shared" si="22"/>
        <v>0.94901942709480913</v>
      </c>
      <c r="T38" s="3">
        <f t="shared" si="23"/>
        <v>0.92289035137433717</v>
      </c>
    </row>
    <row r="39" spans="13:20">
      <c r="M39" s="3">
        <v>2012</v>
      </c>
      <c r="N39" s="3">
        <f t="shared" si="17"/>
        <v>0.94037907787943231</v>
      </c>
      <c r="O39" s="3">
        <f t="shared" si="18"/>
        <v>0.94361195064195047</v>
      </c>
      <c r="P39" s="3">
        <f t="shared" si="19"/>
        <v>1.0018953535292086</v>
      </c>
      <c r="Q39" s="3">
        <f t="shared" si="20"/>
        <v>0.93425475727436103</v>
      </c>
      <c r="R39" s="3">
        <f t="shared" si="21"/>
        <v>0.93509816087912756</v>
      </c>
      <c r="S39" s="3">
        <f t="shared" si="22"/>
        <v>0.93268231990594352</v>
      </c>
      <c r="T39" s="3">
        <f t="shared" si="23"/>
        <v>0.93814617553596202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zoomScaleNormal="100" zoomScaleSheetLayoutView="100" workbookViewId="0">
      <selection activeCell="D7" sqref="D7:E7"/>
    </sheetView>
  </sheetViews>
  <sheetFormatPr defaultRowHeight="15"/>
  <cols>
    <col min="1" max="12" width="9.140625" style="3"/>
    <col min="13" max="21" width="0" style="3" hidden="1" customWidth="1"/>
    <col min="22" max="16384" width="9.140625" style="3"/>
  </cols>
  <sheetData>
    <row r="1" spans="1:20">
      <c r="A1" s="454" t="s">
        <v>559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20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</row>
    <row r="4" spans="1:20">
      <c r="A4" s="115">
        <v>1997</v>
      </c>
      <c r="B4" s="17">
        <f>'2B'!B17*1000/'4F'!B4/52</f>
        <v>34.436733014067642</v>
      </c>
      <c r="C4" s="17">
        <f>'2B'!C17*1000/'4F'!C4/52</f>
        <v>37.882290511892315</v>
      </c>
      <c r="D4" s="17">
        <f>'2B'!D17*1000/'4F'!D4/52</f>
        <v>39.475418734491313</v>
      </c>
      <c r="E4" s="17">
        <f>'2B'!E17*1000/'4F'!E4/52</f>
        <v>38.529129972569656</v>
      </c>
      <c r="F4" s="17">
        <f>'2B'!F17*1000/'4F'!F4/52</f>
        <v>37.795774033004449</v>
      </c>
      <c r="G4" s="17">
        <f>'2B'!G17*1000/'4F'!G4/52</f>
        <v>39.74863718958207</v>
      </c>
      <c r="H4" s="17">
        <f>'2B'!H17*1000/'4F'!H4/52</f>
        <v>38.439785735649998</v>
      </c>
      <c r="I4" s="17">
        <f>'2B'!I17*1000/'4F'!I4/52</f>
        <v>36.859351654819577</v>
      </c>
      <c r="J4" s="17">
        <f>'2B'!J17*1000/'4F'!J4/52</f>
        <v>36.488372616555232</v>
      </c>
      <c r="K4" s="17">
        <f>'2B'!K17*1000/'4F'!K4/52</f>
        <v>37.234502697657476</v>
      </c>
      <c r="N4" s="3" t="s">
        <v>24</v>
      </c>
    </row>
    <row r="5" spans="1:20">
      <c r="A5" s="115">
        <v>1998</v>
      </c>
      <c r="B5" s="17">
        <f>'2B'!B18*1000/'4F'!B5/52</f>
        <v>34.460670738407174</v>
      </c>
      <c r="C5" s="17">
        <f>'2B'!C18*1000/'4F'!C5/52</f>
        <v>38.296241116627066</v>
      </c>
      <c r="D5" s="17">
        <f>'2B'!D18*1000/'4F'!D5/52</f>
        <v>41.555985980446408</v>
      </c>
      <c r="E5" s="17">
        <f>'2B'!E18*1000/'4F'!E5/52</f>
        <v>38.126143392281556</v>
      </c>
      <c r="F5" s="17">
        <f>'2B'!F18*1000/'4F'!F5/52</f>
        <v>37.898998508416796</v>
      </c>
      <c r="G5" s="17">
        <f>'2B'!G18*1000/'4F'!G5/52</f>
        <v>37.981496566973121</v>
      </c>
      <c r="H5" s="17">
        <f>'2B'!H18*1000/'4F'!H5/52</f>
        <v>38.324265780061459</v>
      </c>
      <c r="I5" s="17">
        <f>'2B'!I18*1000/'4F'!I5/52</f>
        <v>37.599848547768524</v>
      </c>
      <c r="J5" s="17">
        <f>'2B'!J18*1000/'4F'!J5/52</f>
        <v>36.530103129902528</v>
      </c>
      <c r="K5" s="17">
        <f>'2B'!K18*1000/'4F'!K5/52</f>
        <v>38.567374566769793</v>
      </c>
      <c r="N5" s="3" t="s">
        <v>2</v>
      </c>
      <c r="O5" s="3" t="s">
        <v>8</v>
      </c>
      <c r="P5" s="3" t="s">
        <v>20</v>
      </c>
      <c r="Q5" s="3" t="s">
        <v>4</v>
      </c>
      <c r="R5" s="3" t="s">
        <v>5</v>
      </c>
      <c r="S5" s="3" t="s">
        <v>6</v>
      </c>
      <c r="T5" s="3" t="s">
        <v>7</v>
      </c>
    </row>
    <row r="6" spans="1:20">
      <c r="A6" s="115">
        <v>1999</v>
      </c>
      <c r="B6" s="17">
        <f>'2B'!B19*1000/'4F'!B6/52</f>
        <v>34.584365923821466</v>
      </c>
      <c r="C6" s="17">
        <f>'2B'!C19*1000/'4F'!C6/52</f>
        <v>38.322683457307924</v>
      </c>
      <c r="D6" s="17">
        <f>'2B'!D19*1000/'4F'!D6/52</f>
        <v>40.379167574634998</v>
      </c>
      <c r="E6" s="17">
        <f>'2B'!E19*1000/'4F'!E6/52</f>
        <v>38.233698600412282</v>
      </c>
      <c r="F6" s="17">
        <f>'2B'!F19*1000/'4F'!F6/52</f>
        <v>35.64596524316314</v>
      </c>
      <c r="G6" s="17">
        <f>'2B'!G19*1000/'4F'!G6/52</f>
        <v>39.638572436737576</v>
      </c>
      <c r="H6" s="17">
        <f>'2B'!H19*1000/'4F'!H6/52</f>
        <v>38.963423591049306</v>
      </c>
      <c r="I6" s="17">
        <f>'2B'!I19*1000/'4F'!I6/52</f>
        <v>37.863837047112938</v>
      </c>
      <c r="J6" s="17">
        <f>'2B'!J19*1000/'4F'!J6/52</f>
        <v>37.235487560766373</v>
      </c>
      <c r="K6" s="17">
        <f>'2B'!K19*1000/'4F'!K6/52</f>
        <v>38.452606899631569</v>
      </c>
      <c r="M6" s="3">
        <v>1998</v>
      </c>
      <c r="N6" s="3">
        <f>((B5/B4)-1)*100</f>
        <v>6.9512181453901256E-2</v>
      </c>
      <c r="O6" s="3">
        <f>((C5/C4)-1)*100</f>
        <v>1.0927285524216179</v>
      </c>
      <c r="P6" s="3">
        <f>((D5/D4)-1)*100</f>
        <v>5.2705387622328459</v>
      </c>
      <c r="Q6" s="3">
        <f>((E5/E4)-1)*100</f>
        <v>-1.0459270182716307</v>
      </c>
      <c r="R6" s="3">
        <f t="shared" ref="R6:T20" si="0">((I5/I4)-1)*100</f>
        <v>2.0089797017688982</v>
      </c>
      <c r="S6" s="3">
        <f t="shared" si="0"/>
        <v>0.11436660600303572</v>
      </c>
      <c r="T6" s="3">
        <f t="shared" si="0"/>
        <v>3.5796687817618356</v>
      </c>
    </row>
    <row r="7" spans="1:20">
      <c r="A7" s="115">
        <v>2000</v>
      </c>
      <c r="B7" s="17">
        <f>'2B'!B20*1000/'4F'!B7/52</f>
        <v>34.523872501104591</v>
      </c>
      <c r="C7" s="17">
        <f>'2B'!C20*1000/'4F'!C7/52</f>
        <v>38.01209967379863</v>
      </c>
      <c r="D7" s="17">
        <f>'2B'!D20*1000/'4F'!D7/52</f>
        <v>42.860120908901393</v>
      </c>
      <c r="E7" s="17">
        <f>'2B'!E20*1000/'4F'!E7/52</f>
        <v>37.859143756662291</v>
      </c>
      <c r="F7" s="17">
        <f>'2B'!F20*1000/'4F'!F7/52</f>
        <v>35.420949466940769</v>
      </c>
      <c r="G7" s="17">
        <f>'2B'!G20*1000/'4F'!G7/52</f>
        <v>39.430437342754665</v>
      </c>
      <c r="H7" s="17">
        <f>'2B'!H20*1000/'4F'!H7/52</f>
        <v>38.387293086660172</v>
      </c>
      <c r="I7" s="17">
        <f>'2B'!I20*1000/'4F'!I7/52</f>
        <v>36.820719140790665</v>
      </c>
      <c r="J7" s="17">
        <f>'2B'!J20*1000/'4F'!J7/52</f>
        <v>36.270155078566297</v>
      </c>
      <c r="K7" s="17">
        <f>'2B'!K20*1000/'4F'!K7/52</f>
        <v>37.26472719743245</v>
      </c>
      <c r="M7" s="3">
        <v>1999</v>
      </c>
      <c r="N7" s="3">
        <f t="shared" ref="N7:Q20" si="1">((B6/B5)-1)*100</f>
        <v>0.35894596002865597</v>
      </c>
      <c r="O7" s="3">
        <f t="shared" si="1"/>
        <v>6.9046830471775067E-2</v>
      </c>
      <c r="P7" s="3">
        <f t="shared" si="1"/>
        <v>-2.8318866176467283</v>
      </c>
      <c r="Q7" s="3">
        <f t="shared" si="1"/>
        <v>0.28210356086657562</v>
      </c>
      <c r="R7" s="3">
        <f t="shared" si="0"/>
        <v>0.70209990077227946</v>
      </c>
      <c r="S7" s="3">
        <f t="shared" si="0"/>
        <v>1.930967532052863</v>
      </c>
      <c r="T7" s="3">
        <f t="shared" si="0"/>
        <v>-0.29757708018089968</v>
      </c>
    </row>
    <row r="8" spans="1:20">
      <c r="A8" s="115">
        <v>2001</v>
      </c>
      <c r="B8" s="17">
        <f>'2B'!B21*1000/'4F'!B8/52</f>
        <v>34.424425472164394</v>
      </c>
      <c r="C8" s="17">
        <f>'2B'!C21*1000/'4F'!C8/52</f>
        <v>37.972853731963042</v>
      </c>
      <c r="D8" s="17">
        <f>'2B'!D21*1000/'4F'!D8/52</f>
        <v>41.222345644728314</v>
      </c>
      <c r="E8" s="17">
        <f>'2B'!E21*1000/'4F'!E8/52</f>
        <v>38.140410453270334</v>
      </c>
      <c r="F8" s="17">
        <f>'2B'!F21*1000/'4F'!F8/52</f>
        <v>38.262910798122064</v>
      </c>
      <c r="G8" s="17">
        <f>'2B'!G21*1000/'4F'!G8/52</f>
        <v>37.07659527972028</v>
      </c>
      <c r="H8" s="17">
        <f>'2B'!H21*1000/'4F'!H8/52</f>
        <v>38.550955414012734</v>
      </c>
      <c r="I8" s="17">
        <f>'2B'!I21*1000/'4F'!I8/52</f>
        <v>37.039140992225263</v>
      </c>
      <c r="J8" s="17">
        <f>'2B'!J21*1000/'4F'!J8/52</f>
        <v>36.558969066709004</v>
      </c>
      <c r="K8" s="17">
        <f>'2B'!K21*1000/'4F'!K8/52</f>
        <v>37.388193202146688</v>
      </c>
      <c r="M8" s="3">
        <v>2000</v>
      </c>
      <c r="N8" s="3">
        <f t="shared" si="1"/>
        <v>-0.17491551775192793</v>
      </c>
      <c r="O8" s="3">
        <f t="shared" si="1"/>
        <v>-0.81044372546429377</v>
      </c>
      <c r="P8" s="3">
        <f t="shared" si="1"/>
        <v>6.1441418515642221</v>
      </c>
      <c r="Q8" s="3">
        <f t="shared" si="1"/>
        <v>-0.97964585551749694</v>
      </c>
      <c r="R8" s="3">
        <f t="shared" si="0"/>
        <v>-2.7549186444689955</v>
      </c>
      <c r="S8" s="3">
        <f t="shared" si="0"/>
        <v>-2.5925066259027796</v>
      </c>
      <c r="T8" s="3">
        <f t="shared" si="0"/>
        <v>-3.0892046026936626</v>
      </c>
    </row>
    <row r="9" spans="1:20">
      <c r="A9" s="115">
        <v>2002</v>
      </c>
      <c r="B9" s="17">
        <f>'2B'!B22*1000/'4F'!B9/52</f>
        <v>34.123622970606561</v>
      </c>
      <c r="C9" s="17">
        <f>'2B'!C22*1000/'4F'!C9/52</f>
        <v>38.881166926512165</v>
      </c>
      <c r="D9" s="17">
        <f>'2B'!D22*1000/'4F'!D9/52</f>
        <v>41.175769707368218</v>
      </c>
      <c r="E9" s="17">
        <f>'2B'!E22*1000/'4F'!E9/52</f>
        <v>38.924900395918421</v>
      </c>
      <c r="F9" s="17">
        <f>'2B'!F22*1000/'4F'!F9/52</f>
        <v>38.623037169548795</v>
      </c>
      <c r="G9" s="17">
        <f>'2B'!G22*1000/'4F'!G9/52</f>
        <v>39.616783216783219</v>
      </c>
      <c r="H9" s="17">
        <f>'2B'!H22*1000/'4F'!H9/52</f>
        <v>38.777693258533802</v>
      </c>
      <c r="I9" s="17">
        <f>'2B'!I22*1000/'4F'!I9/52</f>
        <v>38.295374634212735</v>
      </c>
      <c r="J9" s="17">
        <f>'2B'!J22*1000/'4F'!J9/52</f>
        <v>38.796603912882979</v>
      </c>
      <c r="K9" s="17">
        <f>'2B'!K22*1000/'4F'!K9/52</f>
        <v>37.962945475835241</v>
      </c>
      <c r="M9" s="3">
        <v>2001</v>
      </c>
      <c r="N9" s="3">
        <f t="shared" si="1"/>
        <v>-0.28805293767961704</v>
      </c>
      <c r="O9" s="3">
        <f t="shared" si="1"/>
        <v>-0.10324591951609285</v>
      </c>
      <c r="P9" s="3">
        <f t="shared" si="1"/>
        <v>-3.8212100886372835</v>
      </c>
      <c r="Q9" s="3">
        <f t="shared" si="1"/>
        <v>0.74292936579831714</v>
      </c>
      <c r="R9" s="3">
        <f t="shared" si="0"/>
        <v>0.59320365416932752</v>
      </c>
      <c r="S9" s="3">
        <f t="shared" si="0"/>
        <v>0.79628550668475739</v>
      </c>
      <c r="T9" s="3">
        <f t="shared" si="0"/>
        <v>0.33132137009912466</v>
      </c>
    </row>
    <row r="10" spans="1:20">
      <c r="A10" s="115">
        <v>2003</v>
      </c>
      <c r="B10" s="17">
        <f>'2B'!B23*1000/'4F'!B10/52</f>
        <v>33.572035986466659</v>
      </c>
      <c r="C10" s="17">
        <f>'2B'!C23*1000/'4F'!C10/52</f>
        <v>37.736839605966431</v>
      </c>
      <c r="D10" s="17">
        <f>'2B'!D23*1000/'4F'!D10/52</f>
        <v>42.51334279978456</v>
      </c>
      <c r="E10" s="17">
        <f>'2B'!E23*1000/'4F'!E10/52</f>
        <v>37.811909857736374</v>
      </c>
      <c r="F10" s="17">
        <f>'2B'!F23*1000/'4F'!F10/52</f>
        <v>37.704157864908034</v>
      </c>
      <c r="G10" s="17">
        <f>'2B'!G23*1000/'4F'!G10/52</f>
        <v>39.332952953991388</v>
      </c>
      <c r="H10" s="17">
        <f>'2B'!H23*1000/'4F'!H10/52</f>
        <v>37.142261057385504</v>
      </c>
      <c r="I10" s="17">
        <f>'2B'!I23*1000/'4F'!I10/52</f>
        <v>36.582509980596384</v>
      </c>
      <c r="J10" s="17">
        <f>'2B'!J23*1000/'4F'!J10/52</f>
        <v>37.018860091335036</v>
      </c>
      <c r="K10" s="17">
        <f>'2B'!K23*1000/'4F'!K10/52</f>
        <v>36.319523877609377</v>
      </c>
      <c r="M10" s="3">
        <v>2002</v>
      </c>
      <c r="N10" s="3">
        <f t="shared" si="1"/>
        <v>-0.87380543736615968</v>
      </c>
      <c r="O10" s="3">
        <f t="shared" si="1"/>
        <v>2.3920066712936228</v>
      </c>
      <c r="P10" s="3">
        <f t="shared" si="1"/>
        <v>-0.11298711082942114</v>
      </c>
      <c r="Q10" s="3">
        <f t="shared" si="1"/>
        <v>2.0568471427680146</v>
      </c>
      <c r="R10" s="3">
        <f t="shared" si="0"/>
        <v>3.3916381652888905</v>
      </c>
      <c r="S10" s="3">
        <f t="shared" si="0"/>
        <v>6.1206180133005716</v>
      </c>
      <c r="T10" s="3">
        <f t="shared" si="0"/>
        <v>1.5372560813009528</v>
      </c>
    </row>
    <row r="11" spans="1:20">
      <c r="A11" s="115">
        <v>2004</v>
      </c>
      <c r="B11" s="17">
        <f>'2B'!B24*1000/'4F'!B11/52</f>
        <v>34.152256768903463</v>
      </c>
      <c r="C11" s="17">
        <f>'2B'!C24*1000/'4F'!C11/52</f>
        <v>38.878486359380787</v>
      </c>
      <c r="D11" s="17">
        <f>'2B'!D24*1000/'4F'!D11/52</f>
        <v>40.989656557541672</v>
      </c>
      <c r="E11" s="17">
        <f>'2B'!E24*1000/'4F'!E11/52</f>
        <v>39.120934695782978</v>
      </c>
      <c r="F11" s="17">
        <f>'2B'!F24*1000/'4F'!F11/52</f>
        <v>39.512786818962908</v>
      </c>
      <c r="G11" s="17">
        <f>'2B'!G24*1000/'4F'!G11/52</f>
        <v>39.867392978980959</v>
      </c>
      <c r="H11" s="17">
        <f>'2B'!H24*1000/'4F'!H11/52</f>
        <v>38.57646337726019</v>
      </c>
      <c r="I11" s="17">
        <f>'2B'!I24*1000/'4F'!I11/52</f>
        <v>38.177749065571497</v>
      </c>
      <c r="J11" s="17">
        <f>'2B'!J24*1000/'4F'!J11/52</f>
        <v>38.86615748317876</v>
      </c>
      <c r="K11" s="17">
        <f>'2B'!K24*1000/'4F'!K11/52</f>
        <v>37.753771652076736</v>
      </c>
      <c r="M11" s="3">
        <v>2003</v>
      </c>
      <c r="N11" s="3">
        <f t="shared" si="1"/>
        <v>-1.6164373419991995</v>
      </c>
      <c r="O11" s="3">
        <f t="shared" si="1"/>
        <v>-2.9431403710402648</v>
      </c>
      <c r="P11" s="3">
        <f t="shared" si="1"/>
        <v>3.2484470889611261</v>
      </c>
      <c r="Q11" s="3">
        <f t="shared" si="1"/>
        <v>-2.859327902862796</v>
      </c>
      <c r="R11" s="3">
        <f t="shared" si="0"/>
        <v>-4.4727716335906891</v>
      </c>
      <c r="S11" s="3">
        <f t="shared" si="0"/>
        <v>-4.5822150452648707</v>
      </c>
      <c r="T11" s="3">
        <f t="shared" si="0"/>
        <v>-4.3290149845510832</v>
      </c>
    </row>
    <row r="12" spans="1:20">
      <c r="A12" s="115">
        <v>2005</v>
      </c>
      <c r="B12" s="17">
        <f>'2B'!B25*1000/'4F'!B12/52</f>
        <v>33.761945694044599</v>
      </c>
      <c r="C12" s="17">
        <f>'2B'!C25*1000/'4F'!C12/52</f>
        <v>37.446020115342826</v>
      </c>
      <c r="D12" s="17">
        <f>'2B'!D25*1000/'4F'!D12/52</f>
        <v>40.71045233835931</v>
      </c>
      <c r="E12" s="17">
        <f>'2B'!E25*1000/'4F'!E12/52</f>
        <v>37.81718799872327</v>
      </c>
      <c r="F12" s="17">
        <f>'2B'!F25*1000/'4F'!F12/52</f>
        <v>38.586678925324343</v>
      </c>
      <c r="G12" s="17">
        <f>'2B'!G25*1000/'4F'!G12/52</f>
        <v>37.524580682475417</v>
      </c>
      <c r="H12" s="17">
        <f>'2B'!H25*1000/'4F'!H12/52</f>
        <v>37.554795950318336</v>
      </c>
      <c r="I12" s="17">
        <f>'2B'!I25*1000/'4F'!I12/52</f>
        <v>36.362563158143267</v>
      </c>
      <c r="J12" s="17">
        <f>'2B'!J25*1000/'4F'!J12/52</f>
        <v>36.216348336184922</v>
      </c>
      <c r="K12" s="17">
        <f>'2B'!K25*1000/'4F'!K12/52</f>
        <v>36.43724696356275</v>
      </c>
      <c r="M12" s="3">
        <v>2004</v>
      </c>
      <c r="N12" s="3">
        <f t="shared" si="1"/>
        <v>1.7282859540324047</v>
      </c>
      <c r="O12" s="3">
        <f t="shared" si="1"/>
        <v>3.0252844841671678</v>
      </c>
      <c r="P12" s="3">
        <f t="shared" si="1"/>
        <v>-3.5840189030033387</v>
      </c>
      <c r="Q12" s="3">
        <f t="shared" si="1"/>
        <v>3.4619378999148243</v>
      </c>
      <c r="R12" s="3">
        <f t="shared" si="0"/>
        <v>4.3606605610747806</v>
      </c>
      <c r="S12" s="3">
        <f t="shared" si="0"/>
        <v>4.9901520124767895</v>
      </c>
      <c r="T12" s="3">
        <f t="shared" si="0"/>
        <v>3.9489718513395999</v>
      </c>
    </row>
    <row r="13" spans="1:20">
      <c r="A13" s="115">
        <v>2006</v>
      </c>
      <c r="B13" s="361">
        <f>'2B'!B26*1000/'4F'!B13/52</f>
        <v>33.632741240199238</v>
      </c>
      <c r="C13" s="361">
        <f>'2B'!C26*1000/'4F'!C13/52</f>
        <v>38.347780233322865</v>
      </c>
      <c r="D13" s="361">
        <f>'2B'!D26*1000/'4F'!D13/52</f>
        <v>41.578718311391576</v>
      </c>
      <c r="E13" s="361">
        <f>'2B'!E26*1000/'4F'!E13/52</f>
        <v>38.70283313225444</v>
      </c>
      <c r="F13" s="17">
        <f>'2B'!F26*1000/'4F'!F13/52</f>
        <v>36.751227495908346</v>
      </c>
      <c r="G13" s="17">
        <f>'2B'!G26*1000/'4F'!G13/52</f>
        <v>39.516076858381318</v>
      </c>
      <c r="H13" s="17">
        <f>'2B'!H26*1000/'4F'!H13/52</f>
        <v>39.308266360505165</v>
      </c>
      <c r="I13" s="361">
        <f>'2B'!I26*1000/'4F'!I13/52</f>
        <v>37.26209028434203</v>
      </c>
      <c r="J13" s="361">
        <f>'2B'!J26*1000/'4F'!J13/52</f>
        <v>38.362086462350312</v>
      </c>
      <c r="K13" s="361">
        <f>'2B'!K26*1000/'4F'!K13/52</f>
        <v>36.75700359732344</v>
      </c>
      <c r="M13" s="3">
        <v>2005</v>
      </c>
      <c r="N13" s="3">
        <f t="shared" si="1"/>
        <v>-1.1428558806522382</v>
      </c>
      <c r="O13" s="3">
        <f t="shared" si="1"/>
        <v>-3.6844701997826856</v>
      </c>
      <c r="P13" s="3">
        <f t="shared" si="1"/>
        <v>-0.68115774229631221</v>
      </c>
      <c r="Q13" s="3">
        <f t="shared" si="1"/>
        <v>-3.332606204831412</v>
      </c>
      <c r="R13" s="3">
        <f t="shared" si="0"/>
        <v>-4.7545650329216427</v>
      </c>
      <c r="S13" s="3">
        <f t="shared" si="0"/>
        <v>-6.8177800909201665</v>
      </c>
      <c r="T13" s="3">
        <f t="shared" si="0"/>
        <v>-3.487134214421117</v>
      </c>
    </row>
    <row r="14" spans="1:20">
      <c r="A14" s="115">
        <v>2007</v>
      </c>
      <c r="B14" s="17">
        <f>'2B'!B27*1000/'4F'!B14/52</f>
        <v>33.488382659611915</v>
      </c>
      <c r="C14" s="17">
        <f>'2B'!C27*1000/'4F'!C14/52</f>
        <v>37.91166150396986</v>
      </c>
      <c r="D14" s="17">
        <f>'2B'!D27*1000/'4F'!D14/52</f>
        <v>40.42263337979977</v>
      </c>
      <c r="E14" s="17">
        <f>'2B'!E27*1000/'4F'!E14/52</f>
        <v>37.796531072567475</v>
      </c>
      <c r="F14" s="17">
        <f>'2B'!F27*1000/'4F'!F14/52</f>
        <v>37.260672484946888</v>
      </c>
      <c r="G14" s="17">
        <f>'2B'!G27*1000/'4F'!G14/52</f>
        <v>36.459968602825747</v>
      </c>
      <c r="H14" s="17">
        <f>'2B'!H27*1000/'4F'!H14/52</f>
        <v>38.473778696550973</v>
      </c>
      <c r="I14" s="17">
        <f>'2B'!I27*1000/'4F'!I14/52</f>
        <v>37.455795399892494</v>
      </c>
      <c r="J14" s="17">
        <f>'2B'!J27*1000/'4F'!J14/52</f>
        <v>38.294901819491983</v>
      </c>
      <c r="K14" s="17">
        <f>'2B'!K27*1000/'4F'!K14/52</f>
        <v>37.07156114662817</v>
      </c>
      <c r="M14" s="3">
        <v>2006</v>
      </c>
      <c r="N14" s="3">
        <f t="shared" si="1"/>
        <v>-0.38269255870567731</v>
      </c>
      <c r="O14" s="3">
        <f t="shared" si="1"/>
        <v>2.408160106741386</v>
      </c>
      <c r="P14" s="3">
        <f t="shared" si="1"/>
        <v>2.1327838998589144</v>
      </c>
      <c r="Q14" s="3">
        <f t="shared" si="1"/>
        <v>2.341911655517781</v>
      </c>
      <c r="R14" s="3">
        <f t="shared" si="0"/>
        <v>2.4737726058712051</v>
      </c>
      <c r="S14" s="3">
        <f t="shared" si="0"/>
        <v>5.9247776894765458</v>
      </c>
      <c r="T14" s="3">
        <f t="shared" si="0"/>
        <v>0.87755431709877207</v>
      </c>
    </row>
    <row r="15" spans="1:20">
      <c r="A15" s="115">
        <v>2008</v>
      </c>
      <c r="B15" s="17">
        <f>'2B'!B28*1000/'4F'!B15/52</f>
        <v>33.319778514294811</v>
      </c>
      <c r="C15" s="17">
        <f>'2B'!C28*1000/'4F'!C15/52</f>
        <v>38.033420798232285</v>
      </c>
      <c r="D15" s="17">
        <f>'2B'!D28*1000/'4F'!D15/52</f>
        <v>39.621436256051645</v>
      </c>
      <c r="E15" s="17">
        <f>'2B'!E28*1000/'4F'!E15/52</f>
        <v>37.690041146523463</v>
      </c>
      <c r="F15" s="17">
        <f>'2B'!F28*1000/'4F'!F15/52</f>
        <v>37.141608391608386</v>
      </c>
      <c r="G15" s="17">
        <f>'2B'!G28*1000/'4F'!G15/52</f>
        <v>37.96419098143236</v>
      </c>
      <c r="H15" s="17">
        <f>'2B'!H28*1000/'4F'!H15/52</f>
        <v>37.785633484162894</v>
      </c>
      <c r="I15" s="17">
        <f>'2B'!I28*1000/'4F'!I15/52</f>
        <v>37.973405150648041</v>
      </c>
      <c r="J15" s="17">
        <f>'2B'!J28*1000/'4F'!J15/52</f>
        <v>36.426942902458364</v>
      </c>
      <c r="K15" s="17">
        <f>'2B'!K28*1000/'4F'!K15/52</f>
        <v>38.664084117321529</v>
      </c>
      <c r="M15" s="3">
        <v>2007</v>
      </c>
      <c r="N15" s="3">
        <f t="shared" si="1"/>
        <v>-0.42922038247295013</v>
      </c>
      <c r="O15" s="3">
        <f t="shared" si="1"/>
        <v>-1.1372724228090658</v>
      </c>
      <c r="P15" s="3">
        <f t="shared" si="1"/>
        <v>-2.7804727479419866</v>
      </c>
      <c r="Q15" s="3">
        <f t="shared" si="1"/>
        <v>-2.3416943575938487</v>
      </c>
      <c r="R15" s="3">
        <f t="shared" si="0"/>
        <v>0.51984500620423368</v>
      </c>
      <c r="S15" s="3">
        <f t="shared" si="0"/>
        <v>-0.17513292173059192</v>
      </c>
      <c r="T15" s="3">
        <f t="shared" si="0"/>
        <v>0.8557758209856825</v>
      </c>
    </row>
    <row r="16" spans="1:20">
      <c r="A16" s="115">
        <v>2009</v>
      </c>
      <c r="B16" s="17">
        <f>'2B'!B29*1000/'4F'!B16/52</f>
        <v>32.708743376307261</v>
      </c>
      <c r="C16" s="17">
        <f>'2B'!C29*1000/'4F'!C16/52</f>
        <v>35.989190548014079</v>
      </c>
      <c r="D16" s="17">
        <f>'2B'!D29*1000/'4F'!D16/52</f>
        <v>39.444494544142842</v>
      </c>
      <c r="E16" s="17">
        <f>'2B'!E29*1000/'4F'!E16/52</f>
        <v>35.586237731269563</v>
      </c>
      <c r="F16" s="17">
        <f>'2B'!F29*1000/'4F'!F16/52</f>
        <v>33.896807633407938</v>
      </c>
      <c r="G16" s="17">
        <f>'2B'!G29*1000/'4F'!G16/52</f>
        <v>36.240520043336943</v>
      </c>
      <c r="H16" s="17">
        <f>'2B'!H29*1000/'4F'!H16/52</f>
        <v>35.870085470085471</v>
      </c>
      <c r="I16" s="17">
        <f>'2B'!I29*1000/'4F'!I16/52</f>
        <v>35.672791357984401</v>
      </c>
      <c r="J16" s="17">
        <f>'2B'!J29*1000/'4F'!J16/52</f>
        <v>35.47040320274521</v>
      </c>
      <c r="K16" s="17">
        <f>'2B'!K29*1000/'4F'!K16/52</f>
        <v>35.753590428568167</v>
      </c>
      <c r="M16" s="3">
        <v>2008</v>
      </c>
      <c r="N16" s="3">
        <f t="shared" si="1"/>
        <v>-0.50347055285069331</v>
      </c>
      <c r="O16" s="3">
        <f t="shared" si="1"/>
        <v>0.32116580870420464</v>
      </c>
      <c r="P16" s="3">
        <f t="shared" si="1"/>
        <v>-1.9820507887754357</v>
      </c>
      <c r="Q16" s="3">
        <f t="shared" si="1"/>
        <v>-0.2817452369889617</v>
      </c>
      <c r="R16" s="3">
        <f t="shared" si="0"/>
        <v>1.3819216632015019</v>
      </c>
      <c r="S16" s="3">
        <f t="shared" si="0"/>
        <v>-4.8778266251692903</v>
      </c>
      <c r="T16" s="3">
        <f t="shared" si="0"/>
        <v>4.2958076796240086</v>
      </c>
    </row>
    <row r="17" spans="1:20">
      <c r="A17" s="115">
        <v>2010</v>
      </c>
      <c r="B17" s="17">
        <f>'2B'!B30*1000/'4F'!B17/52</f>
        <v>32.77796252611013</v>
      </c>
      <c r="C17" s="17">
        <f>'2B'!C30*1000/'4F'!C17/52</f>
        <v>36.713049822805921</v>
      </c>
      <c r="D17" s="17">
        <f>'2B'!D30*1000/'4F'!D17/52</f>
        <v>39.034178014248354</v>
      </c>
      <c r="E17" s="17">
        <f>'2B'!E30*1000/'4F'!E17/52</f>
        <v>37.473594366798253</v>
      </c>
      <c r="F17" s="17">
        <f>'2B'!F30*1000/'4F'!F17/52</f>
        <v>37.284144427001571</v>
      </c>
      <c r="G17" s="17">
        <f>'2B'!G30*1000/'4F'!G17/52</f>
        <v>36.92307692307692</v>
      </c>
      <c r="H17" s="17">
        <f>'2B'!H30*1000/'4F'!H17/52</f>
        <v>37.711154544185398</v>
      </c>
      <c r="I17" s="17">
        <f>'2B'!I30*1000/'4F'!I17/52</f>
        <v>35.639451498933084</v>
      </c>
      <c r="J17" s="17">
        <f>'2B'!J30*1000/'4F'!J17/52</f>
        <v>37.281067556296918</v>
      </c>
      <c r="K17" s="17">
        <f>'2B'!K30*1000/'4F'!K17/52</f>
        <v>35.024166205785463</v>
      </c>
      <c r="M17" s="3">
        <v>2009</v>
      </c>
      <c r="N17" s="3">
        <f t="shared" si="1"/>
        <v>-1.8338511395728618</v>
      </c>
      <c r="O17" s="3">
        <f t="shared" si="1"/>
        <v>-5.3748261589796726</v>
      </c>
      <c r="P17" s="3">
        <f t="shared" si="1"/>
        <v>-0.44658076190202678</v>
      </c>
      <c r="Q17" s="3">
        <f t="shared" si="1"/>
        <v>-5.5818549177889532</v>
      </c>
      <c r="R17" s="3">
        <f t="shared" si="0"/>
        <v>-6.0584869424710526</v>
      </c>
      <c r="S17" s="3">
        <f t="shared" si="0"/>
        <v>-2.6259126445897785</v>
      </c>
      <c r="T17" s="3">
        <f t="shared" si="0"/>
        <v>-7.5276416219295932</v>
      </c>
    </row>
    <row r="18" spans="1:20">
      <c r="A18" s="115">
        <v>2011</v>
      </c>
      <c r="B18" s="17">
        <f>'2B'!B31*1000/'4F'!B18/52</f>
        <v>32.672444214320507</v>
      </c>
      <c r="C18" s="17">
        <f>'2B'!C31*1000/'4F'!C18/52</f>
        <v>37.787908294237404</v>
      </c>
      <c r="D18" s="17">
        <f>'2B'!D31*1000/'4F'!D18/52</f>
        <v>39.752889597449183</v>
      </c>
      <c r="E18" s="17">
        <f>'2B'!E31*1000/'4F'!E18/52</f>
        <v>37.937883712531601</v>
      </c>
      <c r="F18" s="17">
        <f>'2B'!F31*1000/'4F'!F18/52</f>
        <v>38.096041385515072</v>
      </c>
      <c r="G18" s="17">
        <f>'2B'!G31*1000/'4F'!G18/52</f>
        <v>37.9895394820768</v>
      </c>
      <c r="H18" s="17">
        <f>'2B'!H31*1000/'4F'!H18/52</f>
        <v>37.87219381278787</v>
      </c>
      <c r="I18" s="17">
        <f>'2B'!I31*1000/'4F'!I18/52</f>
        <v>37.230270308797067</v>
      </c>
      <c r="J18" s="17">
        <f>'2B'!J31*1000/'4F'!J18/52</f>
        <v>37.777847152847151</v>
      </c>
      <c r="K18" s="17">
        <f>'2B'!K31*1000/'4F'!K18/52</f>
        <v>37.01159456426879</v>
      </c>
      <c r="M18" s="3">
        <v>2010</v>
      </c>
      <c r="N18" s="3">
        <f t="shared" si="1"/>
        <v>0.21162277317265943</v>
      </c>
      <c r="O18" s="3">
        <f t="shared" si="1"/>
        <v>2.0113241330785847</v>
      </c>
      <c r="P18" s="3">
        <f t="shared" si="1"/>
        <v>-1.0402377686328235</v>
      </c>
      <c r="Q18" s="3">
        <f t="shared" si="1"/>
        <v>5.3036138570790037</v>
      </c>
      <c r="R18" s="3">
        <f t="shared" si="0"/>
        <v>-9.3460191317085162E-2</v>
      </c>
      <c r="S18" s="3">
        <f t="shared" si="0"/>
        <v>5.104718836157951</v>
      </c>
      <c r="T18" s="3">
        <f t="shared" si="0"/>
        <v>-2.0401425815961494</v>
      </c>
    </row>
    <row r="19" spans="1:20">
      <c r="A19" s="115">
        <v>2012</v>
      </c>
      <c r="B19" s="17">
        <f>'2B'!B32*1000/'4F'!B19/52</f>
        <v>32.940565946575774</v>
      </c>
      <c r="C19" s="17">
        <f>'2B'!C32*1000/'4F'!C19/52</f>
        <v>37.244572466990164</v>
      </c>
      <c r="D19" s="17">
        <f>'2B'!D32*1000/'4F'!D19/52</f>
        <v>39.850041655095808</v>
      </c>
      <c r="E19" s="17">
        <f>'2B'!E32*1000/'4F'!E19/52</f>
        <v>37.237762237762233</v>
      </c>
      <c r="F19" s="17">
        <f>'2B'!F32*1000/'4F'!F19/52</f>
        <v>38.1077648766328</v>
      </c>
      <c r="G19" s="17">
        <f>'2B'!G32*1000/'4F'!G19/52</f>
        <v>38.41674132855497</v>
      </c>
      <c r="H19" s="17">
        <f>'2B'!H32*1000/'4F'!H19/52</f>
        <v>36.724447539121194</v>
      </c>
      <c r="I19" s="17">
        <f>'2B'!I32*1000/'4F'!I19/52</f>
        <v>36.709006706508582</v>
      </c>
      <c r="J19" s="17">
        <f>'2B'!J32*1000/'4F'!J19/52</f>
        <v>37.516751541141787</v>
      </c>
      <c r="K19" s="17">
        <f>'2B'!K32*1000/'4F'!K19/52</f>
        <v>36.384211235349589</v>
      </c>
      <c r="M19" s="3">
        <v>2011</v>
      </c>
      <c r="N19" s="3">
        <f t="shared" si="1"/>
        <v>-0.32191845879856462</v>
      </c>
      <c r="O19" s="3">
        <f t="shared" si="1"/>
        <v>2.9277286322417995</v>
      </c>
      <c r="P19" s="3">
        <f t="shared" si="1"/>
        <v>1.8412366284195514</v>
      </c>
      <c r="Q19" s="3">
        <f t="shared" si="1"/>
        <v>1.2389773481262578</v>
      </c>
      <c r="R19" s="3">
        <f t="shared" si="0"/>
        <v>4.4636456032764782</v>
      </c>
      <c r="S19" s="3">
        <f t="shared" si="0"/>
        <v>1.3325251370553293</v>
      </c>
      <c r="T19" s="3">
        <f t="shared" si="0"/>
        <v>5.6744487414950529</v>
      </c>
    </row>
    <row r="20" spans="1:20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M20" s="3">
        <v>2012</v>
      </c>
      <c r="N20" s="3">
        <f t="shared" si="1"/>
        <v>0.82063567236192458</v>
      </c>
      <c r="O20" s="3">
        <f t="shared" si="1"/>
        <v>-1.4378563190545757</v>
      </c>
      <c r="P20" s="3">
        <f t="shared" si="1"/>
        <v>0.24438992644413293</v>
      </c>
      <c r="Q20" s="3">
        <f t="shared" si="1"/>
        <v>-1.8454415646229183</v>
      </c>
      <c r="R20" s="3">
        <f t="shared" si="0"/>
        <v>-1.4001069505136465</v>
      </c>
      <c r="S20" s="3">
        <f t="shared" si="0"/>
        <v>-0.69113417355146645</v>
      </c>
      <c r="T20" s="3">
        <f t="shared" si="0"/>
        <v>-1.6950994311519918</v>
      </c>
    </row>
    <row r="21" spans="1:20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</row>
    <row r="22" spans="1:20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3" t="s">
        <v>27</v>
      </c>
    </row>
    <row r="24" spans="1:20" ht="30">
      <c r="A24" s="115" t="s">
        <v>19</v>
      </c>
      <c r="B24" s="7">
        <f>((B7/B4)^(1/3)-1)*100</f>
        <v>8.4276374536962351E-2</v>
      </c>
      <c r="C24" s="7">
        <f t="shared" ref="C24:K24" si="2">((C7/C4)^(1/3)-1)*100</f>
        <v>0.11409128275938762</v>
      </c>
      <c r="D24" s="7">
        <f t="shared" si="2"/>
        <v>2.7800636092187192</v>
      </c>
      <c r="E24" s="7">
        <f t="shared" si="2"/>
        <v>-0.58302869849310435</v>
      </c>
      <c r="F24" s="7">
        <f t="shared" ref="F24:H24" si="3">((F7/F4)^(1/3)-1)*100</f>
        <v>-2.1399008343289339</v>
      </c>
      <c r="G24" s="7">
        <f t="shared" si="3"/>
        <v>-0.26755863950049807</v>
      </c>
      <c r="H24" s="7">
        <f t="shared" si="3"/>
        <v>-4.5540109423836128E-2</v>
      </c>
      <c r="I24" s="7">
        <f t="shared" si="2"/>
        <v>-3.4949085420277193E-2</v>
      </c>
      <c r="J24" s="7">
        <f t="shared" si="2"/>
        <v>-0.19974765269530348</v>
      </c>
      <c r="K24" s="7">
        <f t="shared" si="2"/>
        <v>2.7050471283684985E-2</v>
      </c>
      <c r="M24" s="3">
        <v>1998</v>
      </c>
      <c r="N24" s="3">
        <f t="shared" ref="N24:N25" si="4">B5/$B$7</f>
        <v>0.99816933159235266</v>
      </c>
      <c r="O24" s="3">
        <f>C5/$C$7</f>
        <v>1.0074750262486629</v>
      </c>
      <c r="P24" s="3">
        <f t="shared" ref="P24:P26" si="5">D5/$D$7</f>
        <v>0.96957229935895639</v>
      </c>
      <c r="Q24" s="3">
        <f t="shared" ref="Q24:Q25" si="6">E5/$E$7</f>
        <v>1.0070524478138065</v>
      </c>
      <c r="R24" s="3">
        <f t="shared" ref="R24:R25" si="7">I5/$I$7</f>
        <v>1.0211600812031594</v>
      </c>
      <c r="S24" s="3">
        <f t="shared" ref="S24:S25" si="8">J5/$J$7</f>
        <v>1.0071669958612846</v>
      </c>
      <c r="T24" s="3">
        <f t="shared" ref="T24:T25" si="9">K5/$K$7</f>
        <v>1.0349565787087553</v>
      </c>
    </row>
    <row r="25" spans="1:20" ht="30">
      <c r="A25" s="325" t="s">
        <v>68</v>
      </c>
      <c r="B25" s="7">
        <f>((B14/B7)^(1/7)-1)*100</f>
        <v>-0.43409007771958441</v>
      </c>
      <c r="C25" s="7">
        <f t="shared" ref="C25:K25" si="10">((C14/C7)^(1/7)-1)*100</f>
        <v>-3.7789505874974427E-2</v>
      </c>
      <c r="D25" s="7">
        <f t="shared" si="10"/>
        <v>-0.83296787655616766</v>
      </c>
      <c r="E25" s="7">
        <f t="shared" si="10"/>
        <v>-2.3642942278501167E-2</v>
      </c>
      <c r="F25" s="7">
        <f t="shared" ref="F25:H25" si="11">((F14/F7)^(1/7)-1)*100</f>
        <v>0.72597933776890056</v>
      </c>
      <c r="G25" s="7">
        <f t="shared" si="11"/>
        <v>-1.1126654507787492</v>
      </c>
      <c r="H25" s="7">
        <f t="shared" si="11"/>
        <v>3.2154322849309303E-2</v>
      </c>
      <c r="I25" s="7">
        <f t="shared" si="10"/>
        <v>0.24459495304058887</v>
      </c>
      <c r="J25" s="7">
        <f t="shared" si="10"/>
        <v>0.77904094979359684</v>
      </c>
      <c r="K25" s="7">
        <f t="shared" si="10"/>
        <v>-7.4216702086438158E-2</v>
      </c>
      <c r="M25" s="3">
        <v>1999</v>
      </c>
      <c r="N25" s="3">
        <f t="shared" si="4"/>
        <v>1.0017522200823485</v>
      </c>
      <c r="O25" s="3">
        <f t="shared" ref="O25:O26" si="12">C6/$C$7</f>
        <v>1.0081706558220822</v>
      </c>
      <c r="P25" s="3">
        <f t="shared" si="5"/>
        <v>0.94211511116500046</v>
      </c>
      <c r="Q25" s="3">
        <f t="shared" si="6"/>
        <v>1.0098933786288835</v>
      </c>
      <c r="R25" s="3">
        <f t="shared" si="7"/>
        <v>1.028329645120013</v>
      </c>
      <c r="S25" s="3">
        <f t="shared" si="8"/>
        <v>1.026615063544918</v>
      </c>
      <c r="T25" s="3">
        <f t="shared" si="9"/>
        <v>1.0318767851406936</v>
      </c>
    </row>
    <row r="26" spans="1:20" ht="30">
      <c r="A26" s="130" t="s">
        <v>70</v>
      </c>
      <c r="B26" s="7">
        <f>((B19/B14)^(1/5)-1)*100</f>
        <v>-0.32933024776874431</v>
      </c>
      <c r="C26" s="7">
        <f t="shared" ref="C26:K26" si="13">((C19/C14)^(1/5)-1)*100</f>
        <v>-0.35442099150497786</v>
      </c>
      <c r="D26" s="7">
        <f t="shared" si="13"/>
        <v>-0.28492152070307419</v>
      </c>
      <c r="E26" s="7">
        <f t="shared" si="13"/>
        <v>-0.29743613025194904</v>
      </c>
      <c r="F26" s="7">
        <f t="shared" ref="F26:H26" si="14">((F19/F14)^(1/5)-1)*100</f>
        <v>0.45060519473607563</v>
      </c>
      <c r="G26" s="7">
        <f t="shared" si="14"/>
        <v>1.0510537400534092</v>
      </c>
      <c r="H26" s="7">
        <f t="shared" si="14"/>
        <v>-0.92636768366703981</v>
      </c>
      <c r="I26" s="7">
        <f t="shared" si="13"/>
        <v>-0.4019760849581111</v>
      </c>
      <c r="J26" s="7">
        <f t="shared" si="13"/>
        <v>-0.40974294483554496</v>
      </c>
      <c r="K26" s="7">
        <f t="shared" si="13"/>
        <v>-0.3736044849314446</v>
      </c>
      <c r="M26" s="3">
        <v>2000</v>
      </c>
      <c r="N26" s="3">
        <f>B7/$B$7</f>
        <v>1</v>
      </c>
      <c r="O26" s="3">
        <f t="shared" si="12"/>
        <v>1</v>
      </c>
      <c r="P26" s="3">
        <f t="shared" si="5"/>
        <v>1</v>
      </c>
      <c r="Q26" s="3">
        <f>E7/$E$7</f>
        <v>1</v>
      </c>
      <c r="R26" s="3">
        <f>I7/$I$7</f>
        <v>1</v>
      </c>
      <c r="S26" s="3">
        <f>J7/$J$7</f>
        <v>1</v>
      </c>
      <c r="T26" s="3">
        <f>K7/$K$7</f>
        <v>1</v>
      </c>
    </row>
    <row r="27" spans="1:20" ht="30">
      <c r="A27" s="325" t="s">
        <v>523</v>
      </c>
      <c r="B27" s="7">
        <f>((B19/B7)^(1/12)-1)*100</f>
        <v>-0.3904535365020223</v>
      </c>
      <c r="C27" s="7">
        <f t="shared" ref="C27:K27" si="15">((C19/C7)^(1/12)-1)*100</f>
        <v>-0.16984138006906901</v>
      </c>
      <c r="D27" s="7">
        <f t="shared" si="15"/>
        <v>-0.60498223901362946</v>
      </c>
      <c r="E27" s="7">
        <f t="shared" si="15"/>
        <v>-0.13781469126443735</v>
      </c>
      <c r="F27" s="7">
        <f t="shared" ref="F27:H27" si="16">((F19/F7)^(1/12)-1)*100</f>
        <v>0.61114848783827558</v>
      </c>
      <c r="G27" s="7">
        <f t="shared" si="16"/>
        <v>-0.21680382999978987</v>
      </c>
      <c r="H27" s="7">
        <f t="shared" si="16"/>
        <v>-0.36835172167203334</v>
      </c>
      <c r="I27" s="7">
        <f t="shared" si="15"/>
        <v>-2.5318190830536658E-2</v>
      </c>
      <c r="J27" s="7">
        <f t="shared" si="15"/>
        <v>0.28199947290163951</v>
      </c>
      <c r="K27" s="7">
        <f t="shared" si="15"/>
        <v>-0.1990707942649883</v>
      </c>
    </row>
    <row r="28" spans="1:20">
      <c r="A28" s="130"/>
      <c r="B28" s="7"/>
      <c r="C28" s="7"/>
      <c r="D28" s="7"/>
      <c r="E28" s="7"/>
      <c r="F28" s="11"/>
      <c r="G28" s="11"/>
      <c r="H28" s="11"/>
      <c r="I28" s="7"/>
      <c r="J28" s="7"/>
      <c r="K28" s="7"/>
    </row>
    <row r="29" spans="1:20">
      <c r="A29" s="231" t="s">
        <v>144</v>
      </c>
      <c r="M29" s="3">
        <v>2002</v>
      </c>
      <c r="N29" s="3">
        <f t="shared" ref="N29:N39" si="17">B9/$B$7</f>
        <v>0.98840658647186164</v>
      </c>
      <c r="O29" s="3">
        <f t="shared" ref="O29:O39" si="18">C9/$C$7</f>
        <v>1.0228629110249485</v>
      </c>
      <c r="P29" s="3">
        <f t="shared" ref="P29:P39" si="19">D9/$D$7</f>
        <v>0.96070120275411164</v>
      </c>
      <c r="Q29" s="3">
        <f t="shared" ref="Q29:Q39" si="20">E9/$E$7</f>
        <v>1.0281505742999955</v>
      </c>
      <c r="R29" s="3">
        <f t="shared" ref="R29:R39" si="21">I9/$I$7</f>
        <v>1.0400496114099091</v>
      </c>
      <c r="S29" s="3">
        <f t="shared" ref="S29:S39" si="22">J9/$J$7</f>
        <v>1.0696564111414477</v>
      </c>
      <c r="T29" s="3">
        <f t="shared" ref="T29:T39" si="23">K9/$K$7</f>
        <v>1.0187367070931059</v>
      </c>
    </row>
    <row r="30" spans="1:20">
      <c r="A30" s="234" t="s">
        <v>321</v>
      </c>
      <c r="M30" s="3">
        <v>2003</v>
      </c>
      <c r="N30" s="3">
        <f t="shared" si="17"/>
        <v>0.97242961331735078</v>
      </c>
      <c r="O30" s="3">
        <f t="shared" si="18"/>
        <v>0.99275861975017565</v>
      </c>
      <c r="P30" s="3">
        <f t="shared" si="19"/>
        <v>0.99190907300859221</v>
      </c>
      <c r="Q30" s="3">
        <f t="shared" si="20"/>
        <v>0.99875237804559158</v>
      </c>
      <c r="R30" s="3">
        <f t="shared" si="21"/>
        <v>0.99353056741549661</v>
      </c>
      <c r="S30" s="3">
        <f t="shared" si="22"/>
        <v>1.0206424541374841</v>
      </c>
      <c r="T30" s="3">
        <f t="shared" si="23"/>
        <v>0.97463544238992317</v>
      </c>
    </row>
    <row r="31" spans="1:20">
      <c r="M31" s="3">
        <v>2004</v>
      </c>
      <c r="N31" s="3">
        <f t="shared" si="17"/>
        <v>0.98923597773716609</v>
      </c>
      <c r="O31" s="3">
        <f t="shared" si="18"/>
        <v>1.0227923922387099</v>
      </c>
      <c r="P31" s="3">
        <f t="shared" si="19"/>
        <v>0.95635886433135897</v>
      </c>
      <c r="Q31" s="3">
        <f t="shared" si="20"/>
        <v>1.0333285651474524</v>
      </c>
      <c r="R31" s="3">
        <f t="shared" si="21"/>
        <v>1.0368550630310067</v>
      </c>
      <c r="S31" s="3">
        <f t="shared" si="22"/>
        <v>1.0715740641028182</v>
      </c>
      <c r="T31" s="3">
        <f t="shared" si="23"/>
        <v>1.0131235216630805</v>
      </c>
    </row>
    <row r="32" spans="1:20">
      <c r="M32" s="3">
        <v>2005</v>
      </c>
      <c r="N32" s="3">
        <f t="shared" si="17"/>
        <v>0.97793043619206932</v>
      </c>
      <c r="O32" s="3">
        <f t="shared" si="18"/>
        <v>0.98510791134103026</v>
      </c>
      <c r="P32" s="3">
        <f t="shared" si="19"/>
        <v>0.9498445518828289</v>
      </c>
      <c r="Q32" s="3">
        <f t="shared" si="20"/>
        <v>0.99889179326905309</v>
      </c>
      <c r="R32" s="3">
        <f t="shared" si="21"/>
        <v>0.98755711476205676</v>
      </c>
      <c r="S32" s="3">
        <f t="shared" si="22"/>
        <v>0.99851650090095223</v>
      </c>
      <c r="T32" s="3">
        <f t="shared" si="23"/>
        <v>0.97779454470481908</v>
      </c>
    </row>
    <row r="33" spans="13:20">
      <c r="M33" s="3">
        <v>2006</v>
      </c>
      <c r="N33" s="3">
        <f t="shared" si="17"/>
        <v>0.97418796918344419</v>
      </c>
      <c r="O33" s="3">
        <f t="shared" si="18"/>
        <v>1.0088308870702982</v>
      </c>
      <c r="P33" s="3">
        <f t="shared" si="19"/>
        <v>0.97010268355907303</v>
      </c>
      <c r="Q33" s="3">
        <f t="shared" si="20"/>
        <v>1.0222849566016314</v>
      </c>
      <c r="R33" s="3">
        <f t="shared" si="21"/>
        <v>1.0119870321343725</v>
      </c>
      <c r="S33" s="3">
        <f t="shared" si="22"/>
        <v>1.0576763837720737</v>
      </c>
      <c r="T33" s="3">
        <f t="shared" si="23"/>
        <v>0.98637522294423252</v>
      </c>
    </row>
    <row r="34" spans="13:20">
      <c r="M34" s="3">
        <v>2007</v>
      </c>
      <c r="N34" s="3">
        <f t="shared" si="17"/>
        <v>0.97000655585610951</v>
      </c>
      <c r="O34" s="3">
        <f t="shared" si="18"/>
        <v>0.99735773159886765</v>
      </c>
      <c r="P34" s="3">
        <f t="shared" si="19"/>
        <v>0.94312924281565913</v>
      </c>
      <c r="Q34" s="3">
        <f t="shared" si="20"/>
        <v>0.99834616745436044</v>
      </c>
      <c r="R34" s="3">
        <f t="shared" si="21"/>
        <v>1.0172477961843576</v>
      </c>
      <c r="S34" s="3">
        <f t="shared" si="22"/>
        <v>1.0558240442187192</v>
      </c>
      <c r="T34" s="3">
        <f t="shared" si="23"/>
        <v>0.99481638360638291</v>
      </c>
    </row>
    <row r="35" spans="13:20">
      <c r="M35" s="3">
        <v>2008</v>
      </c>
      <c r="N35" s="3">
        <f t="shared" si="17"/>
        <v>0.9651228584866528</v>
      </c>
      <c r="O35" s="3">
        <f t="shared" si="18"/>
        <v>1.000560903623231</v>
      </c>
      <c r="P35" s="3">
        <f t="shared" si="19"/>
        <v>0.92443594221925951</v>
      </c>
      <c r="Q35" s="3">
        <f t="shared" si="20"/>
        <v>0.99553337467889591</v>
      </c>
      <c r="R35" s="3">
        <f t="shared" si="21"/>
        <v>1.031305363848269</v>
      </c>
      <c r="S35" s="3">
        <f t="shared" si="22"/>
        <v>1.0043227778748793</v>
      </c>
      <c r="T35" s="3">
        <f t="shared" si="23"/>
        <v>1.0375517822115037</v>
      </c>
    </row>
    <row r="36" spans="13:20">
      <c r="M36" s="3">
        <v>2009</v>
      </c>
      <c r="N36" s="3">
        <f t="shared" si="17"/>
        <v>0.94742394194801716</v>
      </c>
      <c r="O36" s="3">
        <f t="shared" si="18"/>
        <v>0.94678249443876628</v>
      </c>
      <c r="P36" s="3">
        <f t="shared" si="19"/>
        <v>0.9203075891452005</v>
      </c>
      <c r="Q36" s="3">
        <f t="shared" si="20"/>
        <v>0.93996414604615164</v>
      </c>
      <c r="R36" s="3">
        <f t="shared" si="21"/>
        <v>0.96882386304251811</v>
      </c>
      <c r="S36" s="3">
        <f t="shared" si="22"/>
        <v>0.97795013905816752</v>
      </c>
      <c r="T36" s="3">
        <f t="shared" si="23"/>
        <v>0.95944860240467822</v>
      </c>
    </row>
    <row r="37" spans="13:20">
      <c r="M37" s="3">
        <v>2010</v>
      </c>
      <c r="N37" s="3">
        <f t="shared" si="17"/>
        <v>0.94942890676766922</v>
      </c>
      <c r="O37" s="3">
        <f t="shared" si="18"/>
        <v>0.9658253592371765</v>
      </c>
      <c r="P37" s="3">
        <f t="shared" si="19"/>
        <v>0.91073420201531796</v>
      </c>
      <c r="Q37" s="3">
        <f t="shared" si="20"/>
        <v>0.98981621474742965</v>
      </c>
      <c r="R37" s="3">
        <f t="shared" si="21"/>
        <v>0.96791839840659299</v>
      </c>
      <c r="S37" s="3">
        <f t="shared" si="22"/>
        <v>1.0278717440149026</v>
      </c>
      <c r="T37" s="3">
        <f t="shared" si="23"/>
        <v>0.93987448291849129</v>
      </c>
    </row>
    <row r="38" spans="13:20">
      <c r="M38" s="3">
        <v>2011</v>
      </c>
      <c r="N38" s="3">
        <f t="shared" si="17"/>
        <v>0.9463725198636147</v>
      </c>
      <c r="O38" s="3">
        <f t="shared" si="18"/>
        <v>0.99410210481701544</v>
      </c>
      <c r="P38" s="3">
        <f t="shared" si="19"/>
        <v>0.92750297373036839</v>
      </c>
      <c r="Q38" s="3">
        <f t="shared" si="20"/>
        <v>1.002079813436231</v>
      </c>
      <c r="R38" s="3">
        <f t="shared" si="21"/>
        <v>1.0111228454403731</v>
      </c>
      <c r="S38" s="3">
        <f t="shared" si="22"/>
        <v>1.0415683933805902</v>
      </c>
      <c r="T38" s="3">
        <f t="shared" si="23"/>
        <v>0.99320717868609276</v>
      </c>
    </row>
    <row r="39" spans="13:20">
      <c r="M39" s="3">
        <v>2012</v>
      </c>
      <c r="N39" s="3">
        <f t="shared" si="17"/>
        <v>0.95413879035504612</v>
      </c>
      <c r="O39" s="3">
        <f t="shared" si="18"/>
        <v>0.97980834488504942</v>
      </c>
      <c r="P39" s="3">
        <f t="shared" si="19"/>
        <v>0.92976969756563521</v>
      </c>
      <c r="Q39" s="3">
        <f t="shared" si="20"/>
        <v>0.98358701604838306</v>
      </c>
      <c r="R39" s="3">
        <f t="shared" si="21"/>
        <v>0.99696604420313106</v>
      </c>
      <c r="S39" s="3">
        <f t="shared" si="22"/>
        <v>1.034369758273026</v>
      </c>
      <c r="T39" s="3">
        <f t="shared" si="23"/>
        <v>0.97637132945002403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view="pageBreakPreview" zoomScaleNormal="100" zoomScaleSheetLayoutView="100" workbookViewId="0">
      <selection activeCell="E27" sqref="E27"/>
    </sheetView>
  </sheetViews>
  <sheetFormatPr defaultRowHeight="15"/>
  <cols>
    <col min="6" max="8" width="9.140625" style="41"/>
    <col min="13" max="24" width="0" hidden="1" customWidth="1"/>
  </cols>
  <sheetData>
    <row r="1" spans="1:20" ht="39.75" customHeight="1">
      <c r="A1" s="454" t="s">
        <v>170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8"/>
      <c r="B2" s="18" t="s">
        <v>2</v>
      </c>
      <c r="C2" s="18" t="s">
        <v>8</v>
      </c>
      <c r="D2" s="18" t="s">
        <v>20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5</v>
      </c>
      <c r="J2" s="18" t="s">
        <v>6</v>
      </c>
      <c r="K2" s="18" t="s">
        <v>7</v>
      </c>
    </row>
    <row r="3" spans="1:20">
      <c r="A3" s="18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0">
      <c r="A4" s="18">
        <v>1997</v>
      </c>
      <c r="B4" s="11">
        <f>'1A'!L18*1000/'2A'!B17</f>
        <v>39.343036125030046</v>
      </c>
      <c r="C4" s="11" t="s">
        <v>10</v>
      </c>
      <c r="D4" s="11">
        <f>'1A'!N18*1000/'2A'!D17</f>
        <v>18.200395068455826</v>
      </c>
      <c r="E4" s="11">
        <f>'1A'!O18*1000/'2A'!E17</f>
        <v>28.909083028735715</v>
      </c>
      <c r="F4" s="11">
        <f>'1A'!P18*1000/'2A'!F17</f>
        <v>24.200613228208496</v>
      </c>
      <c r="G4" s="11">
        <f>'1A'!Q18*1000/'2A'!G17</f>
        <v>29.79181622397703</v>
      </c>
      <c r="H4" s="11">
        <f>'1A'!R18*1000/'2A'!H17</f>
        <v>33.279183105128801</v>
      </c>
      <c r="I4" s="11" t="s">
        <v>10</v>
      </c>
      <c r="J4" s="11" t="s">
        <v>10</v>
      </c>
      <c r="K4" s="11" t="s">
        <v>10</v>
      </c>
      <c r="N4" t="s">
        <v>24</v>
      </c>
    </row>
    <row r="5" spans="1:20">
      <c r="A5" s="18">
        <v>1998</v>
      </c>
      <c r="B5" s="11">
        <f>'1A'!L19*1000/'2A'!B18</f>
        <v>39.781645306276623</v>
      </c>
      <c r="C5" s="11">
        <f>'1A'!M19*1000/'2A'!C18</f>
        <v>36.102954504259564</v>
      </c>
      <c r="D5" s="11">
        <f>'1A'!N19*1000/'2A'!D18</f>
        <v>18.603382433169667</v>
      </c>
      <c r="E5" s="11">
        <f>'1A'!O19*1000/'2A'!E18</f>
        <v>31.058226972831253</v>
      </c>
      <c r="F5" s="11">
        <f>'1A'!P19*1000/'2A'!F18</f>
        <v>26.873693639892505</v>
      </c>
      <c r="G5" s="11">
        <f>'1A'!Q19*1000/'2A'!G18</f>
        <v>29.542483660130721</v>
      </c>
      <c r="H5" s="11">
        <f>'1A'!R19*1000/'2A'!H18</f>
        <v>34.306292645943898</v>
      </c>
      <c r="I5" s="11">
        <f>'1A'!S19*1000/'2A'!I18</f>
        <v>50.80826650606992</v>
      </c>
      <c r="J5" s="11">
        <f>'1A'!T19*1000/'2A'!J18</f>
        <v>49.974417074775239</v>
      </c>
      <c r="K5" s="11">
        <f>'1A'!U19*1000/'2A'!K18</f>
        <v>55.062344139650875</v>
      </c>
      <c r="N5" t="s">
        <v>2</v>
      </c>
      <c r="O5" t="s">
        <v>8</v>
      </c>
      <c r="P5" t="s">
        <v>20</v>
      </c>
      <c r="Q5" t="s">
        <v>4</v>
      </c>
      <c r="R5" t="s">
        <v>5</v>
      </c>
      <c r="S5" t="s">
        <v>6</v>
      </c>
      <c r="T5" t="s">
        <v>7</v>
      </c>
    </row>
    <row r="6" spans="1:20">
      <c r="A6" s="18">
        <v>1999</v>
      </c>
      <c r="B6" s="11">
        <f>'1A'!L20*1000/'2A'!B19</f>
        <v>41.000875448974419</v>
      </c>
      <c r="C6" s="11">
        <f>'1A'!M20*1000/'2A'!C19</f>
        <v>36.639948324965495</v>
      </c>
      <c r="D6" s="11">
        <f>'1A'!N20*1000/'2A'!D19</f>
        <v>19.587983817748832</v>
      </c>
      <c r="E6" s="11">
        <f>'1A'!O20*1000/'2A'!E19</f>
        <v>30.38389639944732</v>
      </c>
      <c r="F6" s="11">
        <f>'1A'!P20*1000/'2A'!F19</f>
        <v>23.680548653215386</v>
      </c>
      <c r="G6" s="11">
        <f>'1A'!Q20*1000/'2A'!G19</f>
        <v>33.265862888321749</v>
      </c>
      <c r="H6" s="11">
        <f>'1A'!R20*1000/'2A'!H19</f>
        <v>39.882961962637857</v>
      </c>
      <c r="I6" s="11">
        <f>'1A'!S20*1000/'2A'!I19</f>
        <v>53.784485556637456</v>
      </c>
      <c r="J6" s="11">
        <f>'1A'!T20*1000/'2A'!J19</f>
        <v>53.150650012745345</v>
      </c>
      <c r="K6" s="11">
        <f>'1A'!U20*1000/'2A'!K19</f>
        <v>58.990620812862886</v>
      </c>
      <c r="M6">
        <v>1998</v>
      </c>
      <c r="N6">
        <f>((B5/B4)-1)*100</f>
        <v>1.1148330796146411</v>
      </c>
      <c r="O6" t="e">
        <f>((C5/C4)-1)*100</f>
        <v>#VALUE!</v>
      </c>
      <c r="P6">
        <f>((D5/D4)-1)*100</f>
        <v>2.2141682265583551</v>
      </c>
      <c r="Q6">
        <f>((E5/E4)-1)*100</f>
        <v>7.4341477450505122</v>
      </c>
      <c r="R6" t="e">
        <f t="shared" ref="R6:T21" si="0">((I5/I4)-1)*100</f>
        <v>#VALUE!</v>
      </c>
      <c r="S6" t="e">
        <f t="shared" si="0"/>
        <v>#VALUE!</v>
      </c>
      <c r="T6" t="e">
        <f t="shared" si="0"/>
        <v>#VALUE!</v>
      </c>
    </row>
    <row r="7" spans="1:20">
      <c r="A7" s="18">
        <v>2000</v>
      </c>
      <c r="B7" s="11">
        <f>'1A'!L21*1000/'2A'!B20</f>
        <v>42.412733981433121</v>
      </c>
      <c r="C7" s="11">
        <f>'1A'!M21*1000/'2A'!C20</f>
        <v>37.919936312976233</v>
      </c>
      <c r="D7" s="11">
        <f>'1A'!N21*1000/'2A'!D20</f>
        <v>27.32431665563227</v>
      </c>
      <c r="E7" s="11">
        <f>'1A'!O21*1000/'2A'!E20</f>
        <v>29.718302934958949</v>
      </c>
      <c r="F7" s="11">
        <f>'1A'!P21*1000/'2A'!F20</f>
        <v>24.315885230988616</v>
      </c>
      <c r="G7" s="11">
        <f>'1A'!Q21*1000/'2A'!G20</f>
        <v>33.187699546294738</v>
      </c>
      <c r="H7" s="11">
        <f>'1A'!R21*1000/'2A'!H20</f>
        <v>36.715412136579943</v>
      </c>
      <c r="I7" s="11">
        <f>'1A'!S21*1000/'2A'!I20</f>
        <v>53.906685569555727</v>
      </c>
      <c r="J7" s="11">
        <f>'1A'!T21*1000/'2A'!J20</f>
        <v>56.28431518029381</v>
      </c>
      <c r="K7" s="11">
        <f>'1A'!U21*1000/'2A'!K20</f>
        <v>48.037416640558561</v>
      </c>
      <c r="M7">
        <v>1999</v>
      </c>
      <c r="N7">
        <f t="shared" ref="N7:N21" si="1">((B6/B5)-1)*100</f>
        <v>3.0648057246275506</v>
      </c>
      <c r="O7">
        <f t="shared" ref="O7:O21" si="2">((C6/C5)-1)*100</f>
        <v>1.4873957771034396</v>
      </c>
      <c r="P7">
        <f t="shared" ref="P7:P21" si="3">((D6/D5)-1)*100</f>
        <v>5.2925933663742208</v>
      </c>
      <c r="Q7">
        <f t="shared" ref="Q7:Q21" si="4">((E6/E5)-1)*100</f>
        <v>-2.1711818062692956</v>
      </c>
      <c r="R7">
        <f t="shared" si="0"/>
        <v>5.8577457079980855</v>
      </c>
      <c r="S7">
        <f t="shared" si="0"/>
        <v>6.3557178330216457</v>
      </c>
      <c r="T7">
        <f t="shared" si="0"/>
        <v>7.1342343566939137</v>
      </c>
    </row>
    <row r="8" spans="1:20">
      <c r="A8" s="18">
        <v>2001</v>
      </c>
      <c r="B8" s="11">
        <f>'1A'!L22*1000/'2A'!B21</f>
        <v>43.201632284309817</v>
      </c>
      <c r="C8" s="11">
        <f>'1A'!M22*1000/'2A'!C21</f>
        <v>41.846736806194372</v>
      </c>
      <c r="D8" s="11">
        <f>'1A'!N22*1000/'2A'!D21</f>
        <v>32.184032281308546</v>
      </c>
      <c r="E8" s="11">
        <f>'1A'!O22*1000/'2A'!E21</f>
        <v>33.735717513394874</v>
      </c>
      <c r="F8" s="11">
        <f>'1A'!P22*1000/'2A'!F21</f>
        <v>28.865760970313286</v>
      </c>
      <c r="G8" s="11">
        <f>'1A'!Q22*1000/'2A'!G21</f>
        <v>36.162361623616235</v>
      </c>
      <c r="H8" s="11">
        <f>'1A'!R22*1000/'2A'!H21</f>
        <v>39.092330630204735</v>
      </c>
      <c r="I8" s="11">
        <f>'1A'!S22*1000/'2A'!I21</f>
        <v>57.058264617055208</v>
      </c>
      <c r="J8" s="11">
        <f>'1A'!T22*1000/'2A'!J21</f>
        <v>59.427163372370302</v>
      </c>
      <c r="K8" s="11">
        <f>'1A'!U22*1000/'2A'!K21</f>
        <v>51.962634459331952</v>
      </c>
      <c r="M8">
        <v>2000</v>
      </c>
      <c r="N8">
        <f t="shared" si="1"/>
        <v>3.4434838695475145</v>
      </c>
      <c r="O8">
        <f t="shared" si="2"/>
        <v>3.4934219247754417</v>
      </c>
      <c r="P8">
        <f t="shared" si="3"/>
        <v>39.495299311374168</v>
      </c>
      <c r="Q8">
        <f t="shared" si="4"/>
        <v>-2.1906126052367636</v>
      </c>
      <c r="R8">
        <f t="shared" si="0"/>
        <v>0.22720308961510227</v>
      </c>
      <c r="S8">
        <f t="shared" si="0"/>
        <v>5.8958172041113643</v>
      </c>
      <c r="T8">
        <f t="shared" si="0"/>
        <v>-18.567704528913829</v>
      </c>
    </row>
    <row r="9" spans="1:20">
      <c r="A9" s="18">
        <v>2002</v>
      </c>
      <c r="B9" s="11">
        <f>'1A'!L23*1000/'2A'!B22</f>
        <v>43.04552416853322</v>
      </c>
      <c r="C9" s="11">
        <f>'1A'!M23*1000/'2A'!C22</f>
        <v>45.396995842125634</v>
      </c>
      <c r="D9" s="11">
        <f>'1A'!N23*1000/'2A'!D22</f>
        <v>33.97876794258373</v>
      </c>
      <c r="E9" s="11">
        <f>'1A'!O23*1000/'2A'!E22</f>
        <v>36.534994053632403</v>
      </c>
      <c r="F9" s="11">
        <f>'1A'!P23*1000/'2A'!F22</f>
        <v>32.60988112116916</v>
      </c>
      <c r="G9" s="11">
        <f>'1A'!Q23*1000/'2A'!G22</f>
        <v>38.879269636392259</v>
      </c>
      <c r="H9" s="11">
        <f>'1A'!R23*1000/'2A'!H22</f>
        <v>39.837595863552764</v>
      </c>
      <c r="I9" s="11">
        <f>'1A'!S23*1000/'2A'!I22</f>
        <v>63.472576819309396</v>
      </c>
      <c r="J9" s="11">
        <f>'1A'!T23*1000/'2A'!J22</f>
        <v>66.300334602515292</v>
      </c>
      <c r="K9" s="11">
        <f>'1A'!U23*1000/'2A'!K22</f>
        <v>59.020380368694973</v>
      </c>
      <c r="M9">
        <v>2001</v>
      </c>
      <c r="N9">
        <f t="shared" si="1"/>
        <v>1.8600505763718189</v>
      </c>
      <c r="O9">
        <f t="shared" si="2"/>
        <v>10.355503924921905</v>
      </c>
      <c r="P9">
        <f t="shared" si="3"/>
        <v>17.785314403002861</v>
      </c>
      <c r="Q9">
        <f t="shared" si="4"/>
        <v>13.518317607934694</v>
      </c>
      <c r="R9">
        <f t="shared" si="0"/>
        <v>5.8463602690486338</v>
      </c>
      <c r="S9">
        <f t="shared" si="0"/>
        <v>5.5838792423948069</v>
      </c>
      <c r="T9">
        <f t="shared" si="0"/>
        <v>8.1711675882655257</v>
      </c>
    </row>
    <row r="10" spans="1:20">
      <c r="A10" s="18">
        <v>2003</v>
      </c>
      <c r="B10" s="11">
        <f>'1A'!L24*1000/'2A'!B23</f>
        <v>43.63958664900322</v>
      </c>
      <c r="C10" s="11">
        <f>'1A'!M24*1000/'2A'!C23</f>
        <v>43.955870664967769</v>
      </c>
      <c r="D10" s="11">
        <f>'1A'!N24*1000/'2A'!D23</f>
        <v>30.812641083521445</v>
      </c>
      <c r="E10" s="11">
        <f>'1A'!O24*1000/'2A'!E23</f>
        <v>35.60914782295697</v>
      </c>
      <c r="F10" s="11">
        <f>'1A'!P24*1000/'2A'!F23</f>
        <v>32.808322678135532</v>
      </c>
      <c r="G10" s="11">
        <f>'1A'!Q24*1000/'2A'!G23</f>
        <v>38.444924406047519</v>
      </c>
      <c r="H10" s="11">
        <f>'1A'!R24*1000/'2A'!H23</f>
        <v>38.425256273190364</v>
      </c>
      <c r="I10" s="11">
        <f>'1A'!S24*1000/'2A'!I23</f>
        <v>62.923478293511515</v>
      </c>
      <c r="J10" s="11">
        <f>'1A'!T24*1000/'2A'!J23</f>
        <v>65.124344191836855</v>
      </c>
      <c r="K10" s="11">
        <f>'1A'!U24*1000/'2A'!K23</f>
        <v>59.49541988639271</v>
      </c>
      <c r="M10">
        <v>2002</v>
      </c>
      <c r="N10">
        <f t="shared" si="1"/>
        <v>-0.36134772582029351</v>
      </c>
      <c r="O10">
        <f t="shared" si="2"/>
        <v>8.4839567117829251</v>
      </c>
      <c r="P10">
        <f t="shared" si="3"/>
        <v>5.576478564239773</v>
      </c>
      <c r="Q10">
        <f t="shared" si="4"/>
        <v>8.2976641570645882</v>
      </c>
      <c r="R10">
        <f t="shared" si="0"/>
        <v>11.241688202933698</v>
      </c>
      <c r="S10">
        <f t="shared" si="0"/>
        <v>11.56570638762906</v>
      </c>
      <c r="T10">
        <f t="shared" si="0"/>
        <v>13.582348129186371</v>
      </c>
    </row>
    <row r="11" spans="1:20">
      <c r="A11" s="18">
        <v>2004</v>
      </c>
      <c r="B11" s="11">
        <f>'1A'!L25*1000/'2A'!B24</f>
        <v>43.674879633295888</v>
      </c>
      <c r="C11" s="11">
        <f>'1A'!M25*1000/'2A'!C24</f>
        <v>43.555080687718657</v>
      </c>
      <c r="D11" s="11">
        <f>'1A'!N25*1000/'2A'!D24</f>
        <v>34.8283339356704</v>
      </c>
      <c r="E11" s="11">
        <f>'1A'!O25*1000/'2A'!E24</f>
        <v>35.915044443829089</v>
      </c>
      <c r="F11" s="11">
        <f>'1A'!P25*1000/'2A'!F24</f>
        <v>27.530073613022921</v>
      </c>
      <c r="G11" s="11">
        <f>'1A'!Q25*1000/'2A'!G24</f>
        <v>42.177144004820242</v>
      </c>
      <c r="H11" s="11">
        <f>'1A'!R25*1000/'2A'!H24</f>
        <v>47.731290512669418</v>
      </c>
      <c r="I11" s="11">
        <f>'1A'!S25*1000/'2A'!I24</f>
        <v>58.352146575368025</v>
      </c>
      <c r="J11" s="11">
        <f>'1A'!T25*1000/'2A'!J24</f>
        <v>57.427195866604038</v>
      </c>
      <c r="K11" s="11">
        <f>'1A'!U25*1000/'2A'!K24</f>
        <v>61.344322719361116</v>
      </c>
      <c r="M11">
        <v>2003</v>
      </c>
      <c r="N11">
        <f t="shared" si="1"/>
        <v>1.3800795598262638</v>
      </c>
      <c r="O11">
        <f t="shared" si="2"/>
        <v>-3.174494590279886</v>
      </c>
      <c r="P11">
        <f t="shared" si="3"/>
        <v>-9.3179566263624007</v>
      </c>
      <c r="Q11">
        <f t="shared" si="4"/>
        <v>-2.5341354355123635</v>
      </c>
      <c r="R11">
        <f t="shared" si="0"/>
        <v>-0.86509568905801526</v>
      </c>
      <c r="S11">
        <f t="shared" si="0"/>
        <v>-1.7737322409136391</v>
      </c>
      <c r="T11">
        <f t="shared" si="0"/>
        <v>0.80487369740793735</v>
      </c>
    </row>
    <row r="12" spans="1:20">
      <c r="A12" s="18">
        <v>2005</v>
      </c>
      <c r="B12" s="11">
        <f>'1A'!L26*1000/'2A'!B25</f>
        <v>44.382182338380368</v>
      </c>
      <c r="C12" s="11">
        <f>'1A'!M26*1000/'2A'!C25</f>
        <v>46.783178236762751</v>
      </c>
      <c r="D12" s="11">
        <f>'1A'!N26*1000/'2A'!D25</f>
        <v>38.045228337236537</v>
      </c>
      <c r="E12" s="11">
        <f>'1A'!O26*1000/'2A'!E25</f>
        <v>41.157834101382491</v>
      </c>
      <c r="F12" s="11">
        <f>'1A'!P26*1000/'2A'!F25</f>
        <v>35.696594427244584</v>
      </c>
      <c r="G12" s="11">
        <f>'1A'!Q26*1000/'2A'!G25</f>
        <v>54.924656038436339</v>
      </c>
      <c r="H12" s="11">
        <f>'1A'!R26*1000/'2A'!H25</f>
        <v>43.315106679532541</v>
      </c>
      <c r="I12" s="11">
        <f>'1A'!S26*1000/'2A'!I25</f>
        <v>57.745007573515331</v>
      </c>
      <c r="J12" s="11">
        <f>'1A'!T26*1000/'2A'!J25</f>
        <v>57.214913421038951</v>
      </c>
      <c r="K12" s="11">
        <f>'1A'!U26*1000/'2A'!K25</f>
        <v>58.882740447957836</v>
      </c>
      <c r="M12">
        <v>2004</v>
      </c>
      <c r="N12">
        <f t="shared" si="1"/>
        <v>8.0873782276014161E-2</v>
      </c>
      <c r="O12">
        <f t="shared" si="2"/>
        <v>-0.91180079289963079</v>
      </c>
      <c r="P12">
        <f t="shared" si="3"/>
        <v>13.032614897450445</v>
      </c>
      <c r="Q12">
        <f t="shared" si="4"/>
        <v>0.85903943108380787</v>
      </c>
      <c r="R12">
        <f t="shared" si="0"/>
        <v>-7.2649062672920817</v>
      </c>
      <c r="S12">
        <f t="shared" si="0"/>
        <v>-11.819156754284265</v>
      </c>
      <c r="T12">
        <f t="shared" si="0"/>
        <v>3.1076389350624067</v>
      </c>
    </row>
    <row r="13" spans="1:20">
      <c r="A13" s="18">
        <v>2006</v>
      </c>
      <c r="B13" s="235">
        <f>'1A'!L27*1000/'2A'!B26</f>
        <v>44.862672501974551</v>
      </c>
      <c r="C13" s="235">
        <f>'1A'!M27*1000/'2A'!C26</f>
        <v>48.097646800087979</v>
      </c>
      <c r="D13" s="235">
        <f>'1A'!N27*1000/'2A'!D26</f>
        <v>36.340359210331009</v>
      </c>
      <c r="E13" s="235">
        <f>'1A'!O27*1000/'2A'!E26</f>
        <v>45.144157814871015</v>
      </c>
      <c r="F13" s="235">
        <f>'1A'!P27*1000/'2A'!F26</f>
        <v>39.791947041065001</v>
      </c>
      <c r="G13" s="235">
        <f>'1A'!Q27*1000/'2A'!G26</f>
        <v>60.994139353158239</v>
      </c>
      <c r="H13" s="235">
        <f>'1A'!R27*1000/'2A'!H26</f>
        <v>45.036903148064468</v>
      </c>
      <c r="I13" s="235">
        <f>'1A'!S27*1000/'2A'!I26</f>
        <v>57.210808073500687</v>
      </c>
      <c r="J13" s="235">
        <f>'1A'!T27*1000/'2A'!J26</f>
        <v>56.355605226045078</v>
      </c>
      <c r="K13" s="235">
        <f>'1A'!U27*1000/'2A'!K26</f>
        <v>58.83349330924284</v>
      </c>
      <c r="M13">
        <v>2005</v>
      </c>
      <c r="N13">
        <f t="shared" si="1"/>
        <v>1.6194725916205188</v>
      </c>
      <c r="O13">
        <f t="shared" si="2"/>
        <v>7.4115292592129789</v>
      </c>
      <c r="P13">
        <f t="shared" si="3"/>
        <v>9.2364291886826813</v>
      </c>
      <c r="Q13">
        <f t="shared" si="4"/>
        <v>14.597753500634237</v>
      </c>
      <c r="R13">
        <f t="shared" si="0"/>
        <v>-1.0404741513125093</v>
      </c>
      <c r="S13">
        <f t="shared" si="0"/>
        <v>-0.36965490367698584</v>
      </c>
      <c r="T13">
        <f t="shared" si="0"/>
        <v>-4.0127303754979309</v>
      </c>
    </row>
    <row r="14" spans="1:20">
      <c r="A14" s="18">
        <v>2007</v>
      </c>
      <c r="B14" s="11">
        <f>'1A'!L28*1000/'2A'!B27</f>
        <v>45.226564994006857</v>
      </c>
      <c r="C14" s="11">
        <f>'1A'!M28*1000/'2A'!C27</f>
        <v>48.91683406390716</v>
      </c>
      <c r="D14" s="11">
        <f>'1A'!N28*1000/'2A'!D27</f>
        <v>35.86584813151498</v>
      </c>
      <c r="E14" s="11">
        <f>'1A'!O28*1000/'2A'!E27</f>
        <v>45.53772897677807</v>
      </c>
      <c r="F14" s="11">
        <f>'1A'!P28*1000/'2A'!F27</f>
        <v>37.921581658082737</v>
      </c>
      <c r="G14" s="11">
        <f>'1A'!Q28*1000/'2A'!G27</f>
        <v>70.58343533251734</v>
      </c>
      <c r="H14" s="11">
        <f>'1A'!R28*1000/'2A'!H27</f>
        <v>45.505753601030015</v>
      </c>
      <c r="I14" s="11">
        <f>'1A'!S28*1000/'2A'!I27</f>
        <v>58.419385670646001</v>
      </c>
      <c r="J14" s="11">
        <f>'1A'!T28*1000/'2A'!J27</f>
        <v>62.202354074475458</v>
      </c>
      <c r="K14" s="11">
        <f>'1A'!U28*1000/'2A'!K27</f>
        <v>52.179741807348563</v>
      </c>
      <c r="M14">
        <v>2006</v>
      </c>
      <c r="N14">
        <f t="shared" si="1"/>
        <v>1.0826195069246758</v>
      </c>
      <c r="O14">
        <f t="shared" si="2"/>
        <v>2.8097034294525702</v>
      </c>
      <c r="P14">
        <f t="shared" si="3"/>
        <v>-4.4811641338919124</v>
      </c>
      <c r="Q14">
        <f t="shared" si="4"/>
        <v>9.6854555166075329</v>
      </c>
      <c r="R14">
        <f t="shared" si="0"/>
        <v>-0.92510075322884688</v>
      </c>
      <c r="S14">
        <f t="shared" si="0"/>
        <v>-1.5018954737732626</v>
      </c>
      <c r="T14">
        <f t="shared" si="0"/>
        <v>-8.363594890513637E-2</v>
      </c>
    </row>
    <row r="15" spans="1:20">
      <c r="A15" s="18">
        <v>2008</v>
      </c>
      <c r="B15" s="11">
        <f>'1A'!L29*1000/'2A'!B28</f>
        <v>45.034111126953526</v>
      </c>
      <c r="C15" s="11">
        <f>'1A'!M29*1000/'2A'!C28</f>
        <v>49.838637525562369</v>
      </c>
      <c r="D15" s="11">
        <f>'1A'!N29*1000/'2A'!D28</f>
        <v>34.359972976195209</v>
      </c>
      <c r="E15" s="11">
        <f>'1A'!O29*1000/'2A'!E28</f>
        <v>47.695218773774457</v>
      </c>
      <c r="F15" s="11">
        <f>'1A'!P29*1000/'2A'!F28</f>
        <v>41.74867916709831</v>
      </c>
      <c r="G15" s="11">
        <f>'1A'!Q29*1000/'2A'!G28</f>
        <v>78.515007898894154</v>
      </c>
      <c r="H15" s="11">
        <f>'1A'!R29*1000/'2A'!H28</f>
        <v>44.564114571138688</v>
      </c>
      <c r="I15" s="11">
        <f>'1A'!S29*1000/'2A'!I28</f>
        <v>60.082448008531934</v>
      </c>
      <c r="J15" s="11">
        <f>'1A'!T29*1000/'2A'!J28</f>
        <v>62.749891169674846</v>
      </c>
      <c r="K15" s="11">
        <f>'1A'!U29*1000/'2A'!K28</f>
        <v>55.850754167769253</v>
      </c>
      <c r="M15">
        <v>2007</v>
      </c>
      <c r="N15">
        <f t="shared" si="1"/>
        <v>0.81112531139622135</v>
      </c>
      <c r="O15">
        <f t="shared" si="2"/>
        <v>1.703175349147612</v>
      </c>
      <c r="P15">
        <f t="shared" si="3"/>
        <v>-1.3057413001056228</v>
      </c>
      <c r="Q15">
        <f t="shared" si="4"/>
        <v>0.87180973343445878</v>
      </c>
      <c r="R15">
        <f t="shared" si="0"/>
        <v>2.112498735540691</v>
      </c>
      <c r="S15">
        <f t="shared" si="0"/>
        <v>10.374742361436429</v>
      </c>
      <c r="T15">
        <f t="shared" si="0"/>
        <v>-11.309461885801298</v>
      </c>
    </row>
    <row r="16" spans="1:20">
      <c r="A16" s="18">
        <v>2009</v>
      </c>
      <c r="B16" s="11">
        <f>'1A'!L30*1000/'2A'!B29</f>
        <v>45.78026616034817</v>
      </c>
      <c r="C16" s="11">
        <f>'1A'!M30*1000/'2A'!C29</f>
        <v>48.988050192710439</v>
      </c>
      <c r="D16" s="11">
        <f>'1A'!N30*1000/'2A'!D29</f>
        <v>32.558522914606002</v>
      </c>
      <c r="E16" s="11">
        <f>'1A'!O30*1000/'2A'!E29</f>
        <v>45.363632494999784</v>
      </c>
      <c r="F16" s="11">
        <f>'1A'!P30*1000/'2A'!F29</f>
        <v>44.196909809558029</v>
      </c>
      <c r="G16" s="11">
        <f>'1A'!Q30*1000/'2A'!G29</f>
        <v>76.934842459467731</v>
      </c>
      <c r="H16" s="11">
        <f>'1A'!R30*1000/'2A'!H29</f>
        <v>38.236956112262199</v>
      </c>
      <c r="I16" s="11">
        <f>'1A'!S30*1000/'2A'!I29</f>
        <v>62.404436054742803</v>
      </c>
      <c r="J16" s="11">
        <f>'1A'!T30*1000/'2A'!J29</f>
        <v>64.26628260521683</v>
      </c>
      <c r="K16" s="11">
        <f>'1A'!U30*1000/'2A'!K29</f>
        <v>59.995397802450675</v>
      </c>
      <c r="M16">
        <v>2008</v>
      </c>
      <c r="N16">
        <f t="shared" si="1"/>
        <v>-0.42553279710461078</v>
      </c>
      <c r="O16">
        <f t="shared" si="2"/>
        <v>1.8844299294817901</v>
      </c>
      <c r="P16">
        <f t="shared" si="3"/>
        <v>-4.1986324979627954</v>
      </c>
      <c r="Q16">
        <f t="shared" si="4"/>
        <v>4.7378071886206685</v>
      </c>
      <c r="R16">
        <f t="shared" si="0"/>
        <v>2.8467645094076621</v>
      </c>
      <c r="S16">
        <f t="shared" si="0"/>
        <v>0.88025140422147707</v>
      </c>
      <c r="T16">
        <f t="shared" si="0"/>
        <v>7.035321052323984</v>
      </c>
    </row>
    <row r="17" spans="1:20">
      <c r="A17" s="18">
        <v>2010</v>
      </c>
      <c r="B17" s="11">
        <f>'1A'!L31*1000/'2A'!B30</f>
        <v>45.724613041195433</v>
      </c>
      <c r="C17" s="11">
        <f>'1A'!M31*1000/'2A'!C30</f>
        <v>51.258679792563946</v>
      </c>
      <c r="D17" s="11">
        <f>'1A'!N31*1000/'2A'!D30</f>
        <v>50.792910447761194</v>
      </c>
      <c r="E17" s="11">
        <f>'1A'!O31*1000/'2A'!E30</f>
        <v>42.732574926372926</v>
      </c>
      <c r="F17" s="11">
        <f>'1A'!P31*1000/'2A'!F30</f>
        <v>44.323434432976633</v>
      </c>
      <c r="G17" s="11">
        <f>'1A'!Q31*1000/'2A'!G30</f>
        <v>52.336257906549683</v>
      </c>
      <c r="H17" s="11">
        <f>'1A'!R31*1000/'2A'!H30</f>
        <v>38.248463231388023</v>
      </c>
      <c r="I17" s="11">
        <f>'1A'!S31*1000/'2A'!I30</f>
        <v>61.365213692435134</v>
      </c>
      <c r="J17" s="11">
        <f>'1A'!T31*1000/'2A'!J30</f>
        <v>69.221628045157459</v>
      </c>
      <c r="K17" s="11">
        <f>'1A'!U31*1000/'2A'!K30</f>
        <v>51.063172527415951</v>
      </c>
      <c r="M17">
        <v>2009</v>
      </c>
      <c r="N17">
        <f t="shared" si="1"/>
        <v>1.6568663502454672</v>
      </c>
      <c r="O17">
        <f t="shared" si="2"/>
        <v>-1.7066825561105281</v>
      </c>
      <c r="P17">
        <f t="shared" si="3"/>
        <v>-5.2428739185483746</v>
      </c>
      <c r="Q17">
        <f t="shared" si="4"/>
        <v>-4.888511550463237</v>
      </c>
      <c r="R17">
        <f t="shared" si="0"/>
        <v>3.8646695052790392</v>
      </c>
      <c r="S17">
        <f t="shared" si="0"/>
        <v>2.416564247803521</v>
      </c>
      <c r="T17">
        <f t="shared" si="0"/>
        <v>7.4209268906761494</v>
      </c>
    </row>
    <row r="18" spans="1:20">
      <c r="A18" s="18">
        <v>2011</v>
      </c>
      <c r="B18" s="11">
        <f>'1A'!L32*1000/'2A'!B31</f>
        <v>46.342495354678</v>
      </c>
      <c r="C18" s="11">
        <f>'1A'!M32*1000/'2A'!C31</f>
        <v>53.119995582307148</v>
      </c>
      <c r="D18" s="11">
        <f>'1A'!N32*1000/'2A'!D31</f>
        <v>40.215159360771359</v>
      </c>
      <c r="E18" s="11">
        <f>'1A'!O32*1000/'2A'!E31</f>
        <v>45.666967287037799</v>
      </c>
      <c r="F18" s="11">
        <f>'1A'!P32*1000/'2A'!F31</f>
        <v>48.342046838072051</v>
      </c>
      <c r="G18" s="11">
        <f>'1A'!Q32*1000/'2A'!G31</f>
        <v>55.815471657055816</v>
      </c>
      <c r="H18" s="11">
        <f>'1A'!R32*1000/'2A'!H31</f>
        <v>40.532105796988375</v>
      </c>
      <c r="I18" s="11">
        <f>'1A'!S32*1000/'2A'!I31</f>
        <v>70.534379671150973</v>
      </c>
      <c r="J18" s="11">
        <f>'1A'!T32*1000/'2A'!J31</f>
        <v>80.1057808295444</v>
      </c>
      <c r="K18" s="11">
        <f>'1A'!U32*1000/'2A'!K31</f>
        <v>57.37272155876807</v>
      </c>
      <c r="M18">
        <v>2010</v>
      </c>
      <c r="N18">
        <f t="shared" si="1"/>
        <v>-0.1215657396088754</v>
      </c>
      <c r="O18">
        <f t="shared" si="2"/>
        <v>4.6350683297686768</v>
      </c>
      <c r="P18">
        <f t="shared" si="3"/>
        <v>56.004959380313622</v>
      </c>
      <c r="Q18">
        <f t="shared" si="4"/>
        <v>-5.7999269986081181</v>
      </c>
      <c r="R18">
        <f t="shared" si="0"/>
        <v>-1.6653020650583827</v>
      </c>
      <c r="S18">
        <f t="shared" si="0"/>
        <v>7.710645830226337</v>
      </c>
      <c r="T18">
        <f t="shared" si="0"/>
        <v>-14.888184097797353</v>
      </c>
    </row>
    <row r="19" spans="1:20">
      <c r="A19" s="18">
        <v>2012</v>
      </c>
      <c r="B19" s="11">
        <f>'1A'!L33*1000/'2A'!B32</f>
        <v>46.52006458072713</v>
      </c>
      <c r="C19" s="11">
        <f>'1A'!M33*1000/'2A'!C32</f>
        <v>57.325437997492791</v>
      </c>
      <c r="D19" s="11">
        <f>'1A'!N33*1000/'2A'!D32</f>
        <v>53.088382500147205</v>
      </c>
      <c r="E19" s="11">
        <f>'1A'!O33*1000/'2A'!E32</f>
        <v>51.590202887954668</v>
      </c>
      <c r="F19" s="11">
        <f>'1A'!P33*1000/'2A'!F32</f>
        <v>72.719717431955118</v>
      </c>
      <c r="G19" s="11">
        <f>'1A'!Q33*1000/'2A'!G32</f>
        <v>54.46105072463768</v>
      </c>
      <c r="H19" s="11">
        <f>'1A'!R33*1000/'2A'!H32</f>
        <v>42.234601556635454</v>
      </c>
      <c r="I19" s="11">
        <f>'1A'!S33*1000/'2A'!I32</f>
        <v>65.958357865439169</v>
      </c>
      <c r="J19" s="11">
        <f>'1A'!T33*1000/'2A'!J32</f>
        <v>73.997547795286323</v>
      </c>
      <c r="K19" s="11">
        <f>'1A'!U33*1000/'2A'!K32</f>
        <v>54.226132290648422</v>
      </c>
      <c r="M19">
        <v>2011</v>
      </c>
      <c r="N19">
        <f t="shared" si="1"/>
        <v>1.3513122854115656</v>
      </c>
      <c r="O19">
        <f t="shared" si="2"/>
        <v>3.6312206972080929</v>
      </c>
      <c r="P19">
        <f t="shared" si="3"/>
        <v>-20.825250992200374</v>
      </c>
      <c r="Q19">
        <f t="shared" si="4"/>
        <v>6.8668746634640065</v>
      </c>
      <c r="R19">
        <f t="shared" si="0"/>
        <v>14.941960480529026</v>
      </c>
      <c r="S19">
        <f t="shared" si="0"/>
        <v>15.723630159762415</v>
      </c>
      <c r="T19">
        <f t="shared" si="0"/>
        <v>12.35635922927527</v>
      </c>
    </row>
    <row r="20" spans="1:20">
      <c r="A20" s="18">
        <v>2013</v>
      </c>
      <c r="B20" s="11">
        <f>'1A'!L34*1000/'2A'!B33</f>
        <v>46.814659377753792</v>
      </c>
      <c r="C20" s="11">
        <f>'1A'!M34*1000/'2A'!C33</f>
        <v>61.006500666869705</v>
      </c>
      <c r="D20" s="11">
        <f>'1A'!N34*1000/'2A'!D33</f>
        <v>63.515478911281946</v>
      </c>
      <c r="E20" s="11">
        <f>'1A'!O34*1000/'2A'!E33</f>
        <v>54.418729336073632</v>
      </c>
      <c r="F20" s="11">
        <f>'1A'!P34*1000/'2A'!F33</f>
        <v>72.155056611015155</v>
      </c>
      <c r="G20" s="11">
        <f>'1A'!Q34*1000/'2A'!G33</f>
        <v>66.134969325153378</v>
      </c>
      <c r="H20" s="11">
        <f>'1A'!R34*1000/'2A'!H33</f>
        <v>43.566246659030163</v>
      </c>
      <c r="I20" s="11">
        <f>'1A'!S34*1000/'2A'!I33</f>
        <v>68.182575378977177</v>
      </c>
      <c r="J20" s="11">
        <f>'1A'!T34*1000/'2A'!J33</f>
        <v>77.513441499738306</v>
      </c>
      <c r="K20" s="11">
        <f>'1A'!U34*1000/'2A'!K33</f>
        <v>54.909672688487433</v>
      </c>
      <c r="M20">
        <v>2012</v>
      </c>
      <c r="N20">
        <f t="shared" si="1"/>
        <v>0.38316716588115973</v>
      </c>
      <c r="O20">
        <f t="shared" si="2"/>
        <v>7.9168726749411888</v>
      </c>
      <c r="P20">
        <f t="shared" si="3"/>
        <v>32.010871880152926</v>
      </c>
      <c r="Q20">
        <f t="shared" si="4"/>
        <v>12.970503523228549</v>
      </c>
      <c r="R20">
        <f t="shared" si="0"/>
        <v>-6.4876473388528648</v>
      </c>
      <c r="S20">
        <f t="shared" si="0"/>
        <v>-7.6252087814432157</v>
      </c>
      <c r="T20">
        <f t="shared" si="0"/>
        <v>-5.4844692436222147</v>
      </c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>
        <v>2013</v>
      </c>
      <c r="N21">
        <f t="shared" si="1"/>
        <v>0.633263946818996</v>
      </c>
      <c r="O21">
        <f t="shared" si="2"/>
        <v>6.4213424231279514</v>
      </c>
      <c r="P21">
        <f t="shared" si="3"/>
        <v>19.641013570352861</v>
      </c>
      <c r="Q21">
        <f t="shared" si="4"/>
        <v>5.4826813809243147</v>
      </c>
      <c r="R21">
        <f t="shared" si="0"/>
        <v>3.3721541674454736</v>
      </c>
      <c r="S21">
        <f t="shared" si="0"/>
        <v>4.7513651589897066</v>
      </c>
      <c r="T21">
        <f t="shared" si="0"/>
        <v>1.260536883167851</v>
      </c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t="s">
        <v>27</v>
      </c>
    </row>
    <row r="24" spans="1:20" ht="30">
      <c r="A24" s="363" t="s">
        <v>527</v>
      </c>
      <c r="B24" s="11">
        <f>((B7/B5)^(1/2)-1)*100</f>
        <v>3.2539711996277587</v>
      </c>
      <c r="C24" s="102">
        <f t="shared" ref="C24:K24" si="5">((C7/C5)^(1/2)-1)*100</f>
        <v>2.4855007852644384</v>
      </c>
      <c r="D24" s="102">
        <f t="shared" si="5"/>
        <v>21.193324184598474</v>
      </c>
      <c r="E24" s="102">
        <f t="shared" si="5"/>
        <v>-2.1808976882200737</v>
      </c>
      <c r="F24" s="102">
        <f t="shared" si="5"/>
        <v>-4.8779149148136529</v>
      </c>
      <c r="G24" s="102">
        <f t="shared" si="5"/>
        <v>5.9900440993996718</v>
      </c>
      <c r="H24" s="102">
        <f t="shared" si="5"/>
        <v>3.4516233146766773</v>
      </c>
      <c r="I24" s="102">
        <f t="shared" si="5"/>
        <v>3.0040085515333548</v>
      </c>
      <c r="J24" s="102">
        <f t="shared" si="5"/>
        <v>6.1255183933520696</v>
      </c>
      <c r="K24" s="11">
        <f t="shared" si="5"/>
        <v>-6.5966455248908655</v>
      </c>
      <c r="M24">
        <v>1998</v>
      </c>
      <c r="N24">
        <f t="shared" ref="N24:N25" si="6">B5/$B$7</f>
        <v>0.93796465287268915</v>
      </c>
      <c r="O24">
        <f t="shared" ref="O24:O25" si="7">C5/$C$7</f>
        <v>0.95208373258541323</v>
      </c>
      <c r="P24">
        <f t="shared" ref="P24:P25" si="8">D5/$D$7</f>
        <v>0.68083614560714056</v>
      </c>
      <c r="Q24">
        <f t="shared" ref="Q24:Q25" si="9">E5/$E$7</f>
        <v>1.0450875018268992</v>
      </c>
      <c r="R24">
        <f t="shared" ref="R24:R25" si="10">I5/$I$7</f>
        <v>0.94252254556648785</v>
      </c>
      <c r="S24">
        <f t="shared" ref="S24:S25" si="11">J5/$J$7</f>
        <v>0.8878924246425266</v>
      </c>
      <c r="T24">
        <f t="shared" ref="T24:T25" si="12">K5/$K$7</f>
        <v>1.1462386612431004</v>
      </c>
    </row>
    <row r="25" spans="1:20" ht="30">
      <c r="A25" s="325" t="s">
        <v>68</v>
      </c>
      <c r="B25" s="11">
        <f>((B14/B7)^(1/7)-1)*100</f>
        <v>0.92188035768894228</v>
      </c>
      <c r="C25" s="102">
        <f t="shared" ref="C25:K25" si="13">((C14/C7)^(1/7)-1)*100</f>
        <v>3.7047568209460424</v>
      </c>
      <c r="D25" s="102">
        <f t="shared" si="13"/>
        <v>3.9623219720691605</v>
      </c>
      <c r="E25" s="102">
        <f t="shared" si="13"/>
        <v>6.2865216908239097</v>
      </c>
      <c r="F25" s="102">
        <f t="shared" ref="F25:H25" si="14">((F14/F7)^(1/7)-1)*100</f>
        <v>6.5542823158665664</v>
      </c>
      <c r="G25" s="102">
        <f t="shared" si="14"/>
        <v>11.382753237192421</v>
      </c>
      <c r="H25" s="102">
        <f t="shared" si="14"/>
        <v>3.1138121916402639</v>
      </c>
      <c r="I25" s="102">
        <f t="shared" si="13"/>
        <v>1.1550956466403361</v>
      </c>
      <c r="J25" s="102">
        <f t="shared" si="13"/>
        <v>1.4384901529010508</v>
      </c>
      <c r="K25" s="11">
        <f t="shared" si="13"/>
        <v>1.188638985091317</v>
      </c>
      <c r="M25">
        <v>1999</v>
      </c>
      <c r="N25">
        <f t="shared" si="6"/>
        <v>0.96671144724891434</v>
      </c>
      <c r="O25">
        <f t="shared" si="7"/>
        <v>0.96624498581837737</v>
      </c>
      <c r="P25">
        <f t="shared" si="8"/>
        <v>0.71687003428542195</v>
      </c>
      <c r="Q25">
        <f t="shared" si="9"/>
        <v>1.0223967521276394</v>
      </c>
      <c r="R25">
        <f t="shared" si="10"/>
        <v>0.99773311952632304</v>
      </c>
      <c r="S25">
        <f t="shared" si="11"/>
        <v>0.94432436181358004</v>
      </c>
      <c r="T25">
        <f t="shared" si="12"/>
        <v>1.2280140136232141</v>
      </c>
    </row>
    <row r="26" spans="1:20" ht="30">
      <c r="A26" s="63" t="s">
        <v>69</v>
      </c>
      <c r="B26" s="11">
        <f>((B20/B14)^(1/6)-1)*100</f>
        <v>0.57685331348216184</v>
      </c>
      <c r="C26" s="102">
        <f t="shared" ref="C26:K26" si="15">((C20/C14)^(1/6)-1)*100</f>
        <v>3.7495676390995492</v>
      </c>
      <c r="D26" s="102">
        <f t="shared" si="15"/>
        <v>9.9933456149350128</v>
      </c>
      <c r="E26" s="102">
        <f t="shared" si="15"/>
        <v>3.0139811352073664</v>
      </c>
      <c r="F26" s="102">
        <f t="shared" si="15"/>
        <v>11.317485616390455</v>
      </c>
      <c r="G26" s="102">
        <f t="shared" si="15"/>
        <v>-1.0790995978093076</v>
      </c>
      <c r="H26" s="102">
        <f t="shared" si="15"/>
        <v>-0.72330611521346233</v>
      </c>
      <c r="I26" s="102">
        <f t="shared" si="15"/>
        <v>2.609145103988153</v>
      </c>
      <c r="J26" s="102">
        <f t="shared" si="15"/>
        <v>3.7357297437013326</v>
      </c>
      <c r="K26" s="11">
        <f t="shared" si="15"/>
        <v>0.8535418864027422</v>
      </c>
      <c r="M26">
        <v>2000</v>
      </c>
      <c r="N26">
        <f>B7/$B$7</f>
        <v>1</v>
      </c>
      <c r="O26">
        <f>C7/$C$7</f>
        <v>1</v>
      </c>
      <c r="P26">
        <f>D7/$D$7</f>
        <v>1</v>
      </c>
      <c r="Q26">
        <f>E7/$E$7</f>
        <v>1</v>
      </c>
      <c r="R26">
        <f>I7/$I$7</f>
        <v>1</v>
      </c>
      <c r="S26">
        <f>J7/$J$7</f>
        <v>1</v>
      </c>
      <c r="T26">
        <f>K7/$K$7</f>
        <v>1</v>
      </c>
    </row>
    <row r="27" spans="1:20" s="259" customFormat="1" ht="30">
      <c r="A27" s="325" t="s">
        <v>15</v>
      </c>
      <c r="B27" s="11">
        <f>((B20/B7)^(1/13)-1)*100</f>
        <v>0.76249027613537468</v>
      </c>
      <c r="C27" s="102">
        <f t="shared" ref="C27:K27" si="16">((C20/C7)^(1/13)-1)*100</f>
        <v>3.7254363315275318</v>
      </c>
      <c r="D27" s="102">
        <f t="shared" si="16"/>
        <v>6.7036440535314767</v>
      </c>
      <c r="E27" s="102">
        <f t="shared" si="16"/>
        <v>4.7633961322599561</v>
      </c>
      <c r="F27" s="102">
        <f t="shared" si="16"/>
        <v>8.7268155139172308</v>
      </c>
      <c r="G27" s="102">
        <f t="shared" si="16"/>
        <v>5.4471687850074391</v>
      </c>
      <c r="H27" s="102">
        <f t="shared" si="16"/>
        <v>1.3247447421372849</v>
      </c>
      <c r="I27" s="102">
        <f t="shared" si="16"/>
        <v>1.8236171817263447</v>
      </c>
      <c r="J27" s="102">
        <f t="shared" si="16"/>
        <v>2.4923639841529788</v>
      </c>
      <c r="K27" s="11">
        <f t="shared" si="16"/>
        <v>1.0338406580407522</v>
      </c>
    </row>
    <row r="28" spans="1:20" s="42" customFormat="1">
      <c r="A28" s="2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20" s="237" customFormat="1">
      <c r="A29" s="231" t="s">
        <v>144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20">
      <c r="A30" s="47" t="s">
        <v>41</v>
      </c>
      <c r="B30" s="47"/>
      <c r="C30" s="47"/>
      <c r="D30" s="47"/>
      <c r="E30" s="47"/>
      <c r="F30" s="47"/>
      <c r="G30" s="47"/>
      <c r="H30" s="47"/>
      <c r="I30" s="47"/>
      <c r="J30" s="47"/>
      <c r="K30" s="47"/>
      <c r="M30">
        <v>2002</v>
      </c>
      <c r="N30">
        <f>B9/$B$7</f>
        <v>1.0149198160009472</v>
      </c>
      <c r="O30">
        <f>C9/$C$7</f>
        <v>1.1971801710698218</v>
      </c>
      <c r="P30">
        <f>D9/$D$7</f>
        <v>1.2435358721250875</v>
      </c>
      <c r="Q30">
        <f>E9/$E$7</f>
        <v>1.2293768635979103</v>
      </c>
      <c r="R30">
        <f>I9/$I$7</f>
        <v>1.1774527806464898</v>
      </c>
      <c r="S30">
        <f>J9/$J$7</f>
        <v>1.1779540070823902</v>
      </c>
      <c r="T30">
        <f>K9/$K$7</f>
        <v>1.2286335214550934</v>
      </c>
    </row>
    <row r="31" spans="1:20">
      <c r="A31" s="229" t="s">
        <v>308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M31">
        <v>2003</v>
      </c>
      <c r="N31">
        <f>B10/$B$7</f>
        <v>1.0289265169302024</v>
      </c>
      <c r="O31">
        <f>C10/$C$7</f>
        <v>1.1591757513033067</v>
      </c>
      <c r="P31">
        <f>D10/$D$7</f>
        <v>1.1276637389272144</v>
      </c>
      <c r="Q31">
        <f>E10/$E$7</f>
        <v>1.1982227888614851</v>
      </c>
      <c r="R31">
        <f>I10/$I$7</f>
        <v>1.1672666874004234</v>
      </c>
      <c r="S31">
        <f>J10/$J$7</f>
        <v>1.1570602570756356</v>
      </c>
      <c r="T31">
        <f>K10/$K$7</f>
        <v>1.2385224695068224</v>
      </c>
    </row>
    <row r="32" spans="1:20">
      <c r="M32">
        <v>2007</v>
      </c>
      <c r="N32">
        <f t="shared" ref="N32:N38" si="17">B14/$B$7</f>
        <v>1.066344013894637</v>
      </c>
      <c r="O32">
        <f t="shared" ref="O32:O38" si="18">C14/$C$7</f>
        <v>1.2900030648829908</v>
      </c>
      <c r="P32">
        <f t="shared" ref="P32:P38" si="19">D14/$D$7</f>
        <v>1.3125981733973966</v>
      </c>
      <c r="Q32">
        <f t="shared" ref="Q32:Q38" si="20">E14/$E$7</f>
        <v>1.5323125642955215</v>
      </c>
      <c r="R32">
        <f t="shared" ref="R32:R38" si="21">I14/$I$7</f>
        <v>1.0837131805343059</v>
      </c>
      <c r="S32">
        <f t="shared" ref="S32:S38" si="22">J14/$J$7</f>
        <v>1.105145436614527</v>
      </c>
      <c r="T32">
        <f t="shared" ref="T32:T38" si="23">K14/$K$7</f>
        <v>1.0862312225860329</v>
      </c>
    </row>
    <row r="33" spans="13:20">
      <c r="M33">
        <v>2008</v>
      </c>
      <c r="N33">
        <f t="shared" si="17"/>
        <v>1.0618063703855534</v>
      </c>
      <c r="O33">
        <f t="shared" si="18"/>
        <v>1.3143122687288782</v>
      </c>
      <c r="P33">
        <f t="shared" si="19"/>
        <v>1.2574869999214675</v>
      </c>
      <c r="Q33">
        <f t="shared" si="20"/>
        <v>1.6049105791188523</v>
      </c>
      <c r="R33">
        <f t="shared" si="21"/>
        <v>1.1145639427415293</v>
      </c>
      <c r="S33">
        <f t="shared" si="22"/>
        <v>1.1148734948390162</v>
      </c>
      <c r="T33">
        <f t="shared" si="23"/>
        <v>1.1626510764655442</v>
      </c>
    </row>
    <row r="34" spans="13:20">
      <c r="M34">
        <v>2009</v>
      </c>
      <c r="N34">
        <f t="shared" si="17"/>
        <v>1.0793990828412345</v>
      </c>
      <c r="O34">
        <f t="shared" si="18"/>
        <v>1.2918811305056619</v>
      </c>
      <c r="P34">
        <f t="shared" si="19"/>
        <v>1.1915585419734485</v>
      </c>
      <c r="Q34">
        <f t="shared" si="20"/>
        <v>1.5264543400840209</v>
      </c>
      <c r="R34">
        <f t="shared" si="21"/>
        <v>1.1576381555534969</v>
      </c>
      <c r="S34">
        <f t="shared" si="22"/>
        <v>1.1418151291235334</v>
      </c>
      <c r="T34">
        <f t="shared" si="23"/>
        <v>1.2489305628437115</v>
      </c>
    </row>
    <row r="35" spans="13:20">
      <c r="M35">
        <v>2010</v>
      </c>
      <c r="N35">
        <f t="shared" si="17"/>
        <v>1.0780869033628471</v>
      </c>
      <c r="O35">
        <f t="shared" si="18"/>
        <v>1.3517607036439876</v>
      </c>
      <c r="P35">
        <f t="shared" si="19"/>
        <v>1.8588904193983355</v>
      </c>
      <c r="Q35">
        <f t="shared" si="20"/>
        <v>1.4379211026920624</v>
      </c>
      <c r="R35">
        <f t="shared" si="21"/>
        <v>1.1383599834431608</v>
      </c>
      <c r="S35">
        <f t="shared" si="22"/>
        <v>1.2298564497661908</v>
      </c>
      <c r="T35">
        <f t="shared" si="23"/>
        <v>1.0629874813938831</v>
      </c>
    </row>
    <row r="36" spans="13:20">
      <c r="M36">
        <v>2011</v>
      </c>
      <c r="N36">
        <f t="shared" si="17"/>
        <v>1.0926552241354024</v>
      </c>
      <c r="O36">
        <f t="shared" si="18"/>
        <v>1.4008461180914336</v>
      </c>
      <c r="P36">
        <f t="shared" si="19"/>
        <v>1.4717718238886659</v>
      </c>
      <c r="Q36">
        <f t="shared" si="20"/>
        <v>1.5366613425734259</v>
      </c>
      <c r="R36">
        <f t="shared" si="21"/>
        <v>1.3084532822953945</v>
      </c>
      <c r="S36">
        <f t="shared" si="22"/>
        <v>1.4232345294234108</v>
      </c>
      <c r="T36">
        <f t="shared" si="23"/>
        <v>1.194334033157137</v>
      </c>
    </row>
    <row r="37" spans="13:20">
      <c r="M37">
        <v>2012</v>
      </c>
      <c r="N37">
        <f t="shared" si="17"/>
        <v>1.0968419201905744</v>
      </c>
      <c r="O37">
        <f t="shared" si="18"/>
        <v>1.5117493216325888</v>
      </c>
      <c r="P37">
        <f t="shared" si="19"/>
        <v>1.9428988168018568</v>
      </c>
      <c r="Q37">
        <f t="shared" si="20"/>
        <v>1.7359740561520032</v>
      </c>
      <c r="R37">
        <f t="shared" si="21"/>
        <v>1.2235654477464244</v>
      </c>
      <c r="S37">
        <f t="shared" si="22"/>
        <v>1.3147099251052849</v>
      </c>
      <c r="T37">
        <f t="shared" si="23"/>
        <v>1.128831150442521</v>
      </c>
    </row>
    <row r="38" spans="13:20">
      <c r="M38">
        <v>2013</v>
      </c>
      <c r="N38">
        <f t="shared" si="17"/>
        <v>1.1037878246247386</v>
      </c>
      <c r="O38">
        <f t="shared" si="18"/>
        <v>1.6088239221539313</v>
      </c>
      <c r="P38">
        <f t="shared" si="19"/>
        <v>2.3245038370681343</v>
      </c>
      <c r="Q38">
        <f t="shared" si="20"/>
        <v>1.8311519825063256</v>
      </c>
      <c r="R38">
        <f t="shared" si="21"/>
        <v>1.2648259609840284</v>
      </c>
      <c r="S38">
        <f t="shared" si="22"/>
        <v>1.377176594428517</v>
      </c>
      <c r="T38">
        <f t="shared" si="23"/>
        <v>1.1430604834425369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7"/>
  <sheetViews>
    <sheetView view="pageBreakPreview" zoomScaleNormal="100" zoomScaleSheetLayoutView="100" workbookViewId="0">
      <selection activeCell="E24" sqref="E24:H27"/>
    </sheetView>
  </sheetViews>
  <sheetFormatPr defaultRowHeight="15"/>
  <cols>
    <col min="6" max="8" width="9.140625" style="42"/>
    <col min="13" max="20" width="0" hidden="1" customWidth="1"/>
  </cols>
  <sheetData>
    <row r="1" spans="1:20" ht="40.5" customHeight="1">
      <c r="A1" s="454" t="s">
        <v>171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8"/>
      <c r="B2" s="18" t="s">
        <v>2</v>
      </c>
      <c r="C2" s="18" t="s">
        <v>8</v>
      </c>
      <c r="D2" s="18" t="s">
        <v>20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5</v>
      </c>
      <c r="J2" s="18" t="s">
        <v>6</v>
      </c>
      <c r="K2" s="18" t="s">
        <v>7</v>
      </c>
    </row>
    <row r="3" spans="1:20">
      <c r="A3" s="18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0">
      <c r="A4" s="18">
        <v>1997</v>
      </c>
      <c r="B4" s="11">
        <f>'1B'!L18*1000/'2B'!B17</f>
        <v>41.62107498901927</v>
      </c>
      <c r="C4" s="11">
        <f>'1B'!M18*1000/'2B'!C17</f>
        <v>37.677611733296352</v>
      </c>
      <c r="D4" s="11">
        <f>'1B'!N18*1000/'2B'!D17</f>
        <v>30.658547365319453</v>
      </c>
      <c r="E4" s="11">
        <f>'1B'!O18*1000/'2B'!E17</f>
        <v>20.915299848415174</v>
      </c>
      <c r="F4" s="11">
        <f>'1B'!P18*1000/'2B'!F17</f>
        <v>16.575223794397921</v>
      </c>
      <c r="G4" s="11">
        <f>'1B'!Q18*1000/'2B'!G17</f>
        <v>20.876190476190477</v>
      </c>
      <c r="H4" s="11">
        <f>'1B'!R18*1000/'2B'!H17</f>
        <v>25.88950979698663</v>
      </c>
      <c r="I4" s="11">
        <f>'1B'!S18*1000/'2B'!I17</f>
        <v>54.983187213069449</v>
      </c>
      <c r="J4" s="11">
        <f>'1B'!T18*1000/'2B'!J17</f>
        <v>48.15991609340778</v>
      </c>
      <c r="K4" s="11">
        <f>'1B'!U18*1000/'2B'!K17</f>
        <v>60.253118121790166</v>
      </c>
      <c r="N4" t="s">
        <v>24</v>
      </c>
    </row>
    <row r="5" spans="1:20">
      <c r="A5" s="18">
        <v>1998</v>
      </c>
      <c r="B5" s="11">
        <f>'1B'!L19*1000/'2B'!B18</f>
        <v>42.165232711020771</v>
      </c>
      <c r="C5" s="11">
        <f>'1B'!M19*1000/'2B'!C18</f>
        <v>38.441169371441553</v>
      </c>
      <c r="D5" s="11">
        <f>'1B'!N19*1000/'2B'!D18</f>
        <v>34.546665186993671</v>
      </c>
      <c r="E5" s="11">
        <f>'1B'!O19*1000/'2B'!E18</f>
        <v>21.861892249188035</v>
      </c>
      <c r="F5" s="11">
        <f>'1B'!P19*1000/'2B'!F18</f>
        <v>18.329022826942538</v>
      </c>
      <c r="G5" s="11">
        <f>'1B'!Q19*1000/'2B'!G18</f>
        <v>22.673305247031788</v>
      </c>
      <c r="H5" s="11">
        <f>'1B'!R19*1000/'2B'!H18</f>
        <v>25.336006046465776</v>
      </c>
      <c r="I5" s="11">
        <f>'1B'!S19*1000/'2B'!I18</f>
        <v>56.080170215530543</v>
      </c>
      <c r="J5" s="11">
        <f>'1B'!T19*1000/'2B'!J18</f>
        <v>53.815826527738665</v>
      </c>
      <c r="K5" s="11">
        <f>'1B'!U19*1000/'2B'!K18</f>
        <v>56.050782545761585</v>
      </c>
      <c r="N5" t="s">
        <v>2</v>
      </c>
      <c r="O5" t="s">
        <v>8</v>
      </c>
      <c r="P5" t="s">
        <v>20</v>
      </c>
      <c r="Q5" t="s">
        <v>4</v>
      </c>
      <c r="R5" t="s">
        <v>5</v>
      </c>
      <c r="S5" t="s">
        <v>6</v>
      </c>
      <c r="T5" t="s">
        <v>7</v>
      </c>
    </row>
    <row r="6" spans="1:20">
      <c r="A6" s="18">
        <v>1999</v>
      </c>
      <c r="B6" s="11">
        <f>'1B'!L20*1000/'2B'!B19</f>
        <v>43.914490769569149</v>
      </c>
      <c r="C6" s="11">
        <f>'1B'!M20*1000/'2B'!C19</f>
        <v>36.374657139954621</v>
      </c>
      <c r="D6" s="11">
        <f>'1B'!N20*1000/'2B'!D19</f>
        <v>35.920129519697788</v>
      </c>
      <c r="E6" s="11">
        <f>'1B'!O20*1000/'2B'!E19</f>
        <v>21.002017908941859</v>
      </c>
      <c r="F6" s="11">
        <f>'1B'!P20*1000/'2B'!F19</f>
        <v>15.810027714789619</v>
      </c>
      <c r="G6" s="11">
        <f>'1B'!Q20*1000/'2B'!G19</f>
        <v>22.509060850766197</v>
      </c>
      <c r="H6" s="11">
        <f>'1B'!R20*1000/'2B'!H19</f>
        <v>26.892868363179389</v>
      </c>
      <c r="I6" s="11">
        <f>'1B'!S20*1000/'2B'!I19</f>
        <v>51.346414382049836</v>
      </c>
      <c r="J6" s="11">
        <f>'1B'!T20*1000/'2B'!J19</f>
        <v>49.905603020703339</v>
      </c>
      <c r="K6" s="11">
        <f>'1B'!U20*1000/'2B'!K19</f>
        <v>49.788049474478832</v>
      </c>
      <c r="M6">
        <v>1998</v>
      </c>
      <c r="N6">
        <f>((B5/B4)-1)*100</f>
        <v>1.3074091001855859</v>
      </c>
      <c r="O6">
        <f>((C5/C4)-1)*100</f>
        <v>2.0265553017269289</v>
      </c>
      <c r="P6">
        <f>((D5/D4)-1)*100</f>
        <v>12.682002755526533</v>
      </c>
      <c r="Q6">
        <f>((E5/E4)-1)*100</f>
        <v>4.5258371031414502</v>
      </c>
      <c r="R6">
        <f t="shared" ref="R6:T21" si="0">((I5/I4)-1)*100</f>
        <v>1.9951244336020357</v>
      </c>
      <c r="S6">
        <f t="shared" si="0"/>
        <v>11.74402053226391</v>
      </c>
      <c r="T6">
        <f t="shared" si="0"/>
        <v>-6.9744698814331318</v>
      </c>
    </row>
    <row r="7" spans="1:20">
      <c r="A7" s="18">
        <v>2000</v>
      </c>
      <c r="B7" s="11">
        <f>'1B'!L21*1000/'2B'!B20</f>
        <v>45.259045175962555</v>
      </c>
      <c r="C7" s="11">
        <f>'1B'!M21*1000/'2B'!C20</f>
        <v>42.719764213989514</v>
      </c>
      <c r="D7" s="11">
        <f>'1B'!N21*1000/'2B'!D20</f>
        <v>40</v>
      </c>
      <c r="E7" s="11">
        <f>'1B'!O21*1000/'2B'!E20</f>
        <v>25.993648507071764</v>
      </c>
      <c r="F7" s="11">
        <f>'1B'!P21*1000/'2B'!F20</f>
        <v>24.294776623026049</v>
      </c>
      <c r="G7" s="11">
        <f>'1B'!Q21*1000/'2B'!G20</f>
        <v>25.251153950583763</v>
      </c>
      <c r="H7" s="11">
        <f>'1B'!R21*1000/'2B'!H20</f>
        <v>30.02631662386252</v>
      </c>
      <c r="I7" s="11">
        <f>'1B'!S21*1000/'2B'!I20</f>
        <v>59.493828505611155</v>
      </c>
      <c r="J7" s="11">
        <f>'1B'!T21*1000/'2B'!J20</f>
        <v>64.067532651399858</v>
      </c>
      <c r="K7" s="11">
        <f>'1B'!U21*1000/'2B'!K20</f>
        <v>52.008668111351895</v>
      </c>
      <c r="M7">
        <v>1999</v>
      </c>
      <c r="N7">
        <f t="shared" ref="N7:N21" si="1">((B6/B5)-1)*100</f>
        <v>4.1485791636368008</v>
      </c>
      <c r="O7">
        <f t="shared" ref="O7:O21" si="2">((C6/C5)-1)*100</f>
        <v>-5.3757787946538631</v>
      </c>
      <c r="P7">
        <f t="shared" ref="P7:P21" si="3">((D6/D5)-1)*100</f>
        <v>3.9756784779944709</v>
      </c>
      <c r="Q7">
        <f t="shared" ref="Q7:Q21" si="4">((E6/E5)-1)*100</f>
        <v>-3.9332109519390368</v>
      </c>
      <c r="R7">
        <f t="shared" si="0"/>
        <v>-8.4410511153722663</v>
      </c>
      <c r="S7">
        <f t="shared" si="0"/>
        <v>-7.2659359882168761</v>
      </c>
      <c r="T7">
        <f t="shared" si="0"/>
        <v>-11.173319598472442</v>
      </c>
    </row>
    <row r="8" spans="1:20">
      <c r="A8" s="18">
        <v>2001</v>
      </c>
      <c r="B8" s="11">
        <f>'1B'!L22*1000/'2B'!B21</f>
        <v>45.259677142022824</v>
      </c>
      <c r="C8" s="11">
        <f>'1B'!M22*1000/'2B'!C21</f>
        <v>42.019040849662034</v>
      </c>
      <c r="D8" s="11">
        <f>'1B'!N22*1000/'2B'!D21</f>
        <v>42.631785774434405</v>
      </c>
      <c r="E8" s="11">
        <f>'1B'!O22*1000/'2B'!E21</f>
        <v>25.757282492983645</v>
      </c>
      <c r="F8" s="11">
        <f>'1B'!P22*1000/'2B'!F21</f>
        <v>21.767343086361493</v>
      </c>
      <c r="G8" s="11">
        <f>'1B'!Q22*1000/'2B'!G21</f>
        <v>25.71281220069255</v>
      </c>
      <c r="H8" s="11">
        <f>'1B'!R22*1000/'2B'!H21</f>
        <v>31.074254122581259</v>
      </c>
      <c r="I8" s="11">
        <f>'1B'!S22*1000/'2B'!I21</f>
        <v>57.01440471536403</v>
      </c>
      <c r="J8" s="11">
        <f>'1B'!T22*1000/'2B'!J21</f>
        <v>57.527504342790969</v>
      </c>
      <c r="K8" s="11">
        <f>'1B'!U22*1000/'2B'!K21</f>
        <v>56.608530122961362</v>
      </c>
      <c r="M8">
        <v>2000</v>
      </c>
      <c r="N8">
        <f t="shared" si="1"/>
        <v>3.0617556593076189</v>
      </c>
      <c r="O8">
        <f t="shared" si="2"/>
        <v>17.443757750407229</v>
      </c>
      <c r="P8">
        <f t="shared" si="3"/>
        <v>11.358173076923084</v>
      </c>
      <c r="Q8">
        <f t="shared" si="4"/>
        <v>23.767385685375775</v>
      </c>
      <c r="R8">
        <f t="shared" si="0"/>
        <v>15.867542498565523</v>
      </c>
      <c r="S8">
        <f t="shared" si="0"/>
        <v>28.377434142658188</v>
      </c>
      <c r="T8">
        <f t="shared" si="0"/>
        <v>4.46014387049114</v>
      </c>
    </row>
    <row r="9" spans="1:20">
      <c r="A9" s="18">
        <v>2002</v>
      </c>
      <c r="B9" s="11">
        <f>'1B'!L23*1000/'2B'!B22</f>
        <v>46.027946105198843</v>
      </c>
      <c r="C9" s="11">
        <f>'1B'!M23*1000/'2B'!C22</f>
        <v>43.932226889042937</v>
      </c>
      <c r="D9" s="11">
        <f>'1B'!N23*1000/'2B'!D22</f>
        <v>45.043115921060249</v>
      </c>
      <c r="E9" s="11">
        <f>'1B'!O23*1000/'2B'!E22</f>
        <v>28.043380607071811</v>
      </c>
      <c r="F9" s="11">
        <f>'1B'!P23*1000/'2B'!F22</f>
        <v>26.503698938565456</v>
      </c>
      <c r="G9" s="11">
        <f>'1B'!Q23*1000/'2B'!G22</f>
        <v>28.101390948245427</v>
      </c>
      <c r="H9" s="11">
        <f>'1B'!R23*1000/'2B'!H22</f>
        <v>31.294059952185375</v>
      </c>
      <c r="I9" s="11">
        <f>'1B'!S23*1000/'2B'!I22</f>
        <v>58.314451996978988</v>
      </c>
      <c r="J9" s="11">
        <f>'1B'!T23*1000/'2B'!J22</f>
        <v>61.095659811168851</v>
      </c>
      <c r="K9" s="11">
        <f>'1B'!U23*1000/'2B'!K22</f>
        <v>56.161385005721108</v>
      </c>
      <c r="M9">
        <v>2001</v>
      </c>
      <c r="N9">
        <f t="shared" si="1"/>
        <v>1.3963309606124241E-3</v>
      </c>
      <c r="O9">
        <f t="shared" si="2"/>
        <v>-1.6402791008336415</v>
      </c>
      <c r="P9">
        <f t="shared" si="3"/>
        <v>6.5794644360860133</v>
      </c>
      <c r="Q9">
        <f t="shared" si="4"/>
        <v>-0.90932219085679833</v>
      </c>
      <c r="R9">
        <f t="shared" si="0"/>
        <v>-4.1675310742748328</v>
      </c>
      <c r="S9">
        <f t="shared" si="0"/>
        <v>-10.208022750297053</v>
      </c>
      <c r="T9">
        <f t="shared" si="0"/>
        <v>8.844414169117055</v>
      </c>
    </row>
    <row r="10" spans="1:20">
      <c r="A10" s="18">
        <v>2003</v>
      </c>
      <c r="B10" s="11">
        <f>'1B'!L24*1000/'2B'!B23</f>
        <v>46.196285440698595</v>
      </c>
      <c r="C10" s="11">
        <f>'1B'!M24*1000/'2B'!C23</f>
        <v>45.9784819949246</v>
      </c>
      <c r="D10" s="11">
        <f>'1B'!N24*1000/'2B'!D23</f>
        <v>42.245896919090121</v>
      </c>
      <c r="E10" s="11">
        <f>'1B'!O24*1000/'2B'!E23</f>
        <v>29.734634081374441</v>
      </c>
      <c r="F10" s="11">
        <f>'1B'!P24*1000/'2B'!F23</f>
        <v>27.808144301721782</v>
      </c>
      <c r="G10" s="11">
        <f>'1B'!Q24*1000/'2B'!G23</f>
        <v>26.902281418963472</v>
      </c>
      <c r="H10" s="11">
        <f>'1B'!R24*1000/'2B'!H23</f>
        <v>35.255245332892784</v>
      </c>
      <c r="I10" s="11">
        <f>'1B'!S24*1000/'2B'!I23</f>
        <v>61.838134430727024</v>
      </c>
      <c r="J10" s="11">
        <f>'1B'!T24*1000/'2B'!J23</f>
        <v>65.646653582729201</v>
      </c>
      <c r="K10" s="11">
        <f>'1B'!U24*1000/'2B'!K23</f>
        <v>59.786433088108652</v>
      </c>
      <c r="M10">
        <v>2002</v>
      </c>
      <c r="N10">
        <f t="shared" si="1"/>
        <v>1.6974689429737344</v>
      </c>
      <c r="O10">
        <f t="shared" si="2"/>
        <v>4.5531406731200708</v>
      </c>
      <c r="P10">
        <f t="shared" si="3"/>
        <v>5.6561790758290931</v>
      </c>
      <c r="Q10">
        <f t="shared" si="4"/>
        <v>8.8755407901082162</v>
      </c>
      <c r="R10">
        <f t="shared" si="0"/>
        <v>2.2802084632914221</v>
      </c>
      <c r="S10">
        <f t="shared" si="0"/>
        <v>6.2025208796060438</v>
      </c>
      <c r="T10">
        <f t="shared" si="0"/>
        <v>-0.78988999761872014</v>
      </c>
    </row>
    <row r="11" spans="1:20">
      <c r="A11" s="18">
        <v>2004</v>
      </c>
      <c r="B11" s="11">
        <f>'1B'!L25*1000/'2B'!B24</f>
        <v>45.950215140897313</v>
      </c>
      <c r="C11" s="11">
        <f>'1B'!M25*1000/'2B'!C24</f>
        <v>45.511438411782827</v>
      </c>
      <c r="D11" s="11">
        <f>'1B'!N25*1000/'2B'!D24</f>
        <v>42.181662277209533</v>
      </c>
      <c r="E11" s="11">
        <f>'1B'!O25*1000/'2B'!E24</f>
        <v>29.492682765135822</v>
      </c>
      <c r="F11" s="11">
        <f>'1B'!P25*1000/'2B'!F24</f>
        <v>25.518035303146586</v>
      </c>
      <c r="G11" s="11">
        <f>'1B'!Q25*1000/'2B'!G24</f>
        <v>28.224415154233661</v>
      </c>
      <c r="H11" s="11">
        <f>'1B'!R25*1000/'2B'!H24</f>
        <v>35.451837140019862</v>
      </c>
      <c r="I11" s="11">
        <f>'1B'!S25*1000/'2B'!I24</f>
        <v>60.935517012147216</v>
      </c>
      <c r="J11" s="11">
        <f>'1B'!T25*1000/'2B'!J24</f>
        <v>68.471946036573485</v>
      </c>
      <c r="K11" s="11">
        <f>'1B'!U25*1000/'2B'!K24</f>
        <v>56.055747409965463</v>
      </c>
      <c r="M11">
        <v>2003</v>
      </c>
      <c r="N11">
        <f t="shared" si="1"/>
        <v>0.36573288565822093</v>
      </c>
      <c r="O11">
        <f t="shared" si="2"/>
        <v>4.6577541153326241</v>
      </c>
      <c r="P11">
        <f t="shared" si="3"/>
        <v>-6.2100921412105663</v>
      </c>
      <c r="Q11">
        <f t="shared" si="4"/>
        <v>6.0308473432626686</v>
      </c>
      <c r="R11">
        <f t="shared" si="0"/>
        <v>6.0425543121464642</v>
      </c>
      <c r="S11">
        <f t="shared" si="0"/>
        <v>7.448964109113998</v>
      </c>
      <c r="T11">
        <f t="shared" si="0"/>
        <v>6.4546985121863854</v>
      </c>
    </row>
    <row r="12" spans="1:20">
      <c r="A12" s="18">
        <v>2005</v>
      </c>
      <c r="B12" s="11">
        <f>'1B'!L26*1000/'2B'!B25</f>
        <v>47.124835714103483</v>
      </c>
      <c r="C12" s="11">
        <f>'1B'!M26*1000/'2B'!C25</f>
        <v>47.342732785238645</v>
      </c>
      <c r="D12" s="11">
        <f>'1B'!N26*1000/'2B'!D25</f>
        <v>45.285624607658505</v>
      </c>
      <c r="E12" s="11">
        <f>'1B'!O26*1000/'2B'!E25</f>
        <v>31.870373300979409</v>
      </c>
      <c r="F12" s="11">
        <f>'1B'!P26*1000/'2B'!F25</f>
        <v>29.055529816665565</v>
      </c>
      <c r="G12" s="11">
        <f>'1B'!Q26*1000/'2B'!G25</f>
        <v>36.297780517879161</v>
      </c>
      <c r="H12" s="11">
        <f>'1B'!R26*1000/'2B'!H25</f>
        <v>31.544207052284175</v>
      </c>
      <c r="I12" s="11">
        <f>'1B'!S26*1000/'2B'!I25</f>
        <v>62.158301408999414</v>
      </c>
      <c r="J12" s="11">
        <f>'1B'!T26*1000/'2B'!J25</f>
        <v>75.80987273428461</v>
      </c>
      <c r="K12" s="11">
        <f>'1B'!U26*1000/'2B'!K25</f>
        <v>55.176211453744493</v>
      </c>
      <c r="M12">
        <v>2004</v>
      </c>
      <c r="N12">
        <f t="shared" si="1"/>
        <v>-0.53266252352076604</v>
      </c>
      <c r="O12">
        <f t="shared" si="2"/>
        <v>-1.0157873050122168</v>
      </c>
      <c r="P12">
        <f t="shared" si="3"/>
        <v>-0.15204942151805234</v>
      </c>
      <c r="Q12">
        <f t="shared" si="4"/>
        <v>-0.8137020135390749</v>
      </c>
      <c r="R12">
        <f t="shared" si="0"/>
        <v>-1.4596452931337156</v>
      </c>
      <c r="S12">
        <f t="shared" si="0"/>
        <v>4.3037874737724469</v>
      </c>
      <c r="T12">
        <f t="shared" si="0"/>
        <v>-6.2400204953608647</v>
      </c>
    </row>
    <row r="13" spans="1:20">
      <c r="A13" s="18">
        <v>2006</v>
      </c>
      <c r="B13" s="235">
        <f>'1B'!L27*1000/'2B'!B26</f>
        <v>47.719771703176555</v>
      </c>
      <c r="C13" s="235">
        <f>'1B'!M27*1000/'2B'!C26</f>
        <v>44.421612100798797</v>
      </c>
      <c r="D13" s="235">
        <f>'1B'!N27*1000/'2B'!D26</f>
        <v>40.219808975533169</v>
      </c>
      <c r="E13" s="235">
        <f>'1B'!O27*1000/'2B'!E26</f>
        <v>32.883657601490562</v>
      </c>
      <c r="F13" s="235">
        <f>'1B'!P27*1000/'2B'!F26</f>
        <v>33.845468715208192</v>
      </c>
      <c r="G13" s="235">
        <f>'1B'!Q27*1000/'2B'!G26</f>
        <v>39.947609692206939</v>
      </c>
      <c r="H13" s="235">
        <f>'1B'!R27*1000/'2B'!H26</f>
        <v>29.440074346974676</v>
      </c>
      <c r="I13" s="235">
        <f>'1B'!S27*1000/'2B'!I26</f>
        <v>56.561310890953344</v>
      </c>
      <c r="J13" s="235">
        <f>'1B'!T27*1000/'2B'!J26</f>
        <v>66.075869001640129</v>
      </c>
      <c r="K13" s="235">
        <f>'1B'!U27*1000/'2B'!K26</f>
        <v>52.037220151618875</v>
      </c>
      <c r="M13">
        <v>2005</v>
      </c>
      <c r="N13">
        <f t="shared" si="1"/>
        <v>2.556289605183415</v>
      </c>
      <c r="O13">
        <f t="shared" si="2"/>
        <v>4.0238112381473234</v>
      </c>
      <c r="P13">
        <f t="shared" si="3"/>
        <v>7.3585585841789314</v>
      </c>
      <c r="Q13">
        <f t="shared" si="4"/>
        <v>8.061967623556864</v>
      </c>
      <c r="R13">
        <f t="shared" si="0"/>
        <v>2.0066858489252493</v>
      </c>
      <c r="S13">
        <f t="shared" si="0"/>
        <v>10.716690736074108</v>
      </c>
      <c r="T13">
        <f t="shared" si="0"/>
        <v>-1.5690379610648231</v>
      </c>
    </row>
    <row r="14" spans="1:20">
      <c r="A14" s="18">
        <v>2007</v>
      </c>
      <c r="B14" s="11">
        <f>'1B'!L28*1000/'2B'!B27</f>
        <v>47.779475228450437</v>
      </c>
      <c r="C14" s="11">
        <f>'1B'!M28*1000/'2B'!C27</f>
        <v>46.318846665266989</v>
      </c>
      <c r="D14" s="11">
        <f>'1B'!N28*1000/'2B'!D27</f>
        <v>41.5706560075241</v>
      </c>
      <c r="E14" s="11">
        <f>'1B'!O28*1000/'2B'!E27</f>
        <v>33.760674966560345</v>
      </c>
      <c r="F14" s="11">
        <f>'1B'!P28*1000/'2B'!F27</f>
        <v>34.589196550158874</v>
      </c>
      <c r="G14" s="11">
        <f>'1B'!Q28*1000/'2B'!G27</f>
        <v>45.855758880516682</v>
      </c>
      <c r="H14" s="11">
        <f>'1B'!R28*1000/'2B'!H27</f>
        <v>29.48142387500442</v>
      </c>
      <c r="I14" s="11">
        <f>'1B'!S28*1000/'2B'!I27</f>
        <v>58.986366554628198</v>
      </c>
      <c r="J14" s="11">
        <f>'1B'!T28*1000/'2B'!J27</f>
        <v>72.156885805009992</v>
      </c>
      <c r="K14" s="11">
        <f>'1B'!U28*1000/'2B'!K27</f>
        <v>52.756453048509123</v>
      </c>
      <c r="M14">
        <v>2006</v>
      </c>
      <c r="N14">
        <f t="shared" si="1"/>
        <v>1.2624680384721643</v>
      </c>
      <c r="O14">
        <f t="shared" si="2"/>
        <v>-6.1701564582064989</v>
      </c>
      <c r="P14">
        <f t="shared" si="3"/>
        <v>-11.186365819206623</v>
      </c>
      <c r="Q14">
        <f t="shared" si="4"/>
        <v>3.1793926319652277</v>
      </c>
      <c r="R14">
        <f t="shared" si="0"/>
        <v>-9.0044135556698546</v>
      </c>
      <c r="S14">
        <f t="shared" si="0"/>
        <v>-12.840021202465801</v>
      </c>
      <c r="T14">
        <f t="shared" si="0"/>
        <v>-5.689030144371376</v>
      </c>
    </row>
    <row r="15" spans="1:20">
      <c r="A15" s="18">
        <v>2008</v>
      </c>
      <c r="B15" s="11">
        <f>'1B'!L29*1000/'2B'!B28</f>
        <v>47.450447863513851</v>
      </c>
      <c r="C15" s="11">
        <f>'1B'!M29*1000/'2B'!C28</f>
        <v>46.526583342888813</v>
      </c>
      <c r="D15" s="11">
        <f>'1B'!N29*1000/'2B'!D28</f>
        <v>42.257106491302501</v>
      </c>
      <c r="E15" s="11">
        <f>'1B'!O29*1000/'2B'!E28</f>
        <v>33.526078408696655</v>
      </c>
      <c r="F15" s="11">
        <f>'1B'!P29*1000/'2B'!F28</f>
        <v>37.30289479877618</v>
      </c>
      <c r="G15" s="11">
        <f>'1B'!Q29*1000/'2B'!G28</f>
        <v>47.161572052401745</v>
      </c>
      <c r="H15" s="11">
        <f>'1B'!R29*1000/'2B'!H28</f>
        <v>28.179028515829653</v>
      </c>
      <c r="I15" s="11">
        <f>'1B'!S29*1000/'2B'!I28</f>
        <v>58.865248226950357</v>
      </c>
      <c r="J15" s="11">
        <f>'1B'!T29*1000/'2B'!J28</f>
        <v>78.814885366351447</v>
      </c>
      <c r="K15" s="11">
        <f>'1B'!U29*1000/'2B'!K28</f>
        <v>50.479489308104085</v>
      </c>
      <c r="M15">
        <v>2007</v>
      </c>
      <c r="N15">
        <f t="shared" si="1"/>
        <v>0.12511276383559977</v>
      </c>
      <c r="O15">
        <f t="shared" si="2"/>
        <v>4.27097188675436</v>
      </c>
      <c r="P15">
        <f t="shared" si="3"/>
        <v>3.3586609842246817</v>
      </c>
      <c r="Q15">
        <f t="shared" si="4"/>
        <v>2.6670310696521371</v>
      </c>
      <c r="R15">
        <f t="shared" si="0"/>
        <v>4.2874813639843135</v>
      </c>
      <c r="S15">
        <f t="shared" si="0"/>
        <v>9.2030826007281519</v>
      </c>
      <c r="T15">
        <f t="shared" si="0"/>
        <v>1.3821508812243311</v>
      </c>
    </row>
    <row r="16" spans="1:20">
      <c r="A16" s="18">
        <v>2009</v>
      </c>
      <c r="B16" s="11">
        <f>'1B'!L30*1000/'2B'!B29</f>
        <v>47.929425000489537</v>
      </c>
      <c r="C16" s="11">
        <f>'1B'!M30*1000/'2B'!C29</f>
        <v>43.950453439504535</v>
      </c>
      <c r="D16" s="11">
        <f>'1B'!N30*1000/'2B'!D29</f>
        <v>44.387288523090994</v>
      </c>
      <c r="E16" s="11">
        <f>'1B'!O30*1000/'2B'!E29</f>
        <v>31.39489664662419</v>
      </c>
      <c r="F16" s="11">
        <f>'1B'!P30*1000/'2B'!F29</f>
        <v>36.490008688097305</v>
      </c>
      <c r="G16" s="11">
        <f>'1B'!Q30*1000/'2B'!G29</f>
        <v>45.291479820627799</v>
      </c>
      <c r="H16" s="11">
        <f>'1B'!R30*1000/'2B'!H29</f>
        <v>25.590926420129623</v>
      </c>
      <c r="I16" s="11">
        <f>'1B'!S30*1000/'2B'!I29</f>
        <v>53.462787612643524</v>
      </c>
      <c r="J16" s="11">
        <f>'1B'!T30*1000/'2B'!J29</f>
        <v>60.730409545307964</v>
      </c>
      <c r="K16" s="11">
        <f>'1B'!U30*1000/'2B'!K29</f>
        <v>50.83338655086532</v>
      </c>
      <c r="M16">
        <v>2008</v>
      </c>
      <c r="N16">
        <f t="shared" si="1"/>
        <v>-0.68863746067404641</v>
      </c>
      <c r="O16">
        <f t="shared" si="2"/>
        <v>0.44849276823120121</v>
      </c>
      <c r="P16">
        <f t="shared" si="3"/>
        <v>1.6512861467814055</v>
      </c>
      <c r="Q16">
        <f t="shared" si="4"/>
        <v>-0.69488112455113882</v>
      </c>
      <c r="R16">
        <f t="shared" si="0"/>
        <v>-0.20533274848464345</v>
      </c>
      <c r="S16">
        <f t="shared" si="0"/>
        <v>9.2271160084893555</v>
      </c>
      <c r="T16">
        <f t="shared" si="0"/>
        <v>-4.315990952445925</v>
      </c>
    </row>
    <row r="17" spans="1:20">
      <c r="A17" s="18">
        <v>2010</v>
      </c>
      <c r="B17" s="11">
        <f>'1B'!L31*1000/'2B'!B30</f>
        <v>48.51152968618193</v>
      </c>
      <c r="C17" s="11">
        <f>'1B'!M31*1000/'2B'!C30</f>
        <v>47.156173847209409</v>
      </c>
      <c r="D17" s="11">
        <f>'1B'!N31*1000/'2B'!D30</f>
        <v>46.251588310038116</v>
      </c>
      <c r="E17" s="11">
        <f>'1B'!O31*1000/'2B'!E30</f>
        <v>31.104088372622709</v>
      </c>
      <c r="F17" s="11">
        <f>'1B'!P31*1000/'2B'!F30</f>
        <v>30.827067669172934</v>
      </c>
      <c r="G17" s="11">
        <f>'1B'!Q31*1000/'2B'!G30</f>
        <v>46.765734265734267</v>
      </c>
      <c r="H17" s="11">
        <f>'1B'!R31*1000/'2B'!H30</f>
        <v>26.145303100416474</v>
      </c>
      <c r="I17" s="11">
        <f>'1B'!S31*1000/'2B'!I30</f>
        <v>61.183225774789584</v>
      </c>
      <c r="J17" s="11">
        <f>'1B'!T31*1000/'2B'!J30</f>
        <v>73.610394080192734</v>
      </c>
      <c r="K17" s="11">
        <f>'1B'!U31*1000/'2B'!K30</f>
        <v>56.190999279118465</v>
      </c>
      <c r="M17">
        <v>2009</v>
      </c>
      <c r="N17">
        <f t="shared" si="1"/>
        <v>1.0094259560065932</v>
      </c>
      <c r="O17">
        <f t="shared" si="2"/>
        <v>-5.536898947422964</v>
      </c>
      <c r="P17">
        <f t="shared" si="3"/>
        <v>5.0410030611701684</v>
      </c>
      <c r="Q17">
        <f t="shared" si="4"/>
        <v>-6.3567880981857954</v>
      </c>
      <c r="R17">
        <f t="shared" si="0"/>
        <v>-9.1776740556296801</v>
      </c>
      <c r="S17">
        <f t="shared" si="0"/>
        <v>-22.94550799253502</v>
      </c>
      <c r="T17">
        <f t="shared" si="0"/>
        <v>0.70107136108530366</v>
      </c>
    </row>
    <row r="18" spans="1:20">
      <c r="A18" s="18">
        <v>2011</v>
      </c>
      <c r="B18" s="11">
        <f>'1B'!L32*1000/'2B'!B31</f>
        <v>48.83416699850067</v>
      </c>
      <c r="C18" s="11">
        <f>'1B'!M32*1000/'2B'!C31</f>
        <v>45.138091780083862</v>
      </c>
      <c r="D18" s="11">
        <f>'1B'!N32*1000/'2B'!D31</f>
        <v>39.402446360537397</v>
      </c>
      <c r="E18" s="11">
        <f>'1B'!O32*1000/'2B'!E31</f>
        <v>30.812708234174202</v>
      </c>
      <c r="F18" s="11">
        <f>'1B'!P32*1000/'2B'!F31</f>
        <v>27.896678966789668</v>
      </c>
      <c r="G18" s="11">
        <f>'1B'!Q32*1000/'2B'!G31</f>
        <v>50.20147750167898</v>
      </c>
      <c r="H18" s="11">
        <f>'1B'!R32*1000/'2B'!H31</f>
        <v>26.04740244194398</v>
      </c>
      <c r="I18" s="11">
        <f>'1B'!S32*1000/'2B'!I31</f>
        <v>58.031013688140135</v>
      </c>
      <c r="J18" s="11">
        <f>'1B'!T32*1000/'2B'!J31</f>
        <v>66.135030162796468</v>
      </c>
      <c r="K18" s="11">
        <f>'1B'!U32*1000/'2B'!K31</f>
        <v>54.899450938121063</v>
      </c>
      <c r="M18">
        <v>2010</v>
      </c>
      <c r="N18">
        <f t="shared" si="1"/>
        <v>1.2145037952916216</v>
      </c>
      <c r="O18">
        <f t="shared" si="2"/>
        <v>7.2939416020300518</v>
      </c>
      <c r="P18">
        <f t="shared" si="3"/>
        <v>4.2000758527461768</v>
      </c>
      <c r="Q18">
        <f t="shared" si="4"/>
        <v>-0.92629154755554666</v>
      </c>
      <c r="R18">
        <f t="shared" si="0"/>
        <v>14.440769939052412</v>
      </c>
      <c r="S18">
        <f t="shared" si="0"/>
        <v>21.208459866017606</v>
      </c>
      <c r="T18">
        <f t="shared" si="0"/>
        <v>10.539554988909039</v>
      </c>
    </row>
    <row r="19" spans="1:20">
      <c r="A19" s="18">
        <v>2012</v>
      </c>
      <c r="B19" s="11">
        <f>'1B'!L33*1000/'2B'!B32</f>
        <v>49.057451881939343</v>
      </c>
      <c r="C19" s="11">
        <f>'1B'!M33*1000/'2B'!C32</f>
        <v>49.066985025044772</v>
      </c>
      <c r="D19" s="11">
        <f>'1B'!N33*1000/'2B'!D32</f>
        <v>39.372822299651567</v>
      </c>
      <c r="E19" s="11">
        <f>'1B'!O33*1000/'2B'!E32</f>
        <v>36.398201415063149</v>
      </c>
      <c r="F19" s="11">
        <f>'1B'!P33*1000/'2B'!F32</f>
        <v>43.799095453463458</v>
      </c>
      <c r="G19" s="11">
        <f>'1B'!Q33*1000/'2B'!G32</f>
        <v>54.805930368149262</v>
      </c>
      <c r="H19" s="11">
        <f>'1B'!R33*1000/'2B'!H32</f>
        <v>29.188703722183416</v>
      </c>
      <c r="I19" s="11">
        <f>'1B'!S33*1000/'2B'!I32</f>
        <v>61.280950636025757</v>
      </c>
      <c r="J19" s="11">
        <f>'1B'!T33*1000/'2B'!J32</f>
        <v>59.474906233255936</v>
      </c>
      <c r="K19" s="11">
        <f>'1B'!U33*1000/'2B'!K32</f>
        <v>62.770290284360186</v>
      </c>
      <c r="M19">
        <v>2011</v>
      </c>
      <c r="N19">
        <f t="shared" si="1"/>
        <v>0.66507346687656455</v>
      </c>
      <c r="O19">
        <f t="shared" si="2"/>
        <v>-4.2795712681532034</v>
      </c>
      <c r="P19">
        <f t="shared" si="3"/>
        <v>-14.80844701718974</v>
      </c>
      <c r="Q19">
        <f t="shared" si="4"/>
        <v>-0.93679047898080903</v>
      </c>
      <c r="R19">
        <f t="shared" si="0"/>
        <v>-5.1520854723359655</v>
      </c>
      <c r="S19">
        <f t="shared" si="0"/>
        <v>-10.15531028030151</v>
      </c>
      <c r="T19">
        <f t="shared" si="0"/>
        <v>-2.2984968368009784</v>
      </c>
    </row>
    <row r="20" spans="1:20">
      <c r="A20" s="18">
        <v>2013</v>
      </c>
      <c r="B20" s="11">
        <f>'1B'!L34*1000/'2B'!B33</f>
        <v>49.173885691667337</v>
      </c>
      <c r="C20" s="11">
        <f>'1B'!M34*1000/'2B'!C33</f>
        <v>48.356988089285487</v>
      </c>
      <c r="D20" s="11">
        <f>'1B'!N34*1000/'2B'!D33</f>
        <v>43.188073394495412</v>
      </c>
      <c r="E20" s="11">
        <f>'1B'!O34*1000/'2B'!E33</f>
        <v>36.316287878787875</v>
      </c>
      <c r="F20" s="11">
        <f>'1B'!P34*1000/'2B'!F33</f>
        <v>47.908560311284049</v>
      </c>
      <c r="G20" s="11">
        <f>'1B'!Q34*1000/'2B'!G33</f>
        <v>54.980786284362992</v>
      </c>
      <c r="H20" s="11">
        <f>'1B'!R34*1000/'2B'!H33</f>
        <v>28.171722513340704</v>
      </c>
      <c r="I20" s="11">
        <f>'1B'!S34*1000/'2B'!I33</f>
        <v>59.7015719339309</v>
      </c>
      <c r="J20" s="11">
        <f>'1B'!T34*1000/'2B'!J33</f>
        <v>59.639126305792971</v>
      </c>
      <c r="K20" s="11">
        <f>'1B'!U34*1000/'2B'!K33</f>
        <v>60.198354732067351</v>
      </c>
      <c r="M20">
        <v>2012</v>
      </c>
      <c r="N20">
        <f t="shared" si="1"/>
        <v>0.45723086347624342</v>
      </c>
      <c r="O20">
        <f t="shared" si="2"/>
        <v>8.7041633574205477</v>
      </c>
      <c r="P20">
        <f t="shared" si="3"/>
        <v>-7.5183303632386789E-2</v>
      </c>
      <c r="Q20">
        <f t="shared" si="4"/>
        <v>18.12723873033044</v>
      </c>
      <c r="R20">
        <f t="shared" si="0"/>
        <v>5.600344955803882</v>
      </c>
      <c r="S20">
        <f t="shared" si="0"/>
        <v>-10.0704935238498</v>
      </c>
      <c r="T20">
        <f t="shared" si="0"/>
        <v>14.336827075211733</v>
      </c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>
        <v>2013</v>
      </c>
      <c r="N21">
        <f t="shared" si="1"/>
        <v>0.23734173965701544</v>
      </c>
      <c r="O21">
        <f t="shared" si="2"/>
        <v>-1.4469952359960292</v>
      </c>
      <c r="P21">
        <f t="shared" si="3"/>
        <v>9.6900625152228628</v>
      </c>
      <c r="Q21">
        <f t="shared" si="4"/>
        <v>-0.22504830758306449</v>
      </c>
      <c r="R21">
        <f t="shared" si="0"/>
        <v>-2.5772751331412547</v>
      </c>
      <c r="S21">
        <f t="shared" si="0"/>
        <v>0.27611657241286558</v>
      </c>
      <c r="T21">
        <f t="shared" si="0"/>
        <v>-4.0973771837624522</v>
      </c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t="s">
        <v>27</v>
      </c>
    </row>
    <row r="24" spans="1:20" ht="30">
      <c r="A24" s="18" t="s">
        <v>19</v>
      </c>
      <c r="B24" s="11">
        <f>((B7/B4)^(1/3)-1)*100</f>
        <v>2.8325719649089365</v>
      </c>
      <c r="C24" s="11">
        <f t="shared" ref="C24:E24" si="5">((C7/C4)^(1/3)-1)*100</f>
        <v>4.2753909691197745</v>
      </c>
      <c r="D24" s="11">
        <f t="shared" si="5"/>
        <v>9.2704686903003264</v>
      </c>
      <c r="E24" s="11">
        <f t="shared" si="5"/>
        <v>7.5146673664785002</v>
      </c>
      <c r="F24" s="11">
        <f t="shared" ref="F24:H24" si="6">((F7/F4)^(1/3)-1)*100</f>
        <v>13.592895475715871</v>
      </c>
      <c r="G24" s="11">
        <f t="shared" si="6"/>
        <v>6.5475152868907482</v>
      </c>
      <c r="H24" s="11">
        <f t="shared" si="6"/>
        <v>5.0653256191844909</v>
      </c>
      <c r="I24" s="11">
        <f t="shared" ref="I24:K24" si="7">((I7/I4)^(1/3)-1)*100</f>
        <v>2.6630120776190092</v>
      </c>
      <c r="J24" s="11">
        <f t="shared" si="7"/>
        <v>9.9809396247714677</v>
      </c>
      <c r="K24" s="11">
        <f t="shared" si="7"/>
        <v>-4.7864550080158663</v>
      </c>
      <c r="M24">
        <v>1998</v>
      </c>
      <c r="N24">
        <f t="shared" ref="N24:N25" si="8">B5/$B$7</f>
        <v>0.93164211810228525</v>
      </c>
      <c r="O24">
        <f t="shared" ref="O24:O25" si="9">C5/$C$7</f>
        <v>0.8998450735562149</v>
      </c>
      <c r="P24">
        <f t="shared" ref="P24:P25" si="10">D5/$D$7</f>
        <v>0.86366662967484176</v>
      </c>
      <c r="Q24">
        <f t="shared" ref="Q24:Q25" si="11">E5/$E$7</f>
        <v>0.84104746754732584</v>
      </c>
      <c r="R24">
        <f t="shared" ref="R24:R25" si="12">I5/$I$7</f>
        <v>0.94262164033100249</v>
      </c>
      <c r="S24">
        <f t="shared" ref="S24:S25" si="13">J5/$J$7</f>
        <v>0.83998593828418333</v>
      </c>
      <c r="T24">
        <f t="shared" ref="T24:T25" si="14">K5/$K$7</f>
        <v>1.0777200143975119</v>
      </c>
    </row>
    <row r="25" spans="1:20" ht="30">
      <c r="A25" s="325" t="s">
        <v>68</v>
      </c>
      <c r="B25" s="11">
        <f>((B14/B7)^(1/7)-1)*100</f>
        <v>0.77719913734470847</v>
      </c>
      <c r="C25" s="11">
        <f t="shared" ref="C25:K25" si="15">((C14/C7)^(1/7)-1)*100</f>
        <v>1.1622343264604984</v>
      </c>
      <c r="D25" s="11">
        <f t="shared" si="15"/>
        <v>0.55173189104709142</v>
      </c>
      <c r="E25" s="11">
        <f t="shared" si="15"/>
        <v>3.805545283781675</v>
      </c>
      <c r="F25" s="11">
        <f t="shared" ref="F25:H25" si="16">((F14/F7)^(1/7)-1)*100</f>
        <v>5.1763810619510409</v>
      </c>
      <c r="G25" s="11">
        <f t="shared" si="16"/>
        <v>8.8970446511908783</v>
      </c>
      <c r="H25" s="11">
        <f t="shared" si="16"/>
        <v>-0.2612845144615572</v>
      </c>
      <c r="I25" s="11">
        <f t="shared" si="15"/>
        <v>-0.12230004844223652</v>
      </c>
      <c r="J25" s="11">
        <f t="shared" si="15"/>
        <v>1.7131517331859136</v>
      </c>
      <c r="K25" s="11">
        <f t="shared" si="15"/>
        <v>0.20414664479371236</v>
      </c>
      <c r="M25">
        <v>1999</v>
      </c>
      <c r="N25">
        <f t="shared" si="8"/>
        <v>0.97029202889354127</v>
      </c>
      <c r="O25">
        <f t="shared" si="9"/>
        <v>0.8514713929072425</v>
      </c>
      <c r="P25">
        <f t="shared" si="10"/>
        <v>0.89800323799244475</v>
      </c>
      <c r="Q25">
        <f t="shared" si="11"/>
        <v>0.80796729644274845</v>
      </c>
      <c r="R25">
        <f t="shared" si="12"/>
        <v>0.86305446584610201</v>
      </c>
      <c r="S25">
        <f t="shared" si="13"/>
        <v>0.77895309769843168</v>
      </c>
      <c r="T25">
        <f t="shared" si="14"/>
        <v>0.95730291281217472</v>
      </c>
    </row>
    <row r="26" spans="1:20" ht="30">
      <c r="A26" s="63" t="s">
        <v>69</v>
      </c>
      <c r="B26" s="11">
        <f>((B20/B14)^(1/6)-1)*100</f>
        <v>0.48059358421119747</v>
      </c>
      <c r="C26" s="11">
        <f t="shared" ref="C26:K26" si="17">((C20/C14)^(1/6)-1)*100</f>
        <v>0.72027843434443461</v>
      </c>
      <c r="D26" s="11">
        <f t="shared" si="17"/>
        <v>0.63819189428302447</v>
      </c>
      <c r="E26" s="11">
        <f t="shared" si="17"/>
        <v>1.2235866445885035</v>
      </c>
      <c r="F26" s="11">
        <f t="shared" ref="F26:H26" si="18">((F20/F14)^(1/6)-1)*100</f>
        <v>5.5792990438341628</v>
      </c>
      <c r="G26" s="11">
        <f t="shared" si="18"/>
        <v>3.0709257807417289</v>
      </c>
      <c r="H26" s="11">
        <f t="shared" si="18"/>
        <v>-0.75449989666751538</v>
      </c>
      <c r="I26" s="11">
        <f t="shared" si="17"/>
        <v>0.20106868494242924</v>
      </c>
      <c r="J26" s="11">
        <f t="shared" si="17"/>
        <v>-3.1256246449039904</v>
      </c>
      <c r="K26" s="11">
        <f t="shared" si="17"/>
        <v>2.2236786275102061</v>
      </c>
      <c r="M26">
        <v>2000</v>
      </c>
      <c r="N26">
        <f>B7/$B$7</f>
        <v>1</v>
      </c>
      <c r="O26">
        <f>C7/$C$7</f>
        <v>1</v>
      </c>
      <c r="P26">
        <f>D7/$D$7</f>
        <v>1</v>
      </c>
      <c r="Q26">
        <f>E7/$E$7</f>
        <v>1</v>
      </c>
      <c r="R26">
        <f>I7/$I$7</f>
        <v>1</v>
      </c>
      <c r="S26">
        <f>J7/$J$7</f>
        <v>1</v>
      </c>
      <c r="T26">
        <f>K7/$K$7</f>
        <v>1</v>
      </c>
    </row>
    <row r="27" spans="1:20" s="259" customFormat="1" ht="30">
      <c r="A27" s="325" t="s">
        <v>15</v>
      </c>
      <c r="B27" s="11">
        <f>((B20/B7)^(1/13)-1)*100</f>
        <v>0.64019562783679262</v>
      </c>
      <c r="C27" s="11">
        <f t="shared" ref="C27:K27" si="19">((C20/C7)^(1/13)-1)*100</f>
        <v>0.95801422184320639</v>
      </c>
      <c r="D27" s="11">
        <f t="shared" si="19"/>
        <v>0.59162727409065585</v>
      </c>
      <c r="E27" s="11">
        <f t="shared" si="19"/>
        <v>2.6057884986204316</v>
      </c>
      <c r="F27" s="11">
        <f t="shared" ref="F27:H27" si="20">((F20/F7)^(1/13)-1)*100</f>
        <v>5.3621517837359134</v>
      </c>
      <c r="G27" s="11">
        <f t="shared" si="20"/>
        <v>6.1682340542712488</v>
      </c>
      <c r="H27" s="11">
        <f t="shared" si="20"/>
        <v>-0.48922622352588485</v>
      </c>
      <c r="I27" s="11">
        <f t="shared" si="19"/>
        <v>2.6817179980409556E-2</v>
      </c>
      <c r="J27" s="11">
        <f t="shared" si="19"/>
        <v>-0.54945329461562054</v>
      </c>
      <c r="K27" s="11">
        <f t="shared" si="19"/>
        <v>1.1312322978172196</v>
      </c>
    </row>
    <row r="28" spans="1:20">
      <c r="A28" s="21"/>
      <c r="M28">
        <v>2002</v>
      </c>
      <c r="N28">
        <f>B9/$B$7</f>
        <v>1.0169888897621875</v>
      </c>
      <c r="O28">
        <f>C9/$C$7</f>
        <v>1.0283817735739369</v>
      </c>
      <c r="P28">
        <f>D9/$D$7</f>
        <v>1.1260778980265063</v>
      </c>
      <c r="Q28">
        <f>E9/$E$7</f>
        <v>1.0788551133728843</v>
      </c>
      <c r="R28">
        <f>I9/$I$7</f>
        <v>0.98017648992750683</v>
      </c>
      <c r="S28">
        <f>J9/$J$7</f>
        <v>0.9536134338682688</v>
      </c>
      <c r="T28">
        <f>K9/$K$7</f>
        <v>1.079846630286285</v>
      </c>
    </row>
    <row r="29" spans="1:20">
      <c r="A29" s="231" t="s">
        <v>144</v>
      </c>
      <c r="M29">
        <v>2003</v>
      </c>
      <c r="N29">
        <f>B10/$B$7</f>
        <v>1.020708352575538</v>
      </c>
      <c r="O29">
        <f>C10/$C$7</f>
        <v>1.0762812679539075</v>
      </c>
      <c r="P29">
        <f>D10/$D$7</f>
        <v>1.0561474229772529</v>
      </c>
      <c r="Q29">
        <f>E10/$E$7</f>
        <v>1.1439192183153863</v>
      </c>
      <c r="R29">
        <f>I10/$I$7</f>
        <v>1.0394041866862673</v>
      </c>
      <c r="S29">
        <f>J10/$J$7</f>
        <v>1.0246477562968057</v>
      </c>
      <c r="T29">
        <f>K10/$K$7</f>
        <v>1.1495474746652685</v>
      </c>
    </row>
    <row r="30" spans="1:20">
      <c r="A30" s="47" t="s">
        <v>41</v>
      </c>
      <c r="M30">
        <v>2006</v>
      </c>
      <c r="N30">
        <f t="shared" ref="N30:N37" si="21">B13/$B$7</f>
        <v>1.0543698285645873</v>
      </c>
      <c r="O30">
        <f t="shared" ref="O30:O37" si="22">C13/$C$7</f>
        <v>1.0398374831444406</v>
      </c>
      <c r="P30">
        <f t="shared" ref="P30:P37" si="23">D13/$D$7</f>
        <v>1.0054952243883293</v>
      </c>
      <c r="Q30">
        <f t="shared" ref="Q30:Q37" si="24">E13/$E$7</f>
        <v>1.2650651020592327</v>
      </c>
      <c r="R30">
        <f t="shared" ref="R30:R37" si="25">I13/$I$7</f>
        <v>0.9507088770664468</v>
      </c>
      <c r="S30">
        <f t="shared" ref="S30:S37" si="26">J13/$J$7</f>
        <v>1.0313471780030596</v>
      </c>
      <c r="T30">
        <f t="shared" ref="T30:T37" si="27">K13/$K$7</f>
        <v>1.0005489861844923</v>
      </c>
    </row>
    <row r="31" spans="1:20">
      <c r="A31" s="229" t="s">
        <v>310</v>
      </c>
      <c r="M31">
        <v>2007</v>
      </c>
      <c r="N31">
        <f t="shared" si="21"/>
        <v>1.0556889797981532</v>
      </c>
      <c r="O31">
        <f t="shared" si="22"/>
        <v>1.0842486497174737</v>
      </c>
      <c r="P31">
        <f t="shared" si="23"/>
        <v>1.0392664001881025</v>
      </c>
      <c r="Q31">
        <f t="shared" si="24"/>
        <v>1.298804781382479</v>
      </c>
      <c r="R31">
        <f t="shared" si="25"/>
        <v>0.99147034299641523</v>
      </c>
      <c r="S31">
        <f t="shared" si="26"/>
        <v>1.12626291069496</v>
      </c>
      <c r="T31">
        <f t="shared" si="27"/>
        <v>1.0143780828141225</v>
      </c>
    </row>
    <row r="32" spans="1:20">
      <c r="M32">
        <v>2008</v>
      </c>
      <c r="N32">
        <f t="shared" si="21"/>
        <v>1.0484191100150555</v>
      </c>
      <c r="O32">
        <f t="shared" si="22"/>
        <v>1.0891114265011013</v>
      </c>
      <c r="P32">
        <f t="shared" si="23"/>
        <v>1.0564276622825626</v>
      </c>
      <c r="Q32">
        <f t="shared" si="24"/>
        <v>1.2897796321118844</v>
      </c>
      <c r="R32">
        <f t="shared" si="25"/>
        <v>0.98943452969073065</v>
      </c>
      <c r="S32">
        <f t="shared" si="26"/>
        <v>1.2301844960253727</v>
      </c>
      <c r="T32">
        <f t="shared" si="27"/>
        <v>0.97059761653627052</v>
      </c>
    </row>
    <row r="33" spans="13:20">
      <c r="M33">
        <v>2009</v>
      </c>
      <c r="N33">
        <f t="shared" si="21"/>
        <v>1.0590021246392807</v>
      </c>
      <c r="O33">
        <f t="shared" si="22"/>
        <v>1.0288084273908986</v>
      </c>
      <c r="P33">
        <f t="shared" si="23"/>
        <v>1.1096822130772748</v>
      </c>
      <c r="Q33">
        <f t="shared" si="24"/>
        <v>1.2077910739649718</v>
      </c>
      <c r="R33">
        <f t="shared" si="25"/>
        <v>0.89862745356186291</v>
      </c>
      <c r="S33">
        <f t="shared" si="26"/>
        <v>0.94791241416694416</v>
      </c>
      <c r="T33">
        <f t="shared" si="27"/>
        <v>0.97740219845718279</v>
      </c>
    </row>
    <row r="34" spans="13:20">
      <c r="M34">
        <v>2010</v>
      </c>
      <c r="N34">
        <f t="shared" si="21"/>
        <v>1.0718637456352436</v>
      </c>
      <c r="O34">
        <f t="shared" si="22"/>
        <v>1.1038491132815544</v>
      </c>
      <c r="P34">
        <f t="shared" si="23"/>
        <v>1.1562897077509529</v>
      </c>
      <c r="Q34">
        <f t="shared" si="24"/>
        <v>1.1966034073347038</v>
      </c>
      <c r="R34">
        <f t="shared" si="25"/>
        <v>1.0283961767398966</v>
      </c>
      <c r="S34">
        <f t="shared" si="26"/>
        <v>1.1489500380905393</v>
      </c>
      <c r="T34">
        <f t="shared" si="27"/>
        <v>1.0804160406263834</v>
      </c>
    </row>
    <row r="35" spans="13:20">
      <c r="M35">
        <v>2011</v>
      </c>
      <c r="N35">
        <f t="shared" si="21"/>
        <v>1.0789924270085329</v>
      </c>
      <c r="O35">
        <f t="shared" si="22"/>
        <v>1.0566091037857932</v>
      </c>
      <c r="P35">
        <f t="shared" si="23"/>
        <v>0.98506115901343494</v>
      </c>
      <c r="Q35">
        <f t="shared" si="24"/>
        <v>1.1853937405436323</v>
      </c>
      <c r="R35">
        <f t="shared" si="25"/>
        <v>0.97541232672002176</v>
      </c>
      <c r="S35">
        <f t="shared" si="26"/>
        <v>1.0322705967568027</v>
      </c>
      <c r="T35">
        <f t="shared" si="27"/>
        <v>1.0555827121082957</v>
      </c>
    </row>
    <row r="36" spans="13:20">
      <c r="M36">
        <v>2012</v>
      </c>
      <c r="N36">
        <f t="shared" si="21"/>
        <v>1.0839259133993873</v>
      </c>
      <c r="O36">
        <f t="shared" si="22"/>
        <v>1.1485780862286858</v>
      </c>
      <c r="P36">
        <f t="shared" si="23"/>
        <v>0.98432055749128922</v>
      </c>
      <c r="Q36">
        <f t="shared" si="24"/>
        <v>1.4002728937863704</v>
      </c>
      <c r="R36">
        <f t="shared" si="25"/>
        <v>1.0300387817577759</v>
      </c>
      <c r="S36">
        <f t="shared" si="26"/>
        <v>0.9283158531618031</v>
      </c>
      <c r="T36">
        <f t="shared" si="27"/>
        <v>1.2069197801790921</v>
      </c>
    </row>
    <row r="37" spans="13:20">
      <c r="M37">
        <v>2013</v>
      </c>
      <c r="N37">
        <f t="shared" si="21"/>
        <v>1.0864985220188423</v>
      </c>
      <c r="O37">
        <f t="shared" si="22"/>
        <v>1.1319582160392623</v>
      </c>
      <c r="P37">
        <f t="shared" si="23"/>
        <v>1.0797018348623852</v>
      </c>
      <c r="Q37">
        <f t="shared" si="24"/>
        <v>1.3971216033373599</v>
      </c>
      <c r="R37">
        <f t="shared" si="25"/>
        <v>1.0034918483738218</v>
      </c>
      <c r="S37">
        <f t="shared" si="26"/>
        <v>0.93087908707671874</v>
      </c>
      <c r="T37">
        <f t="shared" si="27"/>
        <v>1.157467724479718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59"/>
  <sheetViews>
    <sheetView view="pageBreakPreview" topLeftCell="A4" zoomScaleNormal="100" zoomScaleSheetLayoutView="100" workbookViewId="0">
      <selection activeCell="I7" sqref="I7"/>
    </sheetView>
  </sheetViews>
  <sheetFormatPr defaultRowHeight="15"/>
  <cols>
    <col min="1" max="1" width="9.140625" style="3"/>
    <col min="2" max="2" width="11" style="3" customWidth="1"/>
    <col min="3" max="3" width="9.140625" style="3" customWidth="1"/>
    <col min="4" max="4" width="8.28515625" style="3" bestFit="1" customWidth="1"/>
    <col min="5" max="5" width="14.42578125" style="3" customWidth="1"/>
    <col min="6" max="8" width="8.5703125" style="3" customWidth="1"/>
    <col min="9" max="11" width="9.140625" style="3" customWidth="1"/>
    <col min="12" max="12" width="9.5703125" style="3" bestFit="1" customWidth="1"/>
    <col min="13" max="15" width="9.28515625" style="3" bestFit="1" customWidth="1"/>
    <col min="16" max="18" width="9.28515625" style="3" customWidth="1"/>
    <col min="19" max="21" width="9.28515625" style="3" bestFit="1" customWidth="1"/>
    <col min="22" max="23" width="9.140625" style="3"/>
    <col min="24" max="46" width="0" style="3" hidden="1" customWidth="1"/>
    <col min="47" max="16384" width="9.140625" style="3"/>
  </cols>
  <sheetData>
    <row r="1" spans="1:39">
      <c r="A1" s="454" t="s">
        <v>158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</row>
    <row r="2" spans="1:39" ht="15" customHeight="1">
      <c r="A2" s="1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</row>
    <row r="3" spans="1:39" ht="150">
      <c r="A3" s="18"/>
      <c r="B3" s="18" t="s">
        <v>2</v>
      </c>
      <c r="C3" s="21" t="s">
        <v>8</v>
      </c>
      <c r="D3" s="18" t="s">
        <v>3</v>
      </c>
      <c r="E3" s="18" t="s">
        <v>4</v>
      </c>
      <c r="F3" s="21" t="s">
        <v>36</v>
      </c>
      <c r="G3" s="21" t="s">
        <v>37</v>
      </c>
      <c r="H3" s="21" t="s">
        <v>38</v>
      </c>
      <c r="I3" s="18" t="s">
        <v>5</v>
      </c>
      <c r="J3" s="18" t="s">
        <v>6</v>
      </c>
      <c r="K3" s="18" t="s">
        <v>7</v>
      </c>
      <c r="L3" s="18" t="s">
        <v>2</v>
      </c>
      <c r="M3" s="18" t="s">
        <v>8</v>
      </c>
      <c r="N3" s="18" t="s">
        <v>3</v>
      </c>
      <c r="O3" s="18" t="s">
        <v>4</v>
      </c>
      <c r="P3" s="21" t="s">
        <v>36</v>
      </c>
      <c r="Q3" s="21" t="s">
        <v>37</v>
      </c>
      <c r="R3" s="21" t="s">
        <v>38</v>
      </c>
      <c r="S3" s="18" t="s">
        <v>5</v>
      </c>
      <c r="T3" s="18" t="s">
        <v>6</v>
      </c>
      <c r="U3" s="18" t="s">
        <v>7</v>
      </c>
    </row>
    <row r="4" spans="1:39">
      <c r="A4" s="6"/>
      <c r="B4" s="6"/>
      <c r="C4" s="36"/>
      <c r="D4" s="6"/>
      <c r="E4" s="6"/>
      <c r="F4" s="36"/>
      <c r="G4" s="36"/>
      <c r="H4" s="36"/>
      <c r="I4" s="6"/>
      <c r="J4" s="6"/>
      <c r="K4" s="6"/>
      <c r="L4" s="6"/>
      <c r="M4" s="6"/>
      <c r="N4" s="6"/>
      <c r="O4" s="6"/>
      <c r="P4" s="36"/>
      <c r="Q4" s="36"/>
      <c r="R4" s="36"/>
      <c r="S4" s="6"/>
      <c r="T4" s="6"/>
      <c r="U4" s="6"/>
      <c r="X4" s="4" t="s">
        <v>24</v>
      </c>
    </row>
    <row r="5" spans="1:39">
      <c r="A5" s="18">
        <v>1984</v>
      </c>
      <c r="B5" s="8">
        <v>157992.1</v>
      </c>
      <c r="C5" s="8">
        <f>D5+E5+I5</f>
        <v>3095</v>
      </c>
      <c r="D5" s="8">
        <v>501.4</v>
      </c>
      <c r="E5" s="8">
        <v>569.6</v>
      </c>
      <c r="F5" s="12" t="s">
        <v>10</v>
      </c>
      <c r="G5" s="12" t="s">
        <v>10</v>
      </c>
      <c r="H5" s="12" t="s">
        <v>10</v>
      </c>
      <c r="I5" s="8">
        <v>2024</v>
      </c>
      <c r="J5" s="8">
        <v>1316.2</v>
      </c>
      <c r="K5" s="8">
        <v>707.8</v>
      </c>
      <c r="L5" s="8">
        <v>284472.85327314516</v>
      </c>
      <c r="M5" s="8">
        <v>4876.8995790066729</v>
      </c>
      <c r="N5" s="8">
        <v>386.47637179913539</v>
      </c>
      <c r="O5" s="8">
        <v>1043.6404876475108</v>
      </c>
      <c r="P5" s="12" t="s">
        <v>10</v>
      </c>
      <c r="Q5" s="12" t="s">
        <v>10</v>
      </c>
      <c r="R5" s="12" t="s">
        <v>10</v>
      </c>
      <c r="S5" s="8">
        <v>3446.7827195600271</v>
      </c>
      <c r="T5" s="8">
        <v>1900.9393096446699</v>
      </c>
      <c r="U5" s="8">
        <v>1545.8434099153571</v>
      </c>
      <c r="X5" s="3" t="s">
        <v>2</v>
      </c>
      <c r="Y5" s="3" t="s">
        <v>8</v>
      </c>
      <c r="Z5" s="3" t="s">
        <v>3</v>
      </c>
      <c r="AA5" s="3" t="s">
        <v>4</v>
      </c>
      <c r="AB5" s="3" t="s">
        <v>5</v>
      </c>
      <c r="AC5" s="3" t="s">
        <v>6</v>
      </c>
      <c r="AD5" s="3" t="s">
        <v>7</v>
      </c>
      <c r="AF5" s="4" t="s">
        <v>26</v>
      </c>
      <c r="AG5" s="3" t="s">
        <v>2</v>
      </c>
      <c r="AH5" s="3" t="s">
        <v>23</v>
      </c>
      <c r="AI5" s="3" t="s">
        <v>3</v>
      </c>
      <c r="AJ5" s="3" t="s">
        <v>4</v>
      </c>
      <c r="AK5" s="3" t="s">
        <v>5</v>
      </c>
      <c r="AL5" s="3" t="s">
        <v>6</v>
      </c>
      <c r="AM5" s="3" t="s">
        <v>7</v>
      </c>
    </row>
    <row r="6" spans="1:39">
      <c r="A6" s="18">
        <v>1985</v>
      </c>
      <c r="B6" s="8">
        <v>172223.5</v>
      </c>
      <c r="C6" s="8">
        <f t="shared" ref="C6:C32" si="0">D6+E6+I6</f>
        <v>3165.7</v>
      </c>
      <c r="D6" s="8">
        <v>473.2</v>
      </c>
      <c r="E6" s="8">
        <v>663.7</v>
      </c>
      <c r="F6" s="12" t="s">
        <v>10</v>
      </c>
      <c r="G6" s="12" t="s">
        <v>10</v>
      </c>
      <c r="H6" s="12" t="s">
        <v>10</v>
      </c>
      <c r="I6" s="8">
        <v>2028.8</v>
      </c>
      <c r="J6" s="8">
        <v>1275.5999999999999</v>
      </c>
      <c r="K6" s="8">
        <v>753.2</v>
      </c>
      <c r="L6" s="8">
        <v>299770.90119297832</v>
      </c>
      <c r="M6" s="8">
        <v>4586.3868596819766</v>
      </c>
      <c r="N6" s="8">
        <v>406.12771273807442</v>
      </c>
      <c r="O6" s="8">
        <v>899.88338114617397</v>
      </c>
      <c r="P6" s="12" t="s">
        <v>10</v>
      </c>
      <c r="Q6" s="12" t="s">
        <v>10</v>
      </c>
      <c r="R6" s="12" t="s">
        <v>10</v>
      </c>
      <c r="S6" s="8">
        <v>3280.375765797728</v>
      </c>
      <c r="T6" s="8">
        <v>1782.0662131979695</v>
      </c>
      <c r="U6" s="8">
        <v>1498.3095525997585</v>
      </c>
      <c r="X6" s="3">
        <f>((L6/L5)-1)*100</f>
        <v>5.3776828768769214</v>
      </c>
      <c r="Y6" s="3">
        <f>((M6/M5)-1)*100</f>
        <v>-5.9569141135333297</v>
      </c>
      <c r="Z6" s="3">
        <f>((N6/N5)-1)*100</f>
        <v>5.0847457627118509</v>
      </c>
      <c r="AA6" s="3">
        <f>((O6/O5)-1)*100</f>
        <v>-13.774581209031311</v>
      </c>
      <c r="AB6" s="3">
        <f t="shared" ref="AB6:AD6" si="1">((S6/S5)-1)*100</f>
        <v>-4.827892191113814</v>
      </c>
      <c r="AC6" s="3">
        <f t="shared" si="1"/>
        <v>-6.2533872514278555</v>
      </c>
      <c r="AD6" s="3">
        <f t="shared" si="1"/>
        <v>-3.0749464668094251</v>
      </c>
      <c r="AF6" s="3" t="s">
        <v>21</v>
      </c>
      <c r="AG6" s="3">
        <f>((L29/L21)^(1/8)-1)*100</f>
        <v>1.8209294679165433</v>
      </c>
      <c r="AH6" s="3">
        <f>((M29/M21)^(1/8)-1)*100</f>
        <v>-3.0389232142929656</v>
      </c>
      <c r="AI6" s="3">
        <f>((N29/N21)^(1/8)-1)*100</f>
        <v>-6.077794948646476</v>
      </c>
      <c r="AJ6" s="3">
        <f>((O29/O21)^(1/8)-1)*100</f>
        <v>-1.1334490017215537</v>
      </c>
      <c r="AK6" s="3">
        <f t="shared" ref="AK6:AM6" si="2">((S29/S21)^(1/8)-1)*100</f>
        <v>-3.3032231509734111</v>
      </c>
      <c r="AL6" s="3">
        <f t="shared" si="2"/>
        <v>-5.4254717357089977</v>
      </c>
      <c r="AM6" s="3">
        <f t="shared" si="2"/>
        <v>-0.74426173281922914</v>
      </c>
    </row>
    <row r="7" spans="1:39">
      <c r="A7" s="18">
        <v>1986</v>
      </c>
      <c r="B7" s="8">
        <v>189142.8</v>
      </c>
      <c r="C7" s="10" t="s">
        <v>10</v>
      </c>
      <c r="D7" s="8">
        <v>521</v>
      </c>
      <c r="E7" s="8" t="s">
        <v>9</v>
      </c>
      <c r="F7" s="12" t="s">
        <v>10</v>
      </c>
      <c r="G7" s="12" t="s">
        <v>10</v>
      </c>
      <c r="H7" s="12" t="s">
        <v>10</v>
      </c>
      <c r="I7" s="8">
        <v>2246.8000000000002</v>
      </c>
      <c r="J7" s="8">
        <v>1481.7</v>
      </c>
      <c r="K7" s="8">
        <v>765.1</v>
      </c>
      <c r="L7" s="8">
        <v>313360.03015282244</v>
      </c>
      <c r="M7" s="8" t="s">
        <v>9</v>
      </c>
      <c r="N7" s="8">
        <v>393.2107765183556</v>
      </c>
      <c r="O7" s="8" t="s">
        <v>9</v>
      </c>
      <c r="P7" s="12" t="s">
        <v>10</v>
      </c>
      <c r="Q7" s="12" t="s">
        <v>10</v>
      </c>
      <c r="R7" s="12" t="s">
        <v>10</v>
      </c>
      <c r="S7" s="8">
        <v>3358.9517380293278</v>
      </c>
      <c r="T7" s="8">
        <v>1865.6736243654823</v>
      </c>
      <c r="U7" s="8">
        <v>1493.2781136638455</v>
      </c>
      <c r="X7" s="3">
        <f t="shared" ref="X7:X34" si="3">((L7/L6)-1)*100</f>
        <v>4.5331714671985823</v>
      </c>
      <c r="Z7" s="3">
        <f t="shared" ref="Z7:Z34" si="4">((N7/N6)-1)*100</f>
        <v>-3.1805109118592467</v>
      </c>
      <c r="AB7" s="3">
        <f t="shared" ref="AB7:AB34" si="5">((S7/S6)-1)*100</f>
        <v>2.3953344934095178</v>
      </c>
      <c r="AC7" s="3">
        <f t="shared" ref="AC7:AC34" si="6">((T7/T6)-1)*100</f>
        <v>4.6915995908747288</v>
      </c>
      <c r="AD7" s="3">
        <f t="shared" ref="AD7:AD34" si="7">((U7/U6)-1)*100</f>
        <v>-0.33580770590314613</v>
      </c>
      <c r="AF7" s="3" t="s">
        <v>22</v>
      </c>
      <c r="AG7" s="3">
        <f>((L34/L29)^(1/5)-1)*100</f>
        <v>1.0787450256303011</v>
      </c>
      <c r="AH7" s="3">
        <f>((M34/M29)^(1/5)-1)*100</f>
        <v>-4.9794172545593707</v>
      </c>
      <c r="AI7" s="3">
        <f>((N34/N29)^(1/5)-1)*100</f>
        <v>-5.4350505840008889</v>
      </c>
      <c r="AJ7" s="3">
        <f>((O34/O29)^(1/5)-1)*100</f>
        <v>-4.5153235863285008</v>
      </c>
      <c r="AK7" s="3">
        <f t="shared" ref="AK7:AM7" si="8">((S34/S29)^(1/5)-1)*100</f>
        <v>-5.1355177994293788</v>
      </c>
      <c r="AL7" s="3">
        <f t="shared" si="8"/>
        <v>-9.8239395647554346</v>
      </c>
      <c r="AM7" s="3">
        <f t="shared" si="8"/>
        <v>-2.3464166240525164</v>
      </c>
    </row>
    <row r="8" spans="1:39">
      <c r="A8" s="18">
        <v>1987</v>
      </c>
      <c r="B8" s="8">
        <v>208964.7</v>
      </c>
      <c r="C8" s="8">
        <f t="shared" si="0"/>
        <v>3960.2</v>
      </c>
      <c r="D8" s="8">
        <v>537.6</v>
      </c>
      <c r="E8" s="8">
        <v>783.5</v>
      </c>
      <c r="F8" s="12" t="s">
        <v>10</v>
      </c>
      <c r="G8" s="12" t="s">
        <v>10</v>
      </c>
      <c r="H8" s="12" t="s">
        <v>10</v>
      </c>
      <c r="I8" s="8">
        <v>2639.1</v>
      </c>
      <c r="J8" s="8">
        <v>1819.7</v>
      </c>
      <c r="K8" s="8">
        <v>819.4</v>
      </c>
      <c r="L8" s="8">
        <v>329554.25706889748</v>
      </c>
      <c r="M8" s="8">
        <v>4772.4718974346069</v>
      </c>
      <c r="N8" s="8">
        <v>407.98120063191152</v>
      </c>
      <c r="O8" s="8">
        <v>896.11475081726621</v>
      </c>
      <c r="P8" s="12" t="s">
        <v>10</v>
      </c>
      <c r="Q8" s="12" t="s">
        <v>10</v>
      </c>
      <c r="R8" s="12" t="s">
        <v>10</v>
      </c>
      <c r="S8" s="8">
        <v>3468.3759459854286</v>
      </c>
      <c r="T8" s="8">
        <v>1971.7876751269037</v>
      </c>
      <c r="U8" s="8">
        <v>1496.588270858525</v>
      </c>
      <c r="X8" s="3">
        <f t="shared" si="3"/>
        <v>5.1679299712146687</v>
      </c>
      <c r="Z8" s="3">
        <f t="shared" si="4"/>
        <v>3.7563629980691626</v>
      </c>
      <c r="AB8" s="3">
        <f t="shared" si="5"/>
        <v>3.2576891986039413</v>
      </c>
      <c r="AC8" s="3">
        <f t="shared" si="6"/>
        <v>5.6877070767139548</v>
      </c>
      <c r="AD8" s="3">
        <f t="shared" si="7"/>
        <v>0.2216705089554738</v>
      </c>
      <c r="AF8" s="3" t="s">
        <v>15</v>
      </c>
      <c r="AG8" s="3">
        <f>((L34/L21)^(1/13)-1)*100</f>
        <v>1.5348311673264448</v>
      </c>
      <c r="AH8" s="3">
        <f>((M34/M21)^(1/13)-1)*100</f>
        <v>-3.7899131594418267</v>
      </c>
      <c r="AI8" s="3">
        <f>((N34/N21)^(1/13)-1)*100</f>
        <v>-5.8311042050008695</v>
      </c>
      <c r="AJ8" s="3">
        <f>((O34/O21)^(1/13)-1)*100</f>
        <v>-2.4481181081041581</v>
      </c>
      <c r="AK8" s="3">
        <f t="shared" ref="AK8:AM8" si="9">((S34/S21)^(1/13)-1)*100</f>
        <v>-4.0121031777337723</v>
      </c>
      <c r="AL8" s="3">
        <f t="shared" si="9"/>
        <v>-7.1420241897041103</v>
      </c>
      <c r="AM8" s="3">
        <f t="shared" si="9"/>
        <v>-1.3635625679184638</v>
      </c>
    </row>
    <row r="9" spans="1:39">
      <c r="A9" s="18">
        <v>1988</v>
      </c>
      <c r="B9" s="8">
        <v>233095.6</v>
      </c>
      <c r="C9" s="10" t="s">
        <v>10</v>
      </c>
      <c r="D9" s="8">
        <v>577</v>
      </c>
      <c r="E9" s="8" t="s">
        <v>9</v>
      </c>
      <c r="F9" s="12" t="s">
        <v>10</v>
      </c>
      <c r="G9" s="12" t="s">
        <v>10</v>
      </c>
      <c r="H9" s="12" t="s">
        <v>10</v>
      </c>
      <c r="I9" s="8">
        <v>2926.7000000000003</v>
      </c>
      <c r="J9" s="8">
        <v>2062.3000000000002</v>
      </c>
      <c r="K9" s="8">
        <v>864.4</v>
      </c>
      <c r="L9" s="8">
        <v>347236.03408324049</v>
      </c>
      <c r="M9" s="8" t="s">
        <v>9</v>
      </c>
      <c r="N9" s="8">
        <v>413.35032900586873</v>
      </c>
      <c r="O9" s="8" t="s">
        <v>9</v>
      </c>
      <c r="P9" s="12" t="s">
        <v>10</v>
      </c>
      <c r="Q9" s="12" t="s">
        <v>10</v>
      </c>
      <c r="R9" s="12" t="s">
        <v>10</v>
      </c>
      <c r="S9" s="8">
        <v>3500.995199086663</v>
      </c>
      <c r="T9" s="8">
        <v>1974.0858883248734</v>
      </c>
      <c r="U9" s="8">
        <v>1526.9093107617896</v>
      </c>
      <c r="X9" s="3">
        <f t="shared" si="3"/>
        <v>5.3653614344439937</v>
      </c>
      <c r="Z9" s="3">
        <f t="shared" si="4"/>
        <v>1.3160234750133393</v>
      </c>
      <c r="AB9" s="3">
        <f t="shared" si="5"/>
        <v>0.94047628080775603</v>
      </c>
      <c r="AC9" s="3">
        <f t="shared" si="6"/>
        <v>0.11655480085206449</v>
      </c>
      <c r="AD9" s="3">
        <f t="shared" si="7"/>
        <v>2.0260107935946126</v>
      </c>
      <c r="AF9" s="3" t="s">
        <v>29</v>
      </c>
      <c r="AG9" s="3">
        <f>((L21/L5)^(1/16)-1)*100</f>
        <v>3.3431686743365274</v>
      </c>
      <c r="AH9" s="3">
        <f>((M21/M5)^(1/16)-1)*100</f>
        <v>1.5448354431330635</v>
      </c>
      <c r="AI9" s="3">
        <f>((N21/N5)^(1/16)-1)*100</f>
        <v>4.8328782171795703</v>
      </c>
      <c r="AJ9" s="3">
        <f>((O21/O5)^(1/16)-1)*100</f>
        <v>2.657814523915869</v>
      </c>
      <c r="AK9" s="3">
        <f t="shared" ref="AK9:AM9" si="10">((S21/S5)^(1/16)-1)*100</f>
        <v>0.64841242995372639</v>
      </c>
      <c r="AL9" s="3">
        <f t="shared" si="10"/>
        <v>-0.30556996384049073</v>
      </c>
      <c r="AM9" s="3">
        <f t="shared" si="10"/>
        <v>1.2036722757535978</v>
      </c>
    </row>
    <row r="10" spans="1:39">
      <c r="A10" s="18">
        <v>1989</v>
      </c>
      <c r="B10" s="8">
        <v>252247.2</v>
      </c>
      <c r="C10" s="10" t="s">
        <v>10</v>
      </c>
      <c r="D10" s="8">
        <v>578.70000000000005</v>
      </c>
      <c r="E10" s="8" t="s">
        <v>9</v>
      </c>
      <c r="F10" s="12" t="s">
        <v>10</v>
      </c>
      <c r="G10" s="12" t="s">
        <v>10</v>
      </c>
      <c r="H10" s="12" t="s">
        <v>10</v>
      </c>
      <c r="I10" s="8">
        <v>3001</v>
      </c>
      <c r="J10" s="8">
        <v>2028.9</v>
      </c>
      <c r="K10" s="8">
        <v>972.1</v>
      </c>
      <c r="L10" s="8">
        <v>357924.74442956882</v>
      </c>
      <c r="M10" s="8" t="s">
        <v>9</v>
      </c>
      <c r="N10" s="8">
        <v>455.11433326806349</v>
      </c>
      <c r="O10" s="8" t="s">
        <v>9</v>
      </c>
      <c r="P10" s="12" t="s">
        <v>10</v>
      </c>
      <c r="Q10" s="12" t="s">
        <v>10</v>
      </c>
      <c r="R10" s="12" t="s">
        <v>10</v>
      </c>
      <c r="S10" s="8">
        <v>3687.0229204942334</v>
      </c>
      <c r="T10" s="8">
        <v>2115.227878172589</v>
      </c>
      <c r="U10" s="8">
        <v>1571.7950423216446</v>
      </c>
      <c r="X10" s="3">
        <f t="shared" si="3"/>
        <v>3.0782261335717154</v>
      </c>
      <c r="Z10" s="3">
        <f t="shared" si="4"/>
        <v>10.103779126688872</v>
      </c>
      <c r="AB10" s="3">
        <f t="shared" si="5"/>
        <v>5.313566881100007</v>
      </c>
      <c r="AC10" s="3">
        <f t="shared" si="6"/>
        <v>7.149739060618221</v>
      </c>
      <c r="AD10" s="3">
        <f t="shared" si="7"/>
        <v>2.9396462018730585</v>
      </c>
      <c r="AF10" s="3" t="s">
        <v>15</v>
      </c>
      <c r="AG10" s="3">
        <f>AG8</f>
        <v>1.5348311673264448</v>
      </c>
      <c r="AH10" s="3">
        <f t="shared" ref="AH10:AM10" si="11">AH8</f>
        <v>-3.7899131594418267</v>
      </c>
      <c r="AI10" s="3">
        <f t="shared" si="11"/>
        <v>-5.8311042050008695</v>
      </c>
      <c r="AJ10" s="3">
        <f t="shared" si="11"/>
        <v>-2.4481181081041581</v>
      </c>
      <c r="AK10" s="3">
        <f t="shared" si="11"/>
        <v>-4.0121031777337723</v>
      </c>
      <c r="AL10" s="3">
        <f t="shared" si="11"/>
        <v>-7.1420241897041103</v>
      </c>
      <c r="AM10" s="3">
        <f t="shared" si="11"/>
        <v>-1.3635625679184638</v>
      </c>
    </row>
    <row r="11" spans="1:39">
      <c r="A11" s="18">
        <v>1990</v>
      </c>
      <c r="B11" s="8">
        <v>256334.6</v>
      </c>
      <c r="C11" s="10" t="s">
        <v>10</v>
      </c>
      <c r="D11" s="8">
        <v>490.1</v>
      </c>
      <c r="E11" s="8" t="s">
        <v>9</v>
      </c>
      <c r="F11" s="12" t="s">
        <v>10</v>
      </c>
      <c r="G11" s="12" t="s">
        <v>10</v>
      </c>
      <c r="H11" s="12" t="s">
        <v>10</v>
      </c>
      <c r="I11" s="8">
        <v>2712.4</v>
      </c>
      <c r="J11" s="8">
        <v>1798</v>
      </c>
      <c r="K11" s="8">
        <v>914.4</v>
      </c>
      <c r="L11" s="8">
        <v>353370.50580900878</v>
      </c>
      <c r="M11" s="8" t="s">
        <v>9</v>
      </c>
      <c r="N11" s="8">
        <v>541.47207920792084</v>
      </c>
      <c r="O11" s="8" t="s">
        <v>9</v>
      </c>
      <c r="P11" s="12" t="s">
        <v>10</v>
      </c>
      <c r="Q11" s="12" t="s">
        <v>10</v>
      </c>
      <c r="R11" s="12" t="s">
        <v>10</v>
      </c>
      <c r="S11" s="8">
        <v>3583.5450709125398</v>
      </c>
      <c r="T11" s="8">
        <v>2067.7578883248734</v>
      </c>
      <c r="U11" s="8">
        <v>1515.7871825876664</v>
      </c>
      <c r="X11" s="3">
        <f t="shared" si="3"/>
        <v>-1.2724011657305856</v>
      </c>
      <c r="Z11" s="3">
        <f t="shared" si="4"/>
        <v>18.974956319161329</v>
      </c>
      <c r="AB11" s="3">
        <f t="shared" si="5"/>
        <v>-2.8065420750848724</v>
      </c>
      <c r="AC11" s="3">
        <f t="shared" si="6"/>
        <v>-2.2442021655239563</v>
      </c>
      <c r="AD11" s="3">
        <f t="shared" si="7"/>
        <v>-3.5633055344958309</v>
      </c>
      <c r="AF11" s="3" t="s">
        <v>12</v>
      </c>
      <c r="AG11" s="3">
        <f>((L34/L5)^(1/29)-1)*100</f>
        <v>2.5285857602850292</v>
      </c>
      <c r="AH11" s="3">
        <f>((M34/M5)^(1/29)-1)*100</f>
        <v>-0.88223648506233765</v>
      </c>
      <c r="AI11" s="3">
        <f>((N34/N5)^(1/29)-1)*100</f>
        <v>-8.9226087655802644E-2</v>
      </c>
      <c r="AJ11" s="3">
        <f>((O34/O5)^(1/29)-1)*100</f>
        <v>0.33670890839918588</v>
      </c>
      <c r="AK11" s="3">
        <f t="shared" ref="AK11:AM11" si="12">((S34/S5)^(1/29)-1)*100</f>
        <v>-1.4681298330430637</v>
      </c>
      <c r="AL11" s="3">
        <f t="shared" si="12"/>
        <v>-3.4303115607849377</v>
      </c>
      <c r="AM11" s="3">
        <f t="shared" si="12"/>
        <v>4.4682185656608198E-2</v>
      </c>
    </row>
    <row r="12" spans="1:39">
      <c r="A12" s="18">
        <v>1991</v>
      </c>
      <c r="B12" s="8">
        <v>257916.7</v>
      </c>
      <c r="C12" s="10" t="s">
        <v>10</v>
      </c>
      <c r="D12" s="8">
        <v>420.6</v>
      </c>
      <c r="E12" s="8">
        <v>569.79999999999995</v>
      </c>
      <c r="F12" s="12" t="s">
        <v>10</v>
      </c>
      <c r="G12" s="12" t="s">
        <v>10</v>
      </c>
      <c r="H12" s="12" t="s">
        <v>10</v>
      </c>
      <c r="I12" s="8" t="s">
        <v>9</v>
      </c>
      <c r="J12" s="8">
        <v>1108</v>
      </c>
      <c r="K12" s="8" t="s">
        <v>9</v>
      </c>
      <c r="L12" s="8">
        <v>344722.28119028016</v>
      </c>
      <c r="M12" s="8">
        <v>2976.858885426238</v>
      </c>
      <c r="N12" s="8">
        <v>648.5125279017858</v>
      </c>
      <c r="O12" s="8">
        <v>684.25218493561954</v>
      </c>
      <c r="P12" s="12" t="s">
        <v>10</v>
      </c>
      <c r="Q12" s="12" t="s">
        <v>10</v>
      </c>
      <c r="R12" s="12" t="s">
        <v>10</v>
      </c>
      <c r="S12" s="8">
        <v>1644.0941725888329</v>
      </c>
      <c r="T12" s="8">
        <v>1644.0941725888329</v>
      </c>
      <c r="U12" s="8" t="s">
        <v>9</v>
      </c>
      <c r="X12" s="3">
        <f t="shared" si="3"/>
        <v>-2.4473532670558629</v>
      </c>
      <c r="Z12" s="3">
        <f t="shared" si="4"/>
        <v>19.768415178571441</v>
      </c>
      <c r="AB12" s="3">
        <f t="shared" si="5"/>
        <v>-54.121013129320886</v>
      </c>
      <c r="AC12" s="3">
        <f t="shared" si="6"/>
        <v>-20.489038785834733</v>
      </c>
    </row>
    <row r="13" spans="1:39">
      <c r="A13" s="18">
        <v>1992</v>
      </c>
      <c r="B13" s="8">
        <v>263462.3</v>
      </c>
      <c r="C13" s="10" t="s">
        <v>10</v>
      </c>
      <c r="D13" s="8">
        <v>484</v>
      </c>
      <c r="E13" s="8" t="s">
        <v>9</v>
      </c>
      <c r="F13" s="12" t="s">
        <v>10</v>
      </c>
      <c r="G13" s="12" t="s">
        <v>10</v>
      </c>
      <c r="H13" s="12" t="s">
        <v>10</v>
      </c>
      <c r="I13" s="8">
        <v>2165.8000000000002</v>
      </c>
      <c r="J13" s="8">
        <v>1237.0999999999999</v>
      </c>
      <c r="K13" s="8">
        <v>928.7</v>
      </c>
      <c r="L13" s="8">
        <v>346966.49924940872</v>
      </c>
      <c r="M13" s="8" t="s">
        <v>9</v>
      </c>
      <c r="N13" s="8">
        <v>626.91002022926511</v>
      </c>
      <c r="O13" s="8" t="s">
        <v>9</v>
      </c>
      <c r="P13" s="12" t="s">
        <v>10</v>
      </c>
      <c r="Q13" s="12" t="s">
        <v>10</v>
      </c>
      <c r="R13" s="12" t="s">
        <v>10</v>
      </c>
      <c r="S13" s="8">
        <v>3318.9418388033323</v>
      </c>
      <c r="T13" s="8">
        <v>1778.2622741116757</v>
      </c>
      <c r="U13" s="8">
        <v>1540.6795646916567</v>
      </c>
      <c r="X13" s="3">
        <f t="shared" si="3"/>
        <v>0.65102204922165008</v>
      </c>
      <c r="Z13" s="3">
        <f t="shared" si="4"/>
        <v>-3.3310856372218423</v>
      </c>
      <c r="AB13" s="3">
        <f t="shared" si="5"/>
        <v>101.87054331427024</v>
      </c>
      <c r="AC13" s="3">
        <f t="shared" si="6"/>
        <v>8.1606092740769363</v>
      </c>
    </row>
    <row r="14" spans="1:39">
      <c r="A14" s="18">
        <v>1993</v>
      </c>
      <c r="B14" s="8">
        <v>269549.3</v>
      </c>
      <c r="C14" s="10" t="s">
        <v>10</v>
      </c>
      <c r="D14" s="8">
        <v>513.5</v>
      </c>
      <c r="E14" s="8" t="s">
        <v>9</v>
      </c>
      <c r="F14" s="12" t="s">
        <v>10</v>
      </c>
      <c r="G14" s="12" t="s">
        <v>10</v>
      </c>
      <c r="H14" s="12" t="s">
        <v>10</v>
      </c>
      <c r="I14" s="8">
        <v>2127</v>
      </c>
      <c r="J14" s="8">
        <v>1225.8</v>
      </c>
      <c r="K14" s="8">
        <v>901.2</v>
      </c>
      <c r="L14" s="8">
        <v>351101.71823885397</v>
      </c>
      <c r="M14" s="8" t="s">
        <v>9</v>
      </c>
      <c r="N14" s="8">
        <v>696.72329136690666</v>
      </c>
      <c r="O14" s="8" t="s">
        <v>9</v>
      </c>
      <c r="P14" s="12" t="s">
        <v>10</v>
      </c>
      <c r="Q14" s="12" t="s">
        <v>10</v>
      </c>
      <c r="R14" s="12" t="s">
        <v>10</v>
      </c>
      <c r="S14" s="8">
        <v>3301.9326179021482</v>
      </c>
      <c r="T14" s="8">
        <v>1749.3364873096452</v>
      </c>
      <c r="U14" s="8">
        <v>1552.596130592503</v>
      </c>
      <c r="X14" s="3">
        <f t="shared" si="3"/>
        <v>1.1918208237368555</v>
      </c>
      <c r="Z14" s="3">
        <f t="shared" si="4"/>
        <v>11.136091127098325</v>
      </c>
      <c r="AB14" s="3">
        <f t="shared" si="5"/>
        <v>-0.5124892730062669</v>
      </c>
      <c r="AC14" s="3">
        <f t="shared" si="6"/>
        <v>-1.6266322028610891</v>
      </c>
      <c r="AD14" s="3">
        <f t="shared" si="7"/>
        <v>0.77346167067720017</v>
      </c>
    </row>
    <row r="15" spans="1:39">
      <c r="A15" s="18">
        <v>1994</v>
      </c>
      <c r="B15" s="8">
        <v>284289.09999999998</v>
      </c>
      <c r="C15" s="10" t="s">
        <v>10</v>
      </c>
      <c r="D15" s="8">
        <v>582.79999999999995</v>
      </c>
      <c r="E15" s="8" t="s">
        <v>9</v>
      </c>
      <c r="F15" s="12" t="s">
        <v>10</v>
      </c>
      <c r="G15" s="12" t="s">
        <v>10</v>
      </c>
      <c r="H15" s="12" t="s">
        <v>10</v>
      </c>
      <c r="I15" s="8" t="s">
        <v>9</v>
      </c>
      <c r="J15" s="8">
        <v>1429.8</v>
      </c>
      <c r="K15" s="8" t="s">
        <v>9</v>
      </c>
      <c r="L15" s="8">
        <v>367475.95939413068</v>
      </c>
      <c r="M15" s="8" t="s">
        <v>9</v>
      </c>
      <c r="N15" s="8">
        <v>643.57438737366761</v>
      </c>
      <c r="O15" s="8" t="s">
        <v>9</v>
      </c>
      <c r="P15" s="12" t="s">
        <v>10</v>
      </c>
      <c r="Q15" s="12" t="s">
        <v>10</v>
      </c>
      <c r="R15" s="12" t="s">
        <v>10</v>
      </c>
      <c r="S15" s="8">
        <v>1741.5701116751275</v>
      </c>
      <c r="T15" s="8">
        <v>1741.5701116751275</v>
      </c>
      <c r="U15" s="8" t="s">
        <v>9</v>
      </c>
      <c r="X15" s="3">
        <f t="shared" si="3"/>
        <v>4.6636744580490275</v>
      </c>
      <c r="Z15" s="3">
        <f t="shared" si="4"/>
        <v>-7.6284092482348136</v>
      </c>
      <c r="AB15" s="3">
        <f t="shared" si="5"/>
        <v>-47.256037199765224</v>
      </c>
      <c r="AC15" s="3">
        <f t="shared" si="6"/>
        <v>-0.44396122134637839</v>
      </c>
    </row>
    <row r="16" spans="1:39">
      <c r="A16" s="18">
        <v>1995</v>
      </c>
      <c r="B16" s="8">
        <v>301731.09999999998</v>
      </c>
      <c r="C16" s="10" t="s">
        <v>10</v>
      </c>
      <c r="D16" s="8">
        <v>691.3</v>
      </c>
      <c r="E16" s="8" t="s">
        <v>9</v>
      </c>
      <c r="F16" s="12" t="s">
        <v>10</v>
      </c>
      <c r="G16" s="12" t="s">
        <v>10</v>
      </c>
      <c r="H16" s="12" t="s">
        <v>10</v>
      </c>
      <c r="I16" s="8" t="s">
        <v>9</v>
      </c>
      <c r="J16" s="8">
        <v>2653</v>
      </c>
      <c r="K16" s="8" t="s">
        <v>9</v>
      </c>
      <c r="L16" s="8">
        <v>381693.55698502553</v>
      </c>
      <c r="M16" s="8" t="s">
        <v>9</v>
      </c>
      <c r="N16" s="8">
        <v>621.71162230841253</v>
      </c>
      <c r="O16" s="8" t="s">
        <v>9</v>
      </c>
      <c r="P16" s="12" t="s">
        <v>10</v>
      </c>
      <c r="Q16" s="12" t="s">
        <v>10</v>
      </c>
      <c r="R16" s="12" t="s">
        <v>10</v>
      </c>
      <c r="S16" s="8">
        <v>1622.063025380711</v>
      </c>
      <c r="T16" s="8">
        <v>1622.063025380711</v>
      </c>
      <c r="U16" s="8" t="s">
        <v>9</v>
      </c>
      <c r="X16" s="3">
        <f t="shared" si="3"/>
        <v>3.8689871343790427</v>
      </c>
      <c r="Z16" s="3">
        <f t="shared" si="4"/>
        <v>-3.3970843921358962</v>
      </c>
      <c r="AB16" s="3">
        <f t="shared" si="5"/>
        <v>-6.8620313068802457</v>
      </c>
      <c r="AC16" s="3">
        <f t="shared" si="6"/>
        <v>-6.8620313068802457</v>
      </c>
    </row>
    <row r="17" spans="1:46" ht="15.75" thickBot="1">
      <c r="A17" s="18">
        <v>1996</v>
      </c>
      <c r="B17" s="8">
        <v>310920.2</v>
      </c>
      <c r="C17" s="10" t="s">
        <v>10</v>
      </c>
      <c r="D17" s="8">
        <v>593.9</v>
      </c>
      <c r="E17" s="8" t="s">
        <v>9</v>
      </c>
      <c r="F17" s="12" t="s">
        <v>10</v>
      </c>
      <c r="G17" s="12" t="s">
        <v>10</v>
      </c>
      <c r="H17" s="12" t="s">
        <v>10</v>
      </c>
      <c r="I17" s="8" t="s">
        <v>9</v>
      </c>
      <c r="J17" s="8">
        <v>2326.9</v>
      </c>
      <c r="K17" s="8" t="s">
        <v>9</v>
      </c>
      <c r="L17" s="8">
        <v>386226.75340059778</v>
      </c>
      <c r="M17" s="76" t="s">
        <v>9</v>
      </c>
      <c r="N17" s="134">
        <v>756.59794921874993</v>
      </c>
      <c r="O17" s="76" t="s">
        <v>9</v>
      </c>
      <c r="P17" s="88" t="s">
        <v>10</v>
      </c>
      <c r="Q17" s="88" t="s">
        <v>10</v>
      </c>
      <c r="R17" s="88" t="s">
        <v>10</v>
      </c>
      <c r="S17" s="134">
        <v>1562.3094822335026</v>
      </c>
      <c r="T17" s="134">
        <v>1562.3094822335026</v>
      </c>
      <c r="U17" s="134" t="s">
        <v>9</v>
      </c>
      <c r="X17" s="3">
        <f t="shared" si="3"/>
        <v>1.1876533760170505</v>
      </c>
      <c r="Z17" s="3">
        <f t="shared" si="4"/>
        <v>21.69596354166665</v>
      </c>
      <c r="AB17" s="3">
        <f t="shared" si="5"/>
        <v>-3.6837991010357785</v>
      </c>
      <c r="AC17" s="3">
        <f t="shared" si="6"/>
        <v>-3.6837991010357785</v>
      </c>
    </row>
    <row r="18" spans="1:46" ht="15.75" thickBot="1">
      <c r="A18" s="18">
        <v>1997</v>
      </c>
      <c r="B18" s="8">
        <v>331338.8</v>
      </c>
      <c r="C18" s="8">
        <f t="shared" si="0"/>
        <v>5702.1</v>
      </c>
      <c r="D18" s="8">
        <v>744.6</v>
      </c>
      <c r="E18" s="8">
        <v>1498.9</v>
      </c>
      <c r="F18" s="12" t="s">
        <v>10</v>
      </c>
      <c r="G18" s="12" t="s">
        <v>10</v>
      </c>
      <c r="H18" s="12" t="s">
        <v>10</v>
      </c>
      <c r="I18" s="8">
        <v>3458.6</v>
      </c>
      <c r="J18" s="8">
        <v>1970</v>
      </c>
      <c r="K18" s="8">
        <v>1488.6</v>
      </c>
      <c r="L18" s="8">
        <v>403011.5</v>
      </c>
      <c r="M18" s="8">
        <v>5433.3</v>
      </c>
      <c r="N18" s="76">
        <v>624.29999999999995</v>
      </c>
      <c r="O18" s="8">
        <v>1228</v>
      </c>
      <c r="P18" s="12">
        <v>287</v>
      </c>
      <c r="Q18" s="12">
        <v>274</v>
      </c>
      <c r="R18" s="12">
        <v>732</v>
      </c>
      <c r="S18" s="76">
        <v>3581</v>
      </c>
      <c r="T18" s="76">
        <v>1561.2</v>
      </c>
      <c r="U18" s="76">
        <v>1971</v>
      </c>
      <c r="X18" s="3">
        <f t="shared" si="3"/>
        <v>4.345827017838122</v>
      </c>
      <c r="Z18" s="3">
        <f t="shared" si="4"/>
        <v>-17.485898468976636</v>
      </c>
      <c r="AB18" s="3">
        <f t="shared" si="5"/>
        <v>129.21194812698346</v>
      </c>
      <c r="AC18" s="3">
        <f t="shared" si="6"/>
        <v>-7.1015521964090667E-2</v>
      </c>
    </row>
    <row r="19" spans="1:46">
      <c r="A19" s="18">
        <v>1998</v>
      </c>
      <c r="B19" s="8">
        <v>348260.8</v>
      </c>
      <c r="C19" s="8">
        <f t="shared" si="0"/>
        <v>5898.7</v>
      </c>
      <c r="D19" s="8">
        <v>783</v>
      </c>
      <c r="E19" s="8">
        <v>1701.5</v>
      </c>
      <c r="F19" s="12" t="s">
        <v>10</v>
      </c>
      <c r="G19" s="12" t="s">
        <v>10</v>
      </c>
      <c r="H19" s="12" t="s">
        <v>10</v>
      </c>
      <c r="I19" s="8">
        <v>3414.2</v>
      </c>
      <c r="J19" s="8">
        <v>2070</v>
      </c>
      <c r="K19" s="8">
        <v>1344.2</v>
      </c>
      <c r="L19" s="8">
        <v>421851.6</v>
      </c>
      <c r="M19" s="8">
        <v>5414.9</v>
      </c>
      <c r="N19" s="8">
        <v>622.6</v>
      </c>
      <c r="O19" s="8">
        <v>1339.5</v>
      </c>
      <c r="P19" s="12">
        <v>326</v>
      </c>
      <c r="Q19" s="12">
        <v>296</v>
      </c>
      <c r="R19" s="12">
        <v>771</v>
      </c>
      <c r="S19" s="8">
        <v>3452.8</v>
      </c>
      <c r="T19" s="8">
        <v>1528.8</v>
      </c>
      <c r="U19" s="8">
        <v>1858.7</v>
      </c>
      <c r="X19" s="3">
        <f t="shared" si="3"/>
        <v>4.6748293783179795</v>
      </c>
      <c r="Y19" s="3">
        <f t="shared" ref="Y19:Y34" si="13">((M19/M18)-1)*100</f>
        <v>-0.33865238437046363</v>
      </c>
      <c r="Z19" s="3">
        <f t="shared" si="4"/>
        <v>-0.27230498157936323</v>
      </c>
      <c r="AA19" s="3">
        <f t="shared" ref="AA19:AA34" si="14">((O19/O18)-1)*100</f>
        <v>9.0798045602605839</v>
      </c>
      <c r="AB19" s="3">
        <f t="shared" si="5"/>
        <v>-3.5800055850321089</v>
      </c>
      <c r="AC19" s="3">
        <f t="shared" si="6"/>
        <v>-2.0753266717909336</v>
      </c>
      <c r="AD19" s="3">
        <f t="shared" si="7"/>
        <v>-5.6976154236428211</v>
      </c>
    </row>
    <row r="20" spans="1:46">
      <c r="A20" s="18">
        <v>1999</v>
      </c>
      <c r="B20" s="8">
        <v>376876.9</v>
      </c>
      <c r="C20" s="8">
        <f t="shared" si="0"/>
        <v>5932</v>
      </c>
      <c r="D20" s="8">
        <v>786</v>
      </c>
      <c r="E20" s="8">
        <v>1957.3</v>
      </c>
      <c r="F20" s="12" t="s">
        <v>10</v>
      </c>
      <c r="G20" s="12" t="s">
        <v>10</v>
      </c>
      <c r="H20" s="12" t="s">
        <v>10</v>
      </c>
      <c r="I20" s="8">
        <v>3188.7</v>
      </c>
      <c r="J20" s="8">
        <v>1788.7</v>
      </c>
      <c r="K20" s="8">
        <v>1400</v>
      </c>
      <c r="L20" s="8">
        <v>454029.9</v>
      </c>
      <c r="M20" s="8">
        <v>5370.9</v>
      </c>
      <c r="N20" s="8">
        <v>665.6</v>
      </c>
      <c r="O20" s="8">
        <v>1332.2</v>
      </c>
      <c r="P20" s="12">
        <v>251</v>
      </c>
      <c r="Q20" s="12">
        <v>354</v>
      </c>
      <c r="R20" s="12">
        <v>856</v>
      </c>
      <c r="S20" s="8">
        <v>3373.1</v>
      </c>
      <c r="T20" s="8">
        <v>1559.6</v>
      </c>
      <c r="U20" s="8">
        <v>1714.8</v>
      </c>
      <c r="X20" s="3">
        <f t="shared" si="3"/>
        <v>7.6278719815214835</v>
      </c>
      <c r="Y20" s="3">
        <f t="shared" si="13"/>
        <v>-0.81257271602430681</v>
      </c>
      <c r="Z20" s="3">
        <f t="shared" si="4"/>
        <v>6.9065210407966537</v>
      </c>
      <c r="AA20" s="3">
        <f t="shared" si="14"/>
        <v>-0.54497946995146762</v>
      </c>
      <c r="AB20" s="3">
        <f t="shared" si="5"/>
        <v>-2.3082715477293902</v>
      </c>
      <c r="AC20" s="3">
        <f t="shared" si="6"/>
        <v>2.0146520146520075</v>
      </c>
      <c r="AD20" s="3">
        <f t="shared" si="7"/>
        <v>-7.7419701942217696</v>
      </c>
      <c r="AF20" s="4" t="s">
        <v>30</v>
      </c>
      <c r="AO20" s="4" t="s">
        <v>25</v>
      </c>
    </row>
    <row r="21" spans="1:46">
      <c r="A21" s="18">
        <v>2000</v>
      </c>
      <c r="B21" s="8">
        <v>406239.2</v>
      </c>
      <c r="C21" s="8">
        <f t="shared" si="0"/>
        <v>7509.4</v>
      </c>
      <c r="D21" s="8">
        <v>923.9</v>
      </c>
      <c r="E21" s="8">
        <v>2288.6</v>
      </c>
      <c r="F21" s="12" t="s">
        <v>10</v>
      </c>
      <c r="G21" s="12" t="s">
        <v>10</v>
      </c>
      <c r="H21" s="12" t="s">
        <v>10</v>
      </c>
      <c r="I21" s="8">
        <v>4296.8999999999996</v>
      </c>
      <c r="J21" s="8">
        <v>2679.2</v>
      </c>
      <c r="K21" s="8">
        <v>1617.7</v>
      </c>
      <c r="L21" s="8">
        <v>481447.8</v>
      </c>
      <c r="M21" s="8">
        <v>6232.6</v>
      </c>
      <c r="N21" s="8">
        <v>822.4</v>
      </c>
      <c r="O21" s="8">
        <v>1587.9</v>
      </c>
      <c r="P21" s="12">
        <v>360</v>
      </c>
      <c r="Q21" s="12">
        <v>372</v>
      </c>
      <c r="R21" s="12">
        <v>947</v>
      </c>
      <c r="S21" s="8">
        <v>3822.3</v>
      </c>
      <c r="T21" s="8">
        <v>1810.1</v>
      </c>
      <c r="U21" s="8">
        <v>1872</v>
      </c>
      <c r="X21" s="3">
        <f t="shared" si="3"/>
        <v>6.0387873133465275</v>
      </c>
      <c r="Y21" s="3">
        <f t="shared" si="13"/>
        <v>16.043866018730579</v>
      </c>
      <c r="Z21" s="3">
        <f t="shared" si="4"/>
        <v>23.557692307692292</v>
      </c>
      <c r="AA21" s="3">
        <f t="shared" si="14"/>
        <v>19.193814742531146</v>
      </c>
      <c r="AB21" s="3">
        <f t="shared" si="5"/>
        <v>13.317126678722847</v>
      </c>
      <c r="AC21" s="3">
        <f t="shared" si="6"/>
        <v>16.061810720697611</v>
      </c>
      <c r="AD21" s="3">
        <f t="shared" si="7"/>
        <v>9.1672498250524814</v>
      </c>
      <c r="AF21" s="3" t="s">
        <v>2</v>
      </c>
      <c r="AG21" s="3" t="s">
        <v>3</v>
      </c>
      <c r="AH21" s="3" t="s">
        <v>4</v>
      </c>
      <c r="AI21" s="3" t="s">
        <v>5</v>
      </c>
      <c r="AJ21" s="3" t="s">
        <v>6</v>
      </c>
      <c r="AK21" s="3" t="s">
        <v>7</v>
      </c>
      <c r="AO21" s="3" t="s">
        <v>2</v>
      </c>
      <c r="AP21" s="3" t="s">
        <v>3</v>
      </c>
      <c r="AQ21" s="3" t="s">
        <v>4</v>
      </c>
      <c r="AR21" s="3" t="s">
        <v>5</v>
      </c>
      <c r="AS21" s="3" t="s">
        <v>6</v>
      </c>
      <c r="AT21" s="3" t="s">
        <v>7</v>
      </c>
    </row>
    <row r="22" spans="1:46">
      <c r="A22" s="18">
        <v>2001</v>
      </c>
      <c r="B22" s="8">
        <v>417912.5</v>
      </c>
      <c r="C22" s="8">
        <f t="shared" si="0"/>
        <v>7307.2000000000007</v>
      </c>
      <c r="D22" s="8">
        <v>778.5</v>
      </c>
      <c r="E22" s="8">
        <v>2169.6</v>
      </c>
      <c r="F22" s="12" t="s">
        <v>10</v>
      </c>
      <c r="G22" s="12" t="s">
        <v>10</v>
      </c>
      <c r="H22" s="12" t="s">
        <v>10</v>
      </c>
      <c r="I22" s="8">
        <v>4359.1000000000004</v>
      </c>
      <c r="J22" s="8">
        <v>2342.6</v>
      </c>
      <c r="K22" s="8">
        <v>2016.5</v>
      </c>
      <c r="L22" s="8">
        <v>488537.3</v>
      </c>
      <c r="M22" s="8">
        <v>6148.1</v>
      </c>
      <c r="N22" s="8">
        <v>759.4</v>
      </c>
      <c r="O22" s="8">
        <v>1596.9</v>
      </c>
      <c r="P22" s="12">
        <v>369</v>
      </c>
      <c r="Q22" s="12">
        <v>349</v>
      </c>
      <c r="R22" s="12">
        <v>978</v>
      </c>
      <c r="S22" s="8">
        <v>3791.8</v>
      </c>
      <c r="T22" s="8">
        <v>1589.6</v>
      </c>
      <c r="U22" s="8">
        <v>2200.6</v>
      </c>
      <c r="X22" s="3">
        <f t="shared" si="3"/>
        <v>1.4725376250551037</v>
      </c>
      <c r="Y22" s="3">
        <f t="shared" si="13"/>
        <v>-1.3557744761415802</v>
      </c>
      <c r="Z22" s="3">
        <f t="shared" si="4"/>
        <v>-7.6605058365758705</v>
      </c>
      <c r="AA22" s="3">
        <f t="shared" si="14"/>
        <v>0.56678632155677811</v>
      </c>
      <c r="AB22" s="3">
        <f t="shared" si="5"/>
        <v>-0.79794887894722999</v>
      </c>
      <c r="AC22" s="3">
        <f t="shared" si="6"/>
        <v>-12.181647422794317</v>
      </c>
      <c r="AD22" s="3">
        <f t="shared" si="7"/>
        <v>17.553418803418808</v>
      </c>
      <c r="AE22" s="3">
        <v>2007</v>
      </c>
      <c r="AF22" s="3">
        <f>((B28/L28))*100</f>
        <v>100</v>
      </c>
      <c r="AG22" s="3">
        <f t="shared" ref="AG22:AH26" si="15">((D28/N28))*100</f>
        <v>100</v>
      </c>
      <c r="AH22" s="3">
        <f t="shared" si="15"/>
        <v>100</v>
      </c>
      <c r="AI22" s="3">
        <f t="shared" ref="AI22:AK26" si="16">((I28/S28))*100</f>
        <v>100</v>
      </c>
      <c r="AJ22" s="3">
        <f t="shared" si="16"/>
        <v>100</v>
      </c>
      <c r="AK22" s="3">
        <f t="shared" si="16"/>
        <v>100</v>
      </c>
      <c r="AN22" s="3">
        <v>2007</v>
      </c>
      <c r="AO22" s="3">
        <f>((AF23/AF22)-1)*100</f>
        <v>1.8259720814902236</v>
      </c>
      <c r="AP22" s="3">
        <f t="shared" ref="AP22:AT22" si="17">((AG23/AG22)-1)*100</f>
        <v>2.3694779116465892</v>
      </c>
      <c r="AQ22" s="3">
        <f t="shared" si="17"/>
        <v>-4.4843049327354283</v>
      </c>
      <c r="AR22" s="3">
        <f t="shared" si="17"/>
        <v>0.37308324205915788</v>
      </c>
      <c r="AS22" s="3">
        <f t="shared" si="17"/>
        <v>-1.9680621493310291</v>
      </c>
      <c r="AT22" s="3">
        <f t="shared" si="17"/>
        <v>1.8940682771917849</v>
      </c>
    </row>
    <row r="23" spans="1:46">
      <c r="A23" s="18">
        <v>2002</v>
      </c>
      <c r="B23" s="8">
        <v>440220.8</v>
      </c>
      <c r="C23" s="8">
        <f t="shared" si="0"/>
        <v>7180.2</v>
      </c>
      <c r="D23" s="8">
        <v>861.7</v>
      </c>
      <c r="E23" s="8">
        <v>2300.6999999999998</v>
      </c>
      <c r="F23" s="12" t="s">
        <v>10</v>
      </c>
      <c r="G23" s="12" t="s">
        <v>10</v>
      </c>
      <c r="H23" s="12" t="s">
        <v>10</v>
      </c>
      <c r="I23" s="8">
        <v>4017.8</v>
      </c>
      <c r="J23" s="8">
        <v>1979</v>
      </c>
      <c r="K23" s="8">
        <v>2038.8</v>
      </c>
      <c r="L23" s="8">
        <v>501433.59999999998</v>
      </c>
      <c r="M23" s="8">
        <v>6464.1</v>
      </c>
      <c r="N23" s="8">
        <v>778.3</v>
      </c>
      <c r="O23" s="8">
        <v>1748</v>
      </c>
      <c r="P23" s="12">
        <v>412</v>
      </c>
      <c r="Q23" s="12">
        <v>398</v>
      </c>
      <c r="R23" s="25">
        <v>1021</v>
      </c>
      <c r="S23" s="8">
        <v>3937.8</v>
      </c>
      <c r="T23" s="8">
        <v>1669.5</v>
      </c>
      <c r="U23" s="8">
        <v>2257.8000000000002</v>
      </c>
      <c r="X23" s="3">
        <f t="shared" si="3"/>
        <v>2.6397779657766129</v>
      </c>
      <c r="Y23" s="3">
        <f t="shared" si="13"/>
        <v>5.1397992875847898</v>
      </c>
      <c r="Z23" s="3">
        <f t="shared" si="4"/>
        <v>2.4888069528575141</v>
      </c>
      <c r="AA23" s="3">
        <f t="shared" si="14"/>
        <v>9.4620827853967082</v>
      </c>
      <c r="AB23" s="3">
        <f t="shared" si="5"/>
        <v>3.8504140513740071</v>
      </c>
      <c r="AC23" s="3">
        <f t="shared" si="6"/>
        <v>5.0264217413185763</v>
      </c>
      <c r="AD23" s="3">
        <f t="shared" si="7"/>
        <v>2.5992911024266263</v>
      </c>
      <c r="AE23" s="3">
        <v>2008</v>
      </c>
      <c r="AF23" s="3">
        <f>((B29/L29))*100</f>
        <v>101.82597208149022</v>
      </c>
      <c r="AG23" s="3">
        <f t="shared" si="15"/>
        <v>102.36947791164658</v>
      </c>
      <c r="AH23" s="3">
        <f t="shared" si="15"/>
        <v>95.515695067264573</v>
      </c>
      <c r="AI23" s="3">
        <f t="shared" si="16"/>
        <v>100.37308324205915</v>
      </c>
      <c r="AJ23" s="3">
        <f t="shared" si="16"/>
        <v>98.031937850668967</v>
      </c>
      <c r="AK23" s="3">
        <f t="shared" si="16"/>
        <v>101.89406827719179</v>
      </c>
      <c r="AN23" s="3">
        <v>2008</v>
      </c>
      <c r="AO23" s="3">
        <f t="shared" ref="AO23:AO25" si="18">((AF24/AF23)-1)*100</f>
        <v>1.5999870165445795</v>
      </c>
      <c r="AP23" s="3">
        <f t="shared" ref="AP23:AP25" si="19">((AG24/AG23)-1)*100</f>
        <v>10.993520053563577</v>
      </c>
      <c r="AQ23" s="3">
        <f t="shared" ref="AQ23:AQ25" si="20">((AH24/AH23)-1)*100</f>
        <v>3.9167320901748459</v>
      </c>
      <c r="AR23" s="3">
        <f t="shared" ref="AR23:AR25" si="21">((AI24/AI23)-1)*100</f>
        <v>11.899100747204239</v>
      </c>
      <c r="AS23" s="3">
        <f t="shared" ref="AS23:AS25" si="22">((AJ24/AJ23)-1)*100</f>
        <v>23.037409136993105</v>
      </c>
      <c r="AT23" s="3">
        <f t="shared" ref="AT23:AT25" si="23">((AK24/AK23)-1)*100</f>
        <v>5.834616090246425</v>
      </c>
    </row>
    <row r="24" spans="1:46">
      <c r="A24" s="18">
        <v>2003</v>
      </c>
      <c r="B24" s="8">
        <v>457025.8</v>
      </c>
      <c r="C24" s="8">
        <f t="shared" si="0"/>
        <v>7050.5</v>
      </c>
      <c r="D24" s="8">
        <v>789.9</v>
      </c>
      <c r="E24" s="8">
        <v>2390.1</v>
      </c>
      <c r="F24" s="12" t="s">
        <v>10</v>
      </c>
      <c r="G24" s="12" t="s">
        <v>10</v>
      </c>
      <c r="H24" s="12" t="s">
        <v>10</v>
      </c>
      <c r="I24" s="8">
        <v>3870.5</v>
      </c>
      <c r="J24" s="8">
        <v>1695.2</v>
      </c>
      <c r="K24" s="8">
        <v>2175.3000000000002</v>
      </c>
      <c r="L24" s="8">
        <v>509890.9</v>
      </c>
      <c r="M24" s="8">
        <v>6576.9</v>
      </c>
      <c r="N24" s="8">
        <v>733.6</v>
      </c>
      <c r="O24" s="8">
        <v>1786.1</v>
      </c>
      <c r="P24" s="12">
        <v>407</v>
      </c>
      <c r="Q24" s="12">
        <v>408</v>
      </c>
      <c r="R24" s="25">
        <v>1067</v>
      </c>
      <c r="S24" s="8">
        <v>4057.2</v>
      </c>
      <c r="T24" s="8">
        <v>1639</v>
      </c>
      <c r="U24" s="8">
        <v>2429.9</v>
      </c>
      <c r="X24" s="3">
        <f t="shared" si="3"/>
        <v>1.6866241113479452</v>
      </c>
      <c r="Y24" s="3">
        <f t="shared" si="13"/>
        <v>1.7450225089339577</v>
      </c>
      <c r="Z24" s="3">
        <f t="shared" si="4"/>
        <v>-5.7432866503918767</v>
      </c>
      <c r="AA24" s="3">
        <f t="shared" si="14"/>
        <v>2.1796338672768867</v>
      </c>
      <c r="AB24" s="3">
        <f t="shared" si="5"/>
        <v>3.0321499314337919</v>
      </c>
      <c r="AC24" s="3">
        <f t="shared" si="6"/>
        <v>-1.8268942797244669</v>
      </c>
      <c r="AD24" s="3">
        <f t="shared" si="7"/>
        <v>7.6224643458233654</v>
      </c>
      <c r="AE24" s="3">
        <v>2009</v>
      </c>
      <c r="AF24" s="3">
        <f>((B30/L30))*100</f>
        <v>103.45517441426438</v>
      </c>
      <c r="AG24" s="3">
        <f t="shared" si="15"/>
        <v>113.62348699459179</v>
      </c>
      <c r="AH24" s="3">
        <f t="shared" si="15"/>
        <v>99.256788947117684</v>
      </c>
      <c r="AI24" s="3">
        <f t="shared" si="16"/>
        <v>112.31657754010695</v>
      </c>
      <c r="AJ24" s="3">
        <f t="shared" si="16"/>
        <v>120.61595645825038</v>
      </c>
      <c r="AK24" s="3">
        <f t="shared" si="16"/>
        <v>107.8391959798995</v>
      </c>
      <c r="AN24" s="3">
        <v>2009</v>
      </c>
      <c r="AO24" s="3">
        <f t="shared" si="18"/>
        <v>2.2486948094035508</v>
      </c>
      <c r="AP24" s="3">
        <f t="shared" si="19"/>
        <v>-8.5830477319597591</v>
      </c>
      <c r="AQ24" s="3">
        <f t="shared" si="20"/>
        <v>1.5971867847597077</v>
      </c>
      <c r="AR24" s="3">
        <f t="shared" si="21"/>
        <v>2.3602363565019324</v>
      </c>
      <c r="AS24" s="3">
        <f t="shared" si="22"/>
        <v>9.064178350055375</v>
      </c>
      <c r="AT24" s="3">
        <f t="shared" si="23"/>
        <v>-1.3607256732929618</v>
      </c>
    </row>
    <row r="25" spans="1:46">
      <c r="A25" s="18">
        <v>2004</v>
      </c>
      <c r="B25" s="8">
        <v>477196.6</v>
      </c>
      <c r="C25" s="8">
        <f t="shared" si="0"/>
        <v>7150.4</v>
      </c>
      <c r="D25" s="8">
        <v>839.8</v>
      </c>
      <c r="E25" s="8">
        <v>2538.1</v>
      </c>
      <c r="F25" s="12" t="s">
        <v>10</v>
      </c>
      <c r="G25" s="12" t="s">
        <v>10</v>
      </c>
      <c r="H25" s="12" t="s">
        <v>10</v>
      </c>
      <c r="I25" s="8">
        <v>3772.5</v>
      </c>
      <c r="J25" s="8">
        <v>1646</v>
      </c>
      <c r="K25" s="8">
        <v>2126.5</v>
      </c>
      <c r="L25" s="8">
        <v>523382.6</v>
      </c>
      <c r="M25" s="8">
        <v>6501.4</v>
      </c>
      <c r="N25" s="8">
        <v>688.7</v>
      </c>
      <c r="O25" s="8">
        <v>1779.5</v>
      </c>
      <c r="P25" s="12">
        <v>399</v>
      </c>
      <c r="Q25" s="12">
        <v>409</v>
      </c>
      <c r="R25" s="25">
        <v>1071</v>
      </c>
      <c r="S25" s="8">
        <v>4033.2</v>
      </c>
      <c r="T25" s="8">
        <v>1756.1</v>
      </c>
      <c r="U25" s="8">
        <v>2272.5</v>
      </c>
      <c r="X25" s="3">
        <f t="shared" si="3"/>
        <v>2.645997408465206</v>
      </c>
      <c r="Y25" s="3">
        <f t="shared" si="13"/>
        <v>-1.1479572442944286</v>
      </c>
      <c r="Z25" s="3">
        <f t="shared" si="4"/>
        <v>-6.1205016357688047</v>
      </c>
      <c r="AA25" s="3">
        <f t="shared" si="14"/>
        <v>-0.36952018364032613</v>
      </c>
      <c r="AB25" s="3">
        <f t="shared" si="5"/>
        <v>-0.59154096421176749</v>
      </c>
      <c r="AC25" s="3">
        <f t="shared" si="6"/>
        <v>7.1446003660768698</v>
      </c>
      <c r="AD25" s="3">
        <f t="shared" si="7"/>
        <v>-6.477632824396073</v>
      </c>
      <c r="AE25" s="3">
        <v>2010</v>
      </c>
      <c r="AF25" s="3">
        <f>((B31/L31))*100</f>
        <v>105.78156555137733</v>
      </c>
      <c r="AG25" s="3">
        <f t="shared" si="15"/>
        <v>103.87112887112889</v>
      </c>
      <c r="AH25" s="3">
        <f t="shared" si="15"/>
        <v>100.84210526315789</v>
      </c>
      <c r="AI25" s="3">
        <f t="shared" si="16"/>
        <v>114.96751423758722</v>
      </c>
      <c r="AJ25" s="3">
        <f t="shared" si="16"/>
        <v>131.54880187025134</v>
      </c>
      <c r="AK25" s="3">
        <f t="shared" si="16"/>
        <v>106.3718003543283</v>
      </c>
      <c r="AN25" s="3">
        <v>2010</v>
      </c>
      <c r="AO25" s="3">
        <f t="shared" si="18"/>
        <v>2.3639154230870485</v>
      </c>
      <c r="AP25" s="3">
        <f t="shared" si="19"/>
        <v>-2.5754992239155228</v>
      </c>
      <c r="AQ25" s="3">
        <f t="shared" si="20"/>
        <v>-5.574080486435296</v>
      </c>
      <c r="AR25" s="3">
        <f t="shared" si="21"/>
        <v>-6.4872550620333147</v>
      </c>
      <c r="AS25" s="3">
        <f t="shared" si="22"/>
        <v>-10.760511857991052</v>
      </c>
      <c r="AT25" s="3">
        <f t="shared" si="23"/>
        <v>-3.8097478456398326</v>
      </c>
    </row>
    <row r="26" spans="1:46">
      <c r="A26" s="18">
        <v>2005</v>
      </c>
      <c r="B26" s="8">
        <v>497541</v>
      </c>
      <c r="C26" s="10" t="s">
        <v>10</v>
      </c>
      <c r="D26" s="8">
        <v>868.2</v>
      </c>
      <c r="E26" s="8">
        <v>2359.8000000000002</v>
      </c>
      <c r="F26" s="12" t="s">
        <v>10</v>
      </c>
      <c r="G26" s="12" t="s">
        <v>10</v>
      </c>
      <c r="H26" s="12" t="s">
        <v>10</v>
      </c>
      <c r="I26" s="8" t="s">
        <v>9</v>
      </c>
      <c r="J26" s="8">
        <v>1487.4</v>
      </c>
      <c r="K26" s="8">
        <v>2190.3000000000002</v>
      </c>
      <c r="L26" s="8">
        <v>537514.5</v>
      </c>
      <c r="M26" s="8">
        <v>6363.1</v>
      </c>
      <c r="N26" s="8">
        <v>721.4</v>
      </c>
      <c r="O26" s="8">
        <v>1812.5</v>
      </c>
      <c r="P26" s="12">
        <v>439</v>
      </c>
      <c r="Q26" s="12">
        <v>471</v>
      </c>
      <c r="R26" s="12">
        <v>908</v>
      </c>
      <c r="S26" s="8">
        <v>3829.2</v>
      </c>
      <c r="T26" s="8">
        <v>1572.6</v>
      </c>
      <c r="U26" s="8">
        <v>2254.5</v>
      </c>
      <c r="X26" s="3">
        <f t="shared" si="3"/>
        <v>2.7001088687319763</v>
      </c>
      <c r="Y26" s="3">
        <f t="shared" si="13"/>
        <v>-2.1272341341864731</v>
      </c>
      <c r="Z26" s="3">
        <f t="shared" si="4"/>
        <v>4.7480760853782389</v>
      </c>
      <c r="AA26" s="3">
        <f t="shared" si="14"/>
        <v>1.854453498173636</v>
      </c>
      <c r="AB26" s="3">
        <f t="shared" si="5"/>
        <v>-5.0580184468908111</v>
      </c>
      <c r="AC26" s="3">
        <f t="shared" si="6"/>
        <v>-10.449291042651332</v>
      </c>
      <c r="AD26" s="3">
        <f t="shared" si="7"/>
        <v>-0.79207920792079278</v>
      </c>
      <c r="AE26" s="3">
        <v>2011</v>
      </c>
      <c r="AF26" s="3">
        <f>((B32/L32))*100</f>
        <v>108.28215229422926</v>
      </c>
      <c r="AG26" s="3">
        <f t="shared" si="15"/>
        <v>101.19592875318067</v>
      </c>
      <c r="AH26" s="3">
        <f t="shared" si="15"/>
        <v>95.221085151573661</v>
      </c>
      <c r="AI26" s="3">
        <f t="shared" si="16"/>
        <v>107.50927835051547</v>
      </c>
      <c r="AJ26" s="3">
        <f t="shared" si="16"/>
        <v>117.39347744595779</v>
      </c>
      <c r="AK26" s="3">
        <f t="shared" si="16"/>
        <v>102.31930298196097</v>
      </c>
      <c r="AN26" s="3" t="s">
        <v>28</v>
      </c>
      <c r="AO26" s="3">
        <f>((AF26/AF22)^(1/4)-1)*100</f>
        <v>2.009171397866516</v>
      </c>
      <c r="AP26" s="3">
        <f>((AG26/AG22)^(1/4)-1)*100</f>
        <v>0.29765061097766221</v>
      </c>
      <c r="AQ26" s="3">
        <f t="shared" ref="AQ26:AT26" si="24">((AH26/AH22)^(1/4)-1)*100</f>
        <v>-1.2167565678662395</v>
      </c>
      <c r="AR26" s="3">
        <f t="shared" si="24"/>
        <v>1.8266571620778604</v>
      </c>
      <c r="AS26" s="3">
        <f t="shared" si="24"/>
        <v>4.0904753625080392</v>
      </c>
      <c r="AT26" s="3">
        <f t="shared" si="24"/>
        <v>0.57484993541006002</v>
      </c>
    </row>
    <row r="27" spans="1:46" ht="15.75" thickBot="1">
      <c r="A27" s="18">
        <v>2006</v>
      </c>
      <c r="B27" s="76">
        <v>519527.6</v>
      </c>
      <c r="C27" s="74" t="s">
        <v>10</v>
      </c>
      <c r="D27" s="76">
        <v>728.2</v>
      </c>
      <c r="E27" s="76">
        <v>2013.6</v>
      </c>
      <c r="F27" s="88" t="s">
        <v>10</v>
      </c>
      <c r="G27" s="88" t="s">
        <v>10</v>
      </c>
      <c r="H27" s="88" t="s">
        <v>10</v>
      </c>
      <c r="I27" s="76" t="s">
        <v>9</v>
      </c>
      <c r="J27" s="76">
        <v>1332.3</v>
      </c>
      <c r="K27" s="76">
        <v>2074.9</v>
      </c>
      <c r="L27" s="8">
        <v>548615.69999999995</v>
      </c>
      <c r="M27" s="8">
        <v>5750.2000000000007</v>
      </c>
      <c r="N27" s="8">
        <v>614.79999999999995</v>
      </c>
      <c r="O27" s="8">
        <v>1835.5</v>
      </c>
      <c r="P27" s="12">
        <v>456</v>
      </c>
      <c r="Q27" s="12">
        <v>488</v>
      </c>
      <c r="R27" s="12">
        <v>887</v>
      </c>
      <c r="S27" s="8">
        <v>3299.9</v>
      </c>
      <c r="T27" s="8">
        <v>1248.9000000000001</v>
      </c>
      <c r="U27" s="8">
        <v>2052.4</v>
      </c>
      <c r="X27" s="3">
        <f t="shared" si="3"/>
        <v>2.0652838202504187</v>
      </c>
      <c r="Y27" s="3">
        <f t="shared" si="13"/>
        <v>-9.6320975625088341</v>
      </c>
      <c r="Z27" s="3">
        <f t="shared" si="4"/>
        <v>-14.776822844469095</v>
      </c>
      <c r="AA27" s="3">
        <f t="shared" si="14"/>
        <v>1.2689655172413827</v>
      </c>
      <c r="AB27" s="3">
        <f t="shared" si="5"/>
        <v>-13.822730596469235</v>
      </c>
      <c r="AC27" s="3">
        <f t="shared" si="6"/>
        <v>-20.583746661579539</v>
      </c>
      <c r="AD27" s="3">
        <f t="shared" si="7"/>
        <v>-8.9642936349523143</v>
      </c>
    </row>
    <row r="28" spans="1:46">
      <c r="A28" s="18">
        <v>2007</v>
      </c>
      <c r="B28" s="8">
        <v>557107.19999999995</v>
      </c>
      <c r="C28" s="8">
        <f t="shared" si="0"/>
        <v>5294.8</v>
      </c>
      <c r="D28" s="8">
        <v>530.4</v>
      </c>
      <c r="E28" s="8">
        <v>1640.6</v>
      </c>
      <c r="F28" s="12">
        <v>381</v>
      </c>
      <c r="G28" s="12">
        <v>426</v>
      </c>
      <c r="H28" s="12">
        <v>834</v>
      </c>
      <c r="I28" s="8">
        <v>3123.8</v>
      </c>
      <c r="J28" s="8">
        <v>1227.0999999999999</v>
      </c>
      <c r="K28" s="8">
        <v>1896.7</v>
      </c>
      <c r="L28" s="8">
        <v>557107.19999999995</v>
      </c>
      <c r="M28" s="8">
        <v>5294.8</v>
      </c>
      <c r="N28" s="8">
        <v>530.4</v>
      </c>
      <c r="O28" s="8">
        <v>1640.6</v>
      </c>
      <c r="P28" s="12">
        <v>381</v>
      </c>
      <c r="Q28" s="12">
        <v>426</v>
      </c>
      <c r="R28" s="12">
        <v>834</v>
      </c>
      <c r="S28" s="8">
        <v>3123.8</v>
      </c>
      <c r="T28" s="8">
        <v>1227.0999999999999</v>
      </c>
      <c r="U28" s="8">
        <v>1896.7</v>
      </c>
      <c r="X28" s="3">
        <f t="shared" si="3"/>
        <v>1.5478047748177737</v>
      </c>
      <c r="Y28" s="3">
        <f t="shared" si="13"/>
        <v>-7.9197245313206599</v>
      </c>
      <c r="Z28" s="3">
        <f t="shared" si="4"/>
        <v>-13.728041639557576</v>
      </c>
      <c r="AA28" s="3">
        <f t="shared" si="14"/>
        <v>-10.61836011985835</v>
      </c>
      <c r="AB28" s="3">
        <f t="shared" si="5"/>
        <v>-5.3365253492530069</v>
      </c>
      <c r="AC28" s="3">
        <f t="shared" si="6"/>
        <v>-1.7455360717431478</v>
      </c>
      <c r="AD28" s="3">
        <f t="shared" si="7"/>
        <v>-7.5862404989280874</v>
      </c>
      <c r="AF28" s="4" t="s">
        <v>31</v>
      </c>
    </row>
    <row r="29" spans="1:46">
      <c r="A29" s="18">
        <v>2008</v>
      </c>
      <c r="B29" s="8">
        <v>566375.19999999995</v>
      </c>
      <c r="C29" s="8">
        <f t="shared" si="0"/>
        <v>4826.8</v>
      </c>
      <c r="D29" s="8">
        <v>509.8</v>
      </c>
      <c r="E29" s="8">
        <v>1384.5</v>
      </c>
      <c r="F29" s="12">
        <v>274</v>
      </c>
      <c r="G29" s="12">
        <v>342</v>
      </c>
      <c r="H29" s="12">
        <v>768</v>
      </c>
      <c r="I29" s="8">
        <v>2932.5</v>
      </c>
      <c r="J29" s="8">
        <v>1135.7</v>
      </c>
      <c r="K29" s="8">
        <v>1796.8</v>
      </c>
      <c r="L29" s="8">
        <v>556218.80000000005</v>
      </c>
      <c r="M29" s="8">
        <v>4869.1000000000004</v>
      </c>
      <c r="N29" s="8">
        <v>498</v>
      </c>
      <c r="O29" s="8">
        <v>1449.5</v>
      </c>
      <c r="P29" s="12">
        <v>317</v>
      </c>
      <c r="Q29" s="12">
        <v>378</v>
      </c>
      <c r="R29" s="12">
        <v>753</v>
      </c>
      <c r="S29" s="8">
        <v>2921.6</v>
      </c>
      <c r="T29" s="8">
        <v>1158.5</v>
      </c>
      <c r="U29" s="8">
        <v>1763.4</v>
      </c>
      <c r="X29" s="3">
        <f t="shared" si="3"/>
        <v>-0.15946661611982993</v>
      </c>
      <c r="Y29" s="3">
        <f t="shared" si="13"/>
        <v>-8.0399637380070939</v>
      </c>
      <c r="Z29" s="3">
        <f t="shared" si="4"/>
        <v>-6.1085972850678738</v>
      </c>
      <c r="AA29" s="3">
        <f t="shared" si="14"/>
        <v>-11.648177496038025</v>
      </c>
      <c r="AB29" s="3">
        <f t="shared" si="5"/>
        <v>-6.4728855880658243</v>
      </c>
      <c r="AC29" s="3">
        <f t="shared" si="6"/>
        <v>-5.5904164289788838</v>
      </c>
      <c r="AD29" s="3">
        <f t="shared" si="7"/>
        <v>-7.0279959930405367</v>
      </c>
      <c r="AF29" s="3" t="s">
        <v>2</v>
      </c>
      <c r="AG29" s="3" t="s">
        <v>23</v>
      </c>
      <c r="AH29" s="3" t="s">
        <v>3</v>
      </c>
      <c r="AI29" s="3" t="s">
        <v>4</v>
      </c>
      <c r="AJ29" s="3" t="s">
        <v>5</v>
      </c>
      <c r="AK29" s="3" t="s">
        <v>6</v>
      </c>
      <c r="AL29" s="3" t="s">
        <v>7</v>
      </c>
    </row>
    <row r="30" spans="1:46">
      <c r="A30" s="18">
        <v>2009</v>
      </c>
      <c r="B30" s="8">
        <v>557099.69999999995</v>
      </c>
      <c r="C30" s="8">
        <f t="shared" si="0"/>
        <v>4108.3</v>
      </c>
      <c r="D30" s="8">
        <v>441.2</v>
      </c>
      <c r="E30" s="8">
        <v>1041.7</v>
      </c>
      <c r="F30" s="12">
        <v>177</v>
      </c>
      <c r="G30" s="12">
        <v>253</v>
      </c>
      <c r="H30" s="12">
        <v>612</v>
      </c>
      <c r="I30" s="8">
        <v>2625.4</v>
      </c>
      <c r="J30" s="8">
        <v>908.6</v>
      </c>
      <c r="K30" s="8">
        <v>1716.8</v>
      </c>
      <c r="L30" s="8">
        <v>538493.80000000005</v>
      </c>
      <c r="M30" s="8">
        <v>3775.3</v>
      </c>
      <c r="N30" s="8">
        <v>388.3</v>
      </c>
      <c r="O30" s="8">
        <v>1049.5</v>
      </c>
      <c r="P30" s="12">
        <v>210</v>
      </c>
      <c r="Q30" s="12">
        <v>303</v>
      </c>
      <c r="R30" s="12">
        <v>537</v>
      </c>
      <c r="S30" s="8">
        <v>2337.5</v>
      </c>
      <c r="T30" s="8">
        <v>753.3</v>
      </c>
      <c r="U30" s="8">
        <v>1592</v>
      </c>
      <c r="X30" s="3">
        <f t="shared" si="3"/>
        <v>-3.1866955953304688</v>
      </c>
      <c r="Y30" s="3">
        <f t="shared" si="13"/>
        <v>-22.464110410548155</v>
      </c>
      <c r="Z30" s="3">
        <f t="shared" si="4"/>
        <v>-22.028112449799199</v>
      </c>
      <c r="AA30" s="3">
        <f t="shared" si="14"/>
        <v>-27.595722662987232</v>
      </c>
      <c r="AB30" s="3">
        <f t="shared" si="5"/>
        <v>-19.992469879518072</v>
      </c>
      <c r="AC30" s="3">
        <f t="shared" si="6"/>
        <v>-34.976262408286587</v>
      </c>
      <c r="AD30" s="3">
        <f t="shared" si="7"/>
        <v>-9.7198593625949954</v>
      </c>
      <c r="AE30" s="3">
        <v>1984</v>
      </c>
      <c r="AF30" s="3">
        <f t="shared" ref="AF30:AF34" si="25">(L5/$L$21)*100</f>
        <v>59.086956731995699</v>
      </c>
      <c r="AG30" s="3">
        <f>(M5/$M$21)*100</f>
        <v>78.248236354116614</v>
      </c>
      <c r="AH30" s="3">
        <f t="shared" ref="AH30:AH34" si="26">(N5/$N$21)*100</f>
        <v>46.993722251840389</v>
      </c>
      <c r="AI30" s="3">
        <f>(O5/$O$21)*100</f>
        <v>65.724572557938828</v>
      </c>
      <c r="AJ30" s="3">
        <f t="shared" ref="AJ30:AJ34" si="27">(S5/$S$21)*100</f>
        <v>90.175619903200342</v>
      </c>
      <c r="AK30" s="3">
        <f t="shared" ref="AK30:AK34" si="28">(T5/$T$21)*100</f>
        <v>105.01846912572069</v>
      </c>
      <c r="AL30" s="3">
        <f t="shared" ref="AL30:AL34" si="29">(U5/$U$21)*100</f>
        <v>82.577105230521227</v>
      </c>
    </row>
    <row r="31" spans="1:46">
      <c r="A31" s="18">
        <v>2010</v>
      </c>
      <c r="B31" s="8">
        <v>589162.69999999995</v>
      </c>
      <c r="C31" s="8">
        <f t="shared" si="0"/>
        <v>4384.2</v>
      </c>
      <c r="D31" s="8">
        <v>415.9</v>
      </c>
      <c r="E31" s="8">
        <v>1101.7</v>
      </c>
      <c r="F31" s="12">
        <v>194</v>
      </c>
      <c r="G31" s="12">
        <v>254</v>
      </c>
      <c r="H31" s="12">
        <v>654</v>
      </c>
      <c r="I31" s="8">
        <v>2866.6</v>
      </c>
      <c r="J31" s="8">
        <v>1125.4000000000001</v>
      </c>
      <c r="K31" s="8">
        <v>1741.2</v>
      </c>
      <c r="L31" s="8">
        <v>556961.6</v>
      </c>
      <c r="M31" s="8">
        <v>3986.3</v>
      </c>
      <c r="N31" s="8">
        <v>400.4</v>
      </c>
      <c r="O31" s="8">
        <v>1092.5</v>
      </c>
      <c r="P31" s="12">
        <v>205</v>
      </c>
      <c r="Q31" s="12">
        <v>321</v>
      </c>
      <c r="R31" s="12">
        <v>565</v>
      </c>
      <c r="S31" s="8">
        <v>2493.4</v>
      </c>
      <c r="T31" s="8">
        <v>855.5</v>
      </c>
      <c r="U31" s="8">
        <v>1636.9</v>
      </c>
      <c r="X31" s="3">
        <f t="shared" si="3"/>
        <v>3.4295288079454034</v>
      </c>
      <c r="Y31" s="3">
        <f t="shared" si="13"/>
        <v>5.5889598177628175</v>
      </c>
      <c r="Z31" s="3">
        <f t="shared" si="4"/>
        <v>3.1161473087818692</v>
      </c>
      <c r="AA31" s="3">
        <f t="shared" si="14"/>
        <v>4.0971891376846203</v>
      </c>
      <c r="AB31" s="3">
        <f t="shared" si="5"/>
        <v>6.6695187165775494</v>
      </c>
      <c r="AC31" s="3">
        <f t="shared" si="6"/>
        <v>13.566971989911059</v>
      </c>
      <c r="AD31" s="3">
        <f t="shared" si="7"/>
        <v>2.8203517587939819</v>
      </c>
      <c r="AE31" s="3">
        <v>1985</v>
      </c>
      <c r="AF31" s="3">
        <f t="shared" si="25"/>
        <v>62.264465886639911</v>
      </c>
      <c r="AG31" s="3">
        <f>(M6/$M$21)*100</f>
        <v>73.587056119147334</v>
      </c>
      <c r="AH31" s="3">
        <f t="shared" si="26"/>
        <v>49.383233552781427</v>
      </c>
      <c r="AI31" s="3">
        <f>(O6/$O$21)*100</f>
        <v>56.671287936656832</v>
      </c>
      <c r="AJ31" s="3">
        <f t="shared" si="27"/>
        <v>85.822038191605259</v>
      </c>
      <c r="AK31" s="3">
        <f t="shared" si="28"/>
        <v>98.451257565768174</v>
      </c>
      <c r="AL31" s="3">
        <f t="shared" si="29"/>
        <v>80.037903450841796</v>
      </c>
    </row>
    <row r="32" spans="1:46">
      <c r="A32" s="18">
        <v>2011</v>
      </c>
      <c r="B32" s="8">
        <v>617757.80000000005</v>
      </c>
      <c r="C32" s="8">
        <f t="shared" si="0"/>
        <v>3991.1</v>
      </c>
      <c r="D32" s="8">
        <v>397.7</v>
      </c>
      <c r="E32" s="8">
        <v>986.3</v>
      </c>
      <c r="F32" s="12">
        <v>172</v>
      </c>
      <c r="G32" s="12">
        <v>215</v>
      </c>
      <c r="H32" s="12">
        <v>599</v>
      </c>
      <c r="I32" s="8">
        <v>2607.1</v>
      </c>
      <c r="J32" s="8">
        <v>939.5</v>
      </c>
      <c r="K32" s="8">
        <v>1667.6</v>
      </c>
      <c r="L32" s="8">
        <v>570507.5</v>
      </c>
      <c r="M32" s="8">
        <v>3853.8</v>
      </c>
      <c r="N32" s="8">
        <v>393</v>
      </c>
      <c r="O32" s="8">
        <v>1035.8</v>
      </c>
      <c r="P32" s="12">
        <v>189</v>
      </c>
      <c r="Q32" s="12">
        <v>299</v>
      </c>
      <c r="R32" s="12">
        <v>544</v>
      </c>
      <c r="S32" s="8">
        <v>2425</v>
      </c>
      <c r="T32" s="8">
        <v>800.3</v>
      </c>
      <c r="U32" s="8">
        <v>1629.8</v>
      </c>
      <c r="X32" s="3">
        <f t="shared" si="3"/>
        <v>2.4321066299723304</v>
      </c>
      <c r="Y32" s="3">
        <f t="shared" si="13"/>
        <v>-3.3238843037403099</v>
      </c>
      <c r="Z32" s="3">
        <f t="shared" si="4"/>
        <v>-1.8481518481518466</v>
      </c>
      <c r="AA32" s="3">
        <f t="shared" si="14"/>
        <v>-5.1899313501144189</v>
      </c>
      <c r="AB32" s="3">
        <f t="shared" si="5"/>
        <v>-2.7432421593005518</v>
      </c>
      <c r="AC32" s="3">
        <f t="shared" si="6"/>
        <v>-6.4523670368205828</v>
      </c>
      <c r="AD32" s="3">
        <f t="shared" si="7"/>
        <v>-0.43374671635408868</v>
      </c>
      <c r="AE32" s="3">
        <v>1986</v>
      </c>
      <c r="AF32" s="3">
        <f t="shared" si="25"/>
        <v>65.08702088841666</v>
      </c>
      <c r="AH32" s="3">
        <f t="shared" si="26"/>
        <v>47.812594421006274</v>
      </c>
      <c r="AJ32" s="3">
        <f t="shared" si="27"/>
        <v>87.877763075355873</v>
      </c>
      <c r="AK32" s="3">
        <f t="shared" si="28"/>
        <v>103.07019636293478</v>
      </c>
      <c r="AL32" s="3">
        <f t="shared" si="29"/>
        <v>79.769130003410552</v>
      </c>
    </row>
    <row r="33" spans="1:47">
      <c r="A33" s="18">
        <v>2012</v>
      </c>
      <c r="B33" s="8" t="s">
        <v>10</v>
      </c>
      <c r="C33" s="10" t="s">
        <v>10</v>
      </c>
      <c r="D33" s="8" t="s">
        <v>10</v>
      </c>
      <c r="E33" s="8" t="s">
        <v>10</v>
      </c>
      <c r="F33" s="12" t="s">
        <v>10</v>
      </c>
      <c r="G33" s="12" t="s">
        <v>10</v>
      </c>
      <c r="H33" s="12" t="s">
        <v>10</v>
      </c>
      <c r="I33" s="8" t="s">
        <v>10</v>
      </c>
      <c r="J33" s="8" t="s">
        <v>10</v>
      </c>
      <c r="K33" s="8" t="s">
        <v>10</v>
      </c>
      <c r="L33" s="8">
        <v>579634.30000000005</v>
      </c>
      <c r="M33" s="8">
        <v>3781.2000000000003</v>
      </c>
      <c r="N33" s="8">
        <v>339</v>
      </c>
      <c r="O33" s="8">
        <v>1100.9000000000001</v>
      </c>
      <c r="P33" s="12">
        <v>184</v>
      </c>
      <c r="Q33" s="12">
        <v>329</v>
      </c>
      <c r="R33" s="12">
        <v>585</v>
      </c>
      <c r="S33" s="8">
        <v>2341.3000000000002</v>
      </c>
      <c r="T33" s="8">
        <v>666</v>
      </c>
      <c r="U33" s="8">
        <v>1695.3</v>
      </c>
      <c r="X33" s="3">
        <f t="shared" si="3"/>
        <v>1.5997686270557532</v>
      </c>
      <c r="Y33" s="3">
        <f t="shared" si="13"/>
        <v>-1.8838548964658197</v>
      </c>
      <c r="Z33" s="3">
        <f t="shared" si="4"/>
        <v>-13.740458015267176</v>
      </c>
      <c r="AA33" s="3">
        <f t="shared" si="14"/>
        <v>6.2849971036879948</v>
      </c>
      <c r="AB33" s="3">
        <f t="shared" si="5"/>
        <v>-3.4515463917525691</v>
      </c>
      <c r="AC33" s="3">
        <f t="shared" si="6"/>
        <v>-16.781207047357238</v>
      </c>
      <c r="AD33" s="3">
        <f t="shared" si="7"/>
        <v>4.0188980242974681</v>
      </c>
      <c r="AE33" s="3">
        <v>1987</v>
      </c>
      <c r="AF33" s="3">
        <f t="shared" si="25"/>
        <v>68.450672548279883</v>
      </c>
      <c r="AG33" s="3">
        <f>(M8/$M$21)*100</f>
        <v>76.572728836033221</v>
      </c>
      <c r="AH33" s="3">
        <f t="shared" si="26"/>
        <v>49.608609026253838</v>
      </c>
      <c r="AI33" s="3">
        <f>(O8/$O$21)*100</f>
        <v>56.43395370094251</v>
      </c>
      <c r="AJ33" s="3">
        <f t="shared" si="27"/>
        <v>90.740547471036507</v>
      </c>
      <c r="AK33" s="3">
        <f t="shared" si="28"/>
        <v>108.9325272154524</v>
      </c>
      <c r="AL33" s="3">
        <f t="shared" si="29"/>
        <v>79.945954639878465</v>
      </c>
    </row>
    <row r="34" spans="1:47">
      <c r="A34" s="18">
        <v>2013</v>
      </c>
      <c r="B34" s="8" t="s">
        <v>10</v>
      </c>
      <c r="C34" s="10" t="s">
        <v>10</v>
      </c>
      <c r="D34" s="8" t="s">
        <v>10</v>
      </c>
      <c r="E34" s="8" t="s">
        <v>10</v>
      </c>
      <c r="F34" s="12" t="s">
        <v>10</v>
      </c>
      <c r="G34" s="12" t="s">
        <v>10</v>
      </c>
      <c r="H34" s="12" t="s">
        <v>10</v>
      </c>
      <c r="I34" s="8" t="s">
        <v>10</v>
      </c>
      <c r="J34" s="8" t="s">
        <v>10</v>
      </c>
      <c r="K34" s="8" t="s">
        <v>10</v>
      </c>
      <c r="L34" s="8">
        <v>586874</v>
      </c>
      <c r="M34" s="8">
        <v>3771.7</v>
      </c>
      <c r="N34" s="8">
        <v>376.6</v>
      </c>
      <c r="O34" s="8">
        <v>1150.5</v>
      </c>
      <c r="P34" s="12">
        <v>197</v>
      </c>
      <c r="Q34" s="12">
        <v>372</v>
      </c>
      <c r="R34" s="12">
        <v>586</v>
      </c>
      <c r="S34" s="8">
        <v>2244.6</v>
      </c>
      <c r="T34" s="8">
        <v>690.8</v>
      </c>
      <c r="U34" s="8">
        <v>1566</v>
      </c>
      <c r="X34" s="3">
        <f t="shared" si="3"/>
        <v>1.2490116613181668</v>
      </c>
      <c r="Y34" s="3">
        <f t="shared" si="13"/>
        <v>-0.25124299164287489</v>
      </c>
      <c r="Z34" s="3">
        <f t="shared" si="4"/>
        <v>11.091445427728619</v>
      </c>
      <c r="AA34" s="3">
        <f t="shared" si="14"/>
        <v>4.5054046689072536</v>
      </c>
      <c r="AB34" s="3">
        <f t="shared" si="5"/>
        <v>-4.1301840857643324</v>
      </c>
      <c r="AC34" s="3">
        <f t="shared" si="6"/>
        <v>3.7237237237237153</v>
      </c>
      <c r="AD34" s="3">
        <f t="shared" si="7"/>
        <v>-7.6269686781100692</v>
      </c>
      <c r="AE34" s="3">
        <v>1988</v>
      </c>
      <c r="AF34" s="3">
        <f t="shared" si="25"/>
        <v>72.123298534802842</v>
      </c>
      <c r="AH34" s="3">
        <f t="shared" si="26"/>
        <v>50.261469966666915</v>
      </c>
      <c r="AJ34" s="3">
        <f t="shared" si="27"/>
        <v>91.593940797076698</v>
      </c>
      <c r="AK34" s="3">
        <f t="shared" si="28"/>
        <v>109.05949330561148</v>
      </c>
      <c r="AL34" s="3">
        <f t="shared" si="29"/>
        <v>81.565668309924661</v>
      </c>
    </row>
    <row r="35" spans="1:47">
      <c r="A35" s="21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47" ht="15" customHeight="1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31"/>
      <c r="AE36" s="3">
        <v>1989</v>
      </c>
      <c r="AF36" s="3">
        <f t="shared" ref="AF36" si="30">(L10/$L$21)*100</f>
        <v>74.343416758695085</v>
      </c>
      <c r="AH36" s="3">
        <f t="shared" ref="AH36" si="31">(N10/$N$21)*100</f>
        <v>55.339777877926011</v>
      </c>
      <c r="AJ36" s="3">
        <f t="shared" ref="AJ36" si="32">(S10/$S$21)*100</f>
        <v>96.460846100364535</v>
      </c>
      <c r="AK36" s="3">
        <f t="shared" ref="AK36" si="33">(T10/$T$21)*100</f>
        <v>116.8569624977951</v>
      </c>
      <c r="AL36" s="3">
        <f>(U10/$U$21)*100</f>
        <v>83.963410380429735</v>
      </c>
    </row>
    <row r="37" spans="1:47" ht="30" customHeight="1">
      <c r="A37" s="21" t="s">
        <v>29</v>
      </c>
      <c r="B37" s="7">
        <f>((B21/B5)^(1/16)-1)*100</f>
        <v>6.0801569302727287</v>
      </c>
      <c r="C37" s="7">
        <f>((C21/C5)^(1/16)-1)*100</f>
        <v>5.6961179267303486</v>
      </c>
      <c r="D37" s="7">
        <f>((D21/D5)^(1/16)-1)*100</f>
        <v>3.8938977495877269</v>
      </c>
      <c r="E37" s="7">
        <f t="shared" ref="E37:M37" si="34">((E21/E5)^(1/16)-1)*100</f>
        <v>9.081222002522459</v>
      </c>
      <c r="F37" s="12" t="s">
        <v>10</v>
      </c>
      <c r="G37" s="12" t="s">
        <v>10</v>
      </c>
      <c r="H37" s="12" t="s">
        <v>10</v>
      </c>
      <c r="I37" s="7">
        <f t="shared" si="34"/>
        <v>4.8175600996605894</v>
      </c>
      <c r="J37" s="7">
        <f t="shared" si="34"/>
        <v>4.542457037139469</v>
      </c>
      <c r="K37" s="7">
        <f t="shared" si="34"/>
        <v>5.3020228850464868</v>
      </c>
      <c r="L37" s="7">
        <f t="shared" si="34"/>
        <v>3.3431686743365274</v>
      </c>
      <c r="M37" s="7">
        <f t="shared" si="34"/>
        <v>1.5448354431330635</v>
      </c>
      <c r="N37" s="7">
        <f>((N21/N5)^(1/16)-1)*100</f>
        <v>4.8328782171795703</v>
      </c>
      <c r="O37" s="7">
        <f t="shared" ref="O37:U37" si="35">((O21/O5)^(1/16)-1)*100</f>
        <v>2.657814523915869</v>
      </c>
      <c r="P37" s="12" t="s">
        <v>10</v>
      </c>
      <c r="Q37" s="12" t="s">
        <v>10</v>
      </c>
      <c r="R37" s="12" t="s">
        <v>10</v>
      </c>
      <c r="S37" s="7">
        <f t="shared" si="35"/>
        <v>0.64841242995372639</v>
      </c>
      <c r="T37" s="7">
        <f t="shared" si="35"/>
        <v>-0.30556996384049073</v>
      </c>
      <c r="U37" s="7">
        <f t="shared" si="35"/>
        <v>1.2036722757535978</v>
      </c>
      <c r="AE37" s="3">
        <v>1991</v>
      </c>
      <c r="AF37" s="3">
        <f>(L12/$L$21)*100</f>
        <v>71.601174870937228</v>
      </c>
      <c r="AG37" s="3">
        <f>(M12/$M$21)*100</f>
        <v>47.762713561374667</v>
      </c>
      <c r="AH37" s="3">
        <f>(N12/$N$21)*100</f>
        <v>78.856095318796918</v>
      </c>
      <c r="AI37" s="3">
        <f>(O12/$O$21)*100</f>
        <v>43.091642101871628</v>
      </c>
      <c r="AJ37" s="3">
        <f>(S12/$S$21)*100</f>
        <v>43.01321645576833</v>
      </c>
      <c r="AK37" s="3">
        <f>(T12/$T$21)*100</f>
        <v>90.828914015183301</v>
      </c>
    </row>
    <row r="38" spans="1:47" ht="30" customHeight="1">
      <c r="A38" s="325" t="s">
        <v>68</v>
      </c>
      <c r="B38" s="7">
        <f>((B28/B21)^(1/7)-1)*100</f>
        <v>4.6149734086232685</v>
      </c>
      <c r="C38" s="7">
        <f>((C28/C21)^(1/7)-1)*100</f>
        <v>-4.8693164322785698</v>
      </c>
      <c r="D38" s="7">
        <f t="shared" ref="D38:U38" si="36">((D28/D21)^(1/7)-1)*100</f>
        <v>-7.6220407163996917</v>
      </c>
      <c r="E38" s="7">
        <f t="shared" si="36"/>
        <v>-4.6441054268721027</v>
      </c>
      <c r="F38" s="329" t="s">
        <v>10</v>
      </c>
      <c r="G38" s="329" t="s">
        <v>10</v>
      </c>
      <c r="H38" s="329" t="s">
        <v>10</v>
      </c>
      <c r="I38" s="7">
        <f t="shared" si="36"/>
        <v>-4.4527301782699702</v>
      </c>
      <c r="J38" s="7">
        <f t="shared" si="36"/>
        <v>-10.555519511446631</v>
      </c>
      <c r="K38" s="7">
        <f t="shared" si="36"/>
        <v>2.2990316308571845</v>
      </c>
      <c r="L38" s="7">
        <f t="shared" si="36"/>
        <v>2.1070319069240728</v>
      </c>
      <c r="M38" s="7">
        <f t="shared" si="36"/>
        <v>-2.3026237091520962</v>
      </c>
      <c r="N38" s="7">
        <f t="shared" si="36"/>
        <v>-6.0733937900415036</v>
      </c>
      <c r="O38" s="7">
        <f t="shared" si="36"/>
        <v>0.46751287632411653</v>
      </c>
      <c r="P38" s="7">
        <f t="shared" si="36"/>
        <v>0.81322231543983214</v>
      </c>
      <c r="Q38" s="7">
        <f t="shared" si="36"/>
        <v>1.9552332972792241</v>
      </c>
      <c r="R38" s="7">
        <f t="shared" si="36"/>
        <v>-1.7988481974999027</v>
      </c>
      <c r="S38" s="7">
        <f t="shared" si="36"/>
        <v>-2.8417287837709915</v>
      </c>
      <c r="T38" s="7">
        <f t="shared" si="36"/>
        <v>-5.4018846951091604</v>
      </c>
      <c r="U38" s="7">
        <f t="shared" si="36"/>
        <v>0.18743481060519152</v>
      </c>
      <c r="AE38" s="3">
        <v>1992</v>
      </c>
      <c r="AF38" s="3">
        <f>(L13/$L$21)*100</f>
        <v>72.067314306848786</v>
      </c>
      <c r="AH38" s="3">
        <f>(N13/$N$21)*100</f>
        <v>76.229331253558513</v>
      </c>
      <c r="AJ38" s="3">
        <f>(S13/$S$21)*100</f>
        <v>86.831013756202609</v>
      </c>
      <c r="AK38" s="3">
        <f>(T13/$T$21)*100</f>
        <v>98.241106795849717</v>
      </c>
      <c r="AL38" s="3">
        <f>(U13/$U$21)*100</f>
        <v>82.30125879763122</v>
      </c>
    </row>
    <row r="39" spans="1:47" ht="30" customHeight="1">
      <c r="A39" s="63" t="s">
        <v>69</v>
      </c>
      <c r="B39" s="11" t="s">
        <v>10</v>
      </c>
      <c r="C39" s="11" t="s">
        <v>10</v>
      </c>
      <c r="D39" s="11" t="s">
        <v>10</v>
      </c>
      <c r="E39" s="11" t="s">
        <v>10</v>
      </c>
      <c r="F39" s="11" t="s">
        <v>10</v>
      </c>
      <c r="G39" s="11" t="s">
        <v>10</v>
      </c>
      <c r="H39" s="11" t="s">
        <v>10</v>
      </c>
      <c r="I39" s="11" t="s">
        <v>10</v>
      </c>
      <c r="J39" s="11" t="s">
        <v>10</v>
      </c>
      <c r="K39" s="11" t="s">
        <v>10</v>
      </c>
      <c r="L39" s="11">
        <f t="shared" ref="L39:U39" si="37">((L34/L28)^(1/6)-1)*100</f>
        <v>0.87131512699496483</v>
      </c>
      <c r="M39" s="11">
        <f t="shared" si="37"/>
        <v>-5.49649193302304</v>
      </c>
      <c r="N39" s="11">
        <f t="shared" si="37"/>
        <v>-5.5476429772184037</v>
      </c>
      <c r="O39" s="11">
        <f t="shared" si="37"/>
        <v>-5.7429190477814256</v>
      </c>
      <c r="P39" s="11">
        <f t="shared" si="37"/>
        <v>-10.410549037449279</v>
      </c>
      <c r="Q39" s="11">
        <f t="shared" si="37"/>
        <v>-2.2337651344968013</v>
      </c>
      <c r="R39" s="11">
        <f t="shared" si="37"/>
        <v>-5.7122524624848019</v>
      </c>
      <c r="S39" s="11">
        <f t="shared" si="37"/>
        <v>-5.3597331137780202</v>
      </c>
      <c r="T39" s="11">
        <f t="shared" si="37"/>
        <v>-9.1317713574580406</v>
      </c>
      <c r="U39" s="11">
        <f t="shared" si="37"/>
        <v>-3.1427385544740449</v>
      </c>
      <c r="AE39" s="3">
        <v>1993</v>
      </c>
      <c r="AF39" s="3">
        <f>(L14/$L$21)*100</f>
        <v>72.926227565865702</v>
      </c>
      <c r="AH39" s="3">
        <f>(N14/$N$21)*100</f>
        <v>84.718299047532426</v>
      </c>
      <c r="AJ39" s="3">
        <f>(S14/$S$21)*100</f>
        <v>86.386014125059461</v>
      </c>
      <c r="AK39" s="3">
        <f>(T14/$T$21)*100</f>
        <v>96.643085316261278</v>
      </c>
      <c r="AL39" s="3">
        <f>(U14/$U$21)*100</f>
        <v>82.937827488915758</v>
      </c>
    </row>
    <row r="40" spans="1:47" ht="30" customHeight="1">
      <c r="A40" s="325" t="s">
        <v>15</v>
      </c>
      <c r="B40" s="11" t="s">
        <v>10</v>
      </c>
      <c r="C40" s="11" t="s">
        <v>10</v>
      </c>
      <c r="D40" s="11" t="s">
        <v>10</v>
      </c>
      <c r="E40" s="11" t="s">
        <v>10</v>
      </c>
      <c r="F40" s="11" t="s">
        <v>10</v>
      </c>
      <c r="G40" s="11" t="s">
        <v>10</v>
      </c>
      <c r="H40" s="11" t="s">
        <v>10</v>
      </c>
      <c r="I40" s="11" t="s">
        <v>10</v>
      </c>
      <c r="J40" s="11" t="s">
        <v>10</v>
      </c>
      <c r="K40" s="11" t="s">
        <v>10</v>
      </c>
      <c r="L40" s="11">
        <f t="shared" ref="L40:U40" si="38">((L34/L21)^(1/13)-1)*100</f>
        <v>1.5348311673264448</v>
      </c>
      <c r="M40" s="11">
        <f t="shared" si="38"/>
        <v>-3.7899131594418267</v>
      </c>
      <c r="N40" s="11">
        <f t="shared" si="38"/>
        <v>-5.8311042050008695</v>
      </c>
      <c r="O40" s="11">
        <f t="shared" si="38"/>
        <v>-2.4481181081041581</v>
      </c>
      <c r="P40" s="11">
        <f t="shared" si="38"/>
        <v>-4.5317969561199378</v>
      </c>
      <c r="Q40" s="11">
        <f t="shared" si="38"/>
        <v>0</v>
      </c>
      <c r="R40" s="11">
        <f t="shared" si="38"/>
        <v>-3.6248198545643873</v>
      </c>
      <c r="S40" s="11">
        <f t="shared" si="38"/>
        <v>-4.0121031777337723</v>
      </c>
      <c r="T40" s="11">
        <f t="shared" si="38"/>
        <v>-7.1420241897041103</v>
      </c>
      <c r="U40" s="11">
        <f t="shared" si="38"/>
        <v>-1.3635625679184638</v>
      </c>
    </row>
    <row r="41" spans="1:47">
      <c r="A41" s="6"/>
      <c r="B41" s="6"/>
      <c r="C41" s="36"/>
      <c r="D41" s="6"/>
      <c r="E41" s="6"/>
      <c r="F41" s="36"/>
      <c r="G41" s="36"/>
      <c r="H41" s="36"/>
      <c r="I41" s="6"/>
      <c r="J41" s="6"/>
      <c r="K41" s="6"/>
      <c r="L41" s="7"/>
      <c r="M41" s="7"/>
      <c r="N41" s="7"/>
      <c r="O41" s="7"/>
      <c r="P41" s="7"/>
      <c r="Q41" s="7"/>
      <c r="R41" s="7"/>
      <c r="S41" s="7"/>
      <c r="T41" s="7"/>
      <c r="U41" s="7"/>
      <c r="AE41" s="3">
        <v>1995</v>
      </c>
      <c r="AF41" s="3">
        <f>(L16/$L$21)*100</f>
        <v>79.280361647727034</v>
      </c>
      <c r="AH41" s="3">
        <f>(N16/$N$21)*100</f>
        <v>75.597230339057944</v>
      </c>
      <c r="AJ41" s="3">
        <f>(S16/$S$21)*100</f>
        <v>42.43683189128825</v>
      </c>
      <c r="AK41" s="3">
        <f>(T16/$T$21)*100</f>
        <v>89.611790806072094</v>
      </c>
    </row>
    <row r="42" spans="1:47" s="30" customFormat="1">
      <c r="A42" s="116" t="s">
        <v>39</v>
      </c>
      <c r="B42" s="11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80.221937539354798</v>
      </c>
      <c r="AG42" s="24"/>
      <c r="AH42" s="24">
        <f>(N17/$N$21)*100</f>
        <v>91.998777871929718</v>
      </c>
      <c r="AI42" s="24" t="e">
        <f>(O17/$O$21)*100</f>
        <v>#VALUE!</v>
      </c>
      <c r="AJ42" s="24"/>
      <c r="AK42" s="24">
        <f>(T17/$T$21)*100</f>
        <v>86.310672461935951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30" customFormat="1">
      <c r="A43" s="116" t="s">
        <v>9</v>
      </c>
      <c r="B43" s="28" t="s">
        <v>42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83.708244175173306</v>
      </c>
      <c r="AG43" s="24">
        <f>(M18/$M$21)*100</f>
        <v>87.175496582485636</v>
      </c>
      <c r="AH43" s="24">
        <f>(N18/$N$21)*100</f>
        <v>75.911964980544738</v>
      </c>
      <c r="AI43" s="24">
        <f>(O18/$O$21)*100</f>
        <v>77.334844763524146</v>
      </c>
      <c r="AJ43" s="24">
        <f>(S18/$S$21)*100</f>
        <v>93.687047065902732</v>
      </c>
      <c r="AK43" s="24">
        <f>(T18/$T$21)*100</f>
        <v>86.24937848737639</v>
      </c>
      <c r="AL43" s="24">
        <f>(U18/$U$21)*100</f>
        <v>105.28846153846155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30" customFormat="1">
      <c r="A44" s="116" t="s">
        <v>10</v>
      </c>
      <c r="B44" s="28" t="s">
        <v>43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87.621461765948467</v>
      </c>
      <c r="AG44" s="24">
        <f>(M19/$M$21)*100</f>
        <v>86.880274684722252</v>
      </c>
      <c r="AH44" s="24">
        <f>(N19/$N$21)*100</f>
        <v>75.70525291828794</v>
      </c>
      <c r="AI44" s="24">
        <f>(O19/$O$21)*100</f>
        <v>84.356697525033056</v>
      </c>
      <c r="AJ44" s="24">
        <f>(S19/$S$21)*100</f>
        <v>90.333045548491739</v>
      </c>
      <c r="AK44" s="24">
        <f>(T19/$T$21)*100</f>
        <v>84.459422131373969</v>
      </c>
      <c r="AL44" s="24">
        <f>(U19/$U$21)*100</f>
        <v>99.289529914529922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30" customFormat="1">
      <c r="A45" s="49" t="s">
        <v>40</v>
      </c>
      <c r="B45" s="116"/>
      <c r="X45" s="24"/>
      <c r="Y45" s="24"/>
      <c r="Z45" s="24"/>
      <c r="AA45" s="24"/>
      <c r="AB45" s="24"/>
      <c r="AC45" s="24"/>
      <c r="AD45" s="24"/>
      <c r="AE45" s="24">
        <v>1999</v>
      </c>
      <c r="AF45" s="24">
        <f>(L20/$L$21)*100</f>
        <v>94.305114697792789</v>
      </c>
      <c r="AG45" s="24">
        <f>(M20/$M$21)*100</f>
        <v>86.174309277027234</v>
      </c>
      <c r="AH45" s="24">
        <f>(N20/$N$21)*100</f>
        <v>80.933852140077818</v>
      </c>
      <c r="AI45" s="24">
        <f>(O20/$O$21)*100</f>
        <v>83.896970841992569</v>
      </c>
      <c r="AJ45" s="24">
        <f>(S20/$S$21)*100</f>
        <v>88.247913559898478</v>
      </c>
      <c r="AK45" s="24">
        <f>(T20/$T$21)*100</f>
        <v>86.160985580907138</v>
      </c>
      <c r="AL45" s="24">
        <f>(U20/$U$21)*100</f>
        <v>91.602564102564102</v>
      </c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30" customFormat="1" ht="15" customHeight="1">
      <c r="A46" s="28" t="s">
        <v>44</v>
      </c>
      <c r="B46" s="116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X46" s="24"/>
      <c r="Y46" s="24"/>
      <c r="Z46" s="24"/>
      <c r="AA46" s="24"/>
      <c r="AB46" s="24"/>
      <c r="AC46" s="24"/>
      <c r="AD46" s="24"/>
      <c r="AE46" s="24">
        <v>2001</v>
      </c>
      <c r="AF46" s="24">
        <f>(L22/$L$21)*100</f>
        <v>101.47253762505511</v>
      </c>
      <c r="AG46" s="24">
        <f>(M22/$M$21)*100</f>
        <v>98.644225523858424</v>
      </c>
      <c r="AH46" s="24">
        <f>(N22/$N$21)*100</f>
        <v>92.339494163424135</v>
      </c>
      <c r="AI46" s="24">
        <f>(O22/$O$21)*100</f>
        <v>100.56678632155678</v>
      </c>
      <c r="AJ46" s="24">
        <f>(S22/$S$21)*100</f>
        <v>99.202051121052776</v>
      </c>
      <c r="AK46" s="24">
        <f>(T22/$T$21)*100</f>
        <v>87.818352577205687</v>
      </c>
      <c r="AL46" s="24">
        <f>(U22/$U$21)*100</f>
        <v>117.55341880341881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116" customFormat="1" ht="15" customHeight="1">
      <c r="A47" s="49" t="s">
        <v>144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 s="30" customFormat="1">
      <c r="A48" s="116" t="s">
        <v>41</v>
      </c>
      <c r="B48" s="116"/>
      <c r="X48" s="24"/>
      <c r="Y48" s="24"/>
      <c r="Z48" s="24"/>
      <c r="AA48" s="24"/>
      <c r="AB48" s="24"/>
      <c r="AC48" s="24"/>
      <c r="AD48" s="24"/>
      <c r="AE48" s="24">
        <v>2002</v>
      </c>
      <c r="AF48" s="24">
        <f t="shared" ref="AF48:AF59" si="39">(L23/$L$21)*100</f>
        <v>104.15118731459567</v>
      </c>
      <c r="AG48" s="24">
        <f t="shared" ref="AG48:AG59" si="40">(M23/$M$21)*100</f>
        <v>103.71434072457721</v>
      </c>
      <c r="AH48" s="24">
        <f t="shared" ref="AH48:AH59" si="41">(N23/$N$21)*100</f>
        <v>94.637645914396884</v>
      </c>
      <c r="AI48" s="24">
        <f t="shared" ref="AI48:AI59" si="42">(O23/$O$21)*100</f>
        <v>110.08249889791549</v>
      </c>
      <c r="AJ48" s="24">
        <f t="shared" ref="AJ48:AJ59" si="43">(S23/$S$21)*100</f>
        <v>103.02174083666901</v>
      </c>
      <c r="AK48" s="24">
        <f t="shared" ref="AK48:AK59" si="44">(T23/$T$21)*100</f>
        <v>92.232473344014139</v>
      </c>
      <c r="AL48" s="24">
        <f t="shared" ref="AL48:AL59" si="45">(U23/$U$21)*100</f>
        <v>120.60897435897438</v>
      </c>
      <c r="AM48" s="24"/>
      <c r="AN48" s="24"/>
      <c r="AO48" s="24"/>
      <c r="AP48" s="24"/>
      <c r="AQ48" s="24"/>
      <c r="AR48" s="24"/>
      <c r="AS48" s="24"/>
      <c r="AT48" s="24"/>
      <c r="AU48" s="24"/>
    </row>
    <row r="49" spans="1:47" s="30" customFormat="1" ht="15" customHeight="1">
      <c r="A49" s="28" t="s">
        <v>47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X49" s="24"/>
      <c r="Y49" s="24"/>
      <c r="Z49" s="24"/>
      <c r="AA49" s="24"/>
      <c r="AB49" s="24"/>
      <c r="AC49" s="24"/>
      <c r="AD49" s="24"/>
      <c r="AE49" s="24">
        <v>2003</v>
      </c>
      <c r="AF49" s="24">
        <f t="shared" si="39"/>
        <v>105.90782635209884</v>
      </c>
      <c r="AG49" s="24">
        <f t="shared" si="40"/>
        <v>105.52417931521354</v>
      </c>
      <c r="AH49" s="24">
        <f t="shared" si="41"/>
        <v>89.202334630350194</v>
      </c>
      <c r="AI49" s="24">
        <f t="shared" si="42"/>
        <v>112.48189432583915</v>
      </c>
      <c r="AJ49" s="24">
        <f t="shared" si="43"/>
        <v>106.14551448080998</v>
      </c>
      <c r="AK49" s="24">
        <f t="shared" si="44"/>
        <v>90.547483564443951</v>
      </c>
      <c r="AL49" s="24">
        <f t="shared" si="45"/>
        <v>129.80235042735043</v>
      </c>
      <c r="AM49" s="24"/>
      <c r="AN49" s="24"/>
      <c r="AO49" s="24"/>
      <c r="AP49" s="24"/>
      <c r="AQ49" s="24"/>
      <c r="AR49" s="24"/>
      <c r="AS49" s="24"/>
      <c r="AT49" s="24"/>
      <c r="AU49" s="24"/>
    </row>
    <row r="50" spans="1:47" s="30" customFormat="1">
      <c r="A50" s="28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X50" s="24"/>
      <c r="Y50" s="24"/>
      <c r="Z50" s="24"/>
      <c r="AA50" s="24"/>
      <c r="AB50" s="24"/>
      <c r="AC50" s="24"/>
      <c r="AD50" s="24"/>
      <c r="AE50" s="24">
        <v>2004</v>
      </c>
      <c r="AF50" s="24">
        <f t="shared" si="39"/>
        <v>108.71014469273719</v>
      </c>
      <c r="AG50" s="24">
        <f t="shared" si="40"/>
        <v>104.3128068542823</v>
      </c>
      <c r="AH50" s="24">
        <f t="shared" si="41"/>
        <v>83.74270428015565</v>
      </c>
      <c r="AI50" s="24">
        <f t="shared" si="42"/>
        <v>112.06625102336419</v>
      </c>
      <c r="AJ50" s="24">
        <f t="shared" si="43"/>
        <v>105.51762028098264</v>
      </c>
      <c r="AK50" s="24">
        <f t="shared" si="44"/>
        <v>97.016739406662609</v>
      </c>
      <c r="AL50" s="24">
        <f t="shared" si="45"/>
        <v>121.39423076923077</v>
      </c>
      <c r="AM50" s="24"/>
      <c r="AN50" s="24"/>
      <c r="AO50" s="24"/>
      <c r="AP50" s="24"/>
      <c r="AQ50" s="24"/>
      <c r="AR50" s="24"/>
      <c r="AS50" s="24"/>
      <c r="AT50" s="24"/>
      <c r="AU50" s="24"/>
    </row>
    <row r="51" spans="1:47" s="34" customFormat="1">
      <c r="A51" s="125" t="s">
        <v>48</v>
      </c>
      <c r="B51" s="125"/>
      <c r="X51" s="2"/>
      <c r="Y51" s="2"/>
      <c r="Z51" s="2"/>
      <c r="AA51" s="2"/>
      <c r="AB51" s="2"/>
      <c r="AC51" s="2"/>
      <c r="AD51" s="2"/>
      <c r="AE51" s="2">
        <v>2005</v>
      </c>
      <c r="AF51" s="2">
        <f t="shared" si="39"/>
        <v>111.64543695079716</v>
      </c>
      <c r="AG51" s="2">
        <f t="shared" si="40"/>
        <v>102.09382922055002</v>
      </c>
      <c r="AH51" s="2">
        <f t="shared" si="41"/>
        <v>87.718871595330739</v>
      </c>
      <c r="AI51" s="2">
        <f t="shared" si="42"/>
        <v>114.14446753573901</v>
      </c>
      <c r="AJ51" s="2">
        <f t="shared" si="43"/>
        <v>100.18051958245036</v>
      </c>
      <c r="AK51" s="2">
        <f t="shared" si="44"/>
        <v>86.879177945969829</v>
      </c>
      <c r="AL51" s="2">
        <f t="shared" si="45"/>
        <v>120.43269230769231</v>
      </c>
      <c r="AM51" s="2"/>
      <c r="AN51" s="2"/>
      <c r="AO51" s="2"/>
      <c r="AP51" s="2"/>
      <c r="AQ51" s="2"/>
      <c r="AR51" s="2"/>
      <c r="AS51" s="2"/>
      <c r="AT51" s="2"/>
      <c r="AU51" s="2"/>
    </row>
    <row r="52" spans="1:47" s="34" customFormat="1">
      <c r="A52" s="28" t="s">
        <v>49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X52" s="2"/>
      <c r="Y52" s="2"/>
      <c r="Z52" s="2"/>
      <c r="AA52" s="2"/>
      <c r="AB52" s="2"/>
      <c r="AC52" s="2"/>
      <c r="AD52" s="2"/>
      <c r="AE52" s="2">
        <v>2006</v>
      </c>
      <c r="AF52" s="2">
        <f t="shared" si="39"/>
        <v>113.95123209618987</v>
      </c>
      <c r="AG52" s="2">
        <f t="shared" si="40"/>
        <v>92.260051984725479</v>
      </c>
      <c r="AH52" s="2">
        <f t="shared" si="41"/>
        <v>74.756809338521407</v>
      </c>
      <c r="AI52" s="2">
        <f t="shared" si="42"/>
        <v>115.59292146860633</v>
      </c>
      <c r="AJ52" s="2">
        <f t="shared" si="43"/>
        <v>86.332836250425132</v>
      </c>
      <c r="AK52" s="2">
        <f t="shared" si="44"/>
        <v>68.996188055908519</v>
      </c>
      <c r="AL52" s="2">
        <f t="shared" si="45"/>
        <v>109.63675213675215</v>
      </c>
      <c r="AM52" s="2"/>
      <c r="AN52" s="2"/>
      <c r="AO52" s="2"/>
      <c r="AP52" s="2"/>
      <c r="AQ52" s="2"/>
      <c r="AR52" s="2"/>
      <c r="AS52" s="2"/>
      <c r="AT52" s="2"/>
      <c r="AU52" s="2"/>
    </row>
    <row r="53" spans="1:47" s="34" customFormat="1">
      <c r="A53" s="53" t="s">
        <v>50</v>
      </c>
      <c r="B53" s="53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X53" s="2"/>
      <c r="Y53" s="2"/>
      <c r="Z53" s="2"/>
      <c r="AA53" s="2"/>
      <c r="AB53" s="2"/>
      <c r="AC53" s="2"/>
      <c r="AD53" s="2"/>
      <c r="AE53" s="2">
        <v>2007</v>
      </c>
      <c r="AF53" s="2">
        <f t="shared" si="39"/>
        <v>115.71497470753837</v>
      </c>
      <c r="AG53" s="2">
        <f t="shared" si="40"/>
        <v>84.953310015081982</v>
      </c>
      <c r="AH53" s="2">
        <f t="shared" si="41"/>
        <v>64.494163424124523</v>
      </c>
      <c r="AI53" s="2">
        <f t="shared" si="42"/>
        <v>103.31884879400465</v>
      </c>
      <c r="AJ53" s="2">
        <f t="shared" si="43"/>
        <v>81.725662559192116</v>
      </c>
      <c r="AK53" s="2">
        <f t="shared" si="44"/>
        <v>67.791834705264904</v>
      </c>
      <c r="AL53" s="2">
        <f t="shared" si="45"/>
        <v>101.31944444444446</v>
      </c>
      <c r="AM53" s="2"/>
      <c r="AN53" s="2"/>
      <c r="AO53" s="2"/>
      <c r="AP53" s="2"/>
      <c r="AQ53" s="2"/>
      <c r="AR53" s="2"/>
      <c r="AS53" s="2"/>
      <c r="AT53" s="2"/>
      <c r="AU53" s="2"/>
    </row>
    <row r="54" spans="1:47" s="34" customFormat="1">
      <c r="A54" s="229" t="s">
        <v>518</v>
      </c>
      <c r="B54" s="53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X54" s="2"/>
      <c r="Y54" s="2"/>
      <c r="Z54" s="2"/>
      <c r="AA54" s="2"/>
      <c r="AB54" s="2"/>
      <c r="AC54" s="2"/>
      <c r="AD54" s="2"/>
      <c r="AE54" s="2">
        <v>2008</v>
      </c>
      <c r="AF54" s="2">
        <f t="shared" si="39"/>
        <v>115.53044795302836</v>
      </c>
      <c r="AG54" s="2">
        <f t="shared" si="40"/>
        <v>78.123094695632645</v>
      </c>
      <c r="AH54" s="2">
        <f t="shared" si="41"/>
        <v>60.554474708171213</v>
      </c>
      <c r="AI54" s="2">
        <f t="shared" si="42"/>
        <v>91.284085899615846</v>
      </c>
      <c r="AJ54" s="2">
        <f t="shared" si="43"/>
        <v>76.435653925646847</v>
      </c>
      <c r="AK54" s="2">
        <f t="shared" si="44"/>
        <v>64.001988840395569</v>
      </c>
      <c r="AL54" s="2">
        <f t="shared" si="45"/>
        <v>94.198717948717956</v>
      </c>
      <c r="AM54" s="2"/>
      <c r="AN54" s="2"/>
      <c r="AO54" s="2"/>
      <c r="AP54" s="2"/>
      <c r="AQ54" s="2"/>
      <c r="AR54" s="2"/>
      <c r="AS54" s="2"/>
      <c r="AT54" s="2"/>
      <c r="AU54" s="2"/>
    </row>
    <row r="55" spans="1:47" s="34" customFormat="1">
      <c r="A55" s="28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X55" s="2"/>
      <c r="Y55" s="2"/>
      <c r="Z55" s="2"/>
      <c r="AA55" s="2"/>
      <c r="AB55" s="2"/>
      <c r="AC55" s="2"/>
      <c r="AD55" s="2"/>
      <c r="AE55" s="2">
        <v>2009</v>
      </c>
      <c r="AF55" s="2">
        <f t="shared" si="39"/>
        <v>111.84884425684365</v>
      </c>
      <c r="AG55" s="2">
        <f t="shared" si="40"/>
        <v>60.573436447068637</v>
      </c>
      <c r="AH55" s="2">
        <f t="shared" si="41"/>
        <v>47.215466926070043</v>
      </c>
      <c r="AI55" s="2">
        <f t="shared" si="42"/>
        <v>66.09358271931481</v>
      </c>
      <c r="AJ55" s="2">
        <f t="shared" si="43"/>
        <v>61.154278837349239</v>
      </c>
      <c r="AK55" s="2">
        <f t="shared" si="44"/>
        <v>41.616485277056512</v>
      </c>
      <c r="AL55" s="2">
        <f t="shared" si="45"/>
        <v>85.042735042735046</v>
      </c>
      <c r="AM55" s="2"/>
      <c r="AN55" s="2"/>
      <c r="AO55" s="2"/>
      <c r="AP55" s="2"/>
      <c r="AQ55" s="2"/>
      <c r="AR55" s="2"/>
      <c r="AS55" s="2"/>
      <c r="AT55" s="2"/>
      <c r="AU55" s="2"/>
    </row>
    <row r="56" spans="1:47">
      <c r="AE56" s="3">
        <v>2010</v>
      </c>
      <c r="AF56" s="3">
        <f t="shared" si="39"/>
        <v>115.68473259198609</v>
      </c>
      <c r="AG56" s="3">
        <f t="shared" si="40"/>
        <v>63.958861470333403</v>
      </c>
      <c r="AH56" s="3">
        <f t="shared" si="41"/>
        <v>48.686770428015564</v>
      </c>
      <c r="AI56" s="3">
        <f t="shared" si="42"/>
        <v>68.801561811197175</v>
      </c>
      <c r="AJ56" s="3">
        <f t="shared" si="43"/>
        <v>65.232974910394262</v>
      </c>
      <c r="AK56" s="3">
        <f t="shared" si="44"/>
        <v>47.262582177780239</v>
      </c>
      <c r="AL56" s="3">
        <f t="shared" si="45"/>
        <v>87.441239316239319</v>
      </c>
    </row>
    <row r="57" spans="1:47">
      <c r="AE57" s="3">
        <v>2011</v>
      </c>
      <c r="AF57" s="3">
        <f t="shared" si="39"/>
        <v>118.49830864322155</v>
      </c>
      <c r="AG57" s="3">
        <f t="shared" si="40"/>
        <v>61.832942913069985</v>
      </c>
      <c r="AH57" s="3">
        <f t="shared" si="41"/>
        <v>47.786964980544752</v>
      </c>
      <c r="AI57" s="3">
        <f t="shared" si="42"/>
        <v>65.230807985389504</v>
      </c>
      <c r="AJ57" s="3">
        <f t="shared" si="43"/>
        <v>63.443476440886371</v>
      </c>
      <c r="AK57" s="3">
        <f t="shared" si="44"/>
        <v>44.213026904590905</v>
      </c>
      <c r="AL57" s="3">
        <f t="shared" si="45"/>
        <v>87.06196581196582</v>
      </c>
    </row>
    <row r="58" spans="1:47">
      <c r="AE58" s="3">
        <v>2012</v>
      </c>
      <c r="AF58" s="3">
        <f t="shared" si="39"/>
        <v>120.3940074084875</v>
      </c>
      <c r="AG58" s="3">
        <f t="shared" si="40"/>
        <v>60.6680999903732</v>
      </c>
      <c r="AH58" s="3">
        <f t="shared" si="41"/>
        <v>41.22081712062257</v>
      </c>
      <c r="AI58" s="3">
        <f t="shared" si="42"/>
        <v>69.330562377983512</v>
      </c>
      <c r="AJ58" s="3">
        <f t="shared" si="43"/>
        <v>61.253695418988571</v>
      </c>
      <c r="AK58" s="3">
        <f t="shared" si="44"/>
        <v>36.793547317827745</v>
      </c>
      <c r="AL58" s="3">
        <f t="shared" si="45"/>
        <v>90.560897435897431</v>
      </c>
    </row>
    <row r="59" spans="1:47">
      <c r="AE59" s="3">
        <v>2013</v>
      </c>
      <c r="AF59" s="3">
        <f t="shared" si="39"/>
        <v>121.89774260054777</v>
      </c>
      <c r="AG59" s="3">
        <f t="shared" si="40"/>
        <v>60.51567564098449</v>
      </c>
      <c r="AH59" s="3">
        <f t="shared" si="41"/>
        <v>45.792801556420237</v>
      </c>
      <c r="AI59" s="3">
        <f t="shared" si="42"/>
        <v>72.454184772340824</v>
      </c>
      <c r="AJ59" s="3">
        <f t="shared" si="43"/>
        <v>58.723805038850955</v>
      </c>
      <c r="AK59" s="3">
        <f t="shared" si="44"/>
        <v>38.163637368101213</v>
      </c>
      <c r="AL59" s="3">
        <f t="shared" si="45"/>
        <v>83.65384615384616</v>
      </c>
    </row>
  </sheetData>
  <mergeCells count="4">
    <mergeCell ref="A36:U36"/>
    <mergeCell ref="A1:U1"/>
    <mergeCell ref="B2:K2"/>
    <mergeCell ref="L2:U2"/>
  </mergeCells>
  <printOptions gridLines="1"/>
  <pageMargins left="0.7" right="0.7" top="0.75" bottom="0.75" header="0.3" footer="0.3"/>
  <pageSetup scale="4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view="pageBreakPreview" zoomScaleNormal="100" zoomScaleSheetLayoutView="100" workbookViewId="0">
      <selection activeCell="AE6" sqref="AE6"/>
    </sheetView>
  </sheetViews>
  <sheetFormatPr defaultRowHeight="15"/>
  <cols>
    <col min="1" max="12" width="9.140625" style="125"/>
    <col min="13" max="24" width="0" style="125" hidden="1" customWidth="1"/>
    <col min="25" max="16384" width="9.140625" style="125"/>
  </cols>
  <sheetData>
    <row r="1" spans="1:20" ht="39.75" customHeight="1">
      <c r="A1" s="454" t="s">
        <v>550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20">
      <c r="A3" s="115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0">
      <c r="A4" s="115">
        <v>1997</v>
      </c>
      <c r="B4" s="11">
        <f>('3A'!B4/'3A'!$B4)*100</f>
        <v>100</v>
      </c>
      <c r="C4" s="11" t="s">
        <v>10</v>
      </c>
      <c r="D4" s="11">
        <f>('3A'!D4/'3A'!$B4)*100</f>
        <v>46.260779190034931</v>
      </c>
      <c r="E4" s="11">
        <f>('3A'!E4/'3A'!$B4)*100</f>
        <v>73.47954269940989</v>
      </c>
      <c r="F4" s="11">
        <f>('3A'!F4/'3A'!$B4)*100</f>
        <v>61.511808980121039</v>
      </c>
      <c r="G4" s="11">
        <f>('3A'!G4/'3A'!$B4)*100</f>
        <v>75.723226162058893</v>
      </c>
      <c r="H4" s="11">
        <f>('3A'!H4/'3A'!$B4)*100</f>
        <v>84.587226566270473</v>
      </c>
      <c r="I4" s="11" t="s">
        <v>10</v>
      </c>
      <c r="J4" s="11" t="s">
        <v>10</v>
      </c>
      <c r="K4" s="11" t="s">
        <v>10</v>
      </c>
      <c r="N4" s="125" t="s">
        <v>24</v>
      </c>
    </row>
    <row r="5" spans="1:20">
      <c r="A5" s="115">
        <v>1998</v>
      </c>
      <c r="B5" s="11">
        <f>('3A'!B5/'3A'!$B5)*100</f>
        <v>100</v>
      </c>
      <c r="C5" s="11">
        <f>('3A'!C5/'3A'!$B5)*100</f>
        <v>90.752793722594859</v>
      </c>
      <c r="D5" s="11">
        <f>('3A'!D5/'3A'!$B5)*100</f>
        <v>46.76373309837561</v>
      </c>
      <c r="E5" s="11">
        <f>('3A'!E5/'3A'!$B5)*100</f>
        <v>78.071750762734254</v>
      </c>
      <c r="F5" s="11">
        <f>('3A'!F5/'3A'!$B5)*100</f>
        <v>67.552996948702017</v>
      </c>
      <c r="G5" s="11">
        <f>('3A'!G5/'3A'!$B5)*100</f>
        <v>74.261593337039784</v>
      </c>
      <c r="H5" s="11">
        <f>('3A'!H5/'3A'!$B5)*100</f>
        <v>86.236485147413347</v>
      </c>
      <c r="I5" s="11">
        <f>('3A'!I5/'3A'!$B5)*100</f>
        <v>127.71786112640633</v>
      </c>
      <c r="J5" s="11">
        <f>('3A'!J5/'3A'!$B5)*100</f>
        <v>125.6217954034456</v>
      </c>
      <c r="K5" s="11">
        <f>('3A'!K5/'3A'!$B5)*100</f>
        <v>138.41142998417743</v>
      </c>
      <c r="N5" s="125" t="s">
        <v>2</v>
      </c>
      <c r="O5" s="125" t="s">
        <v>8</v>
      </c>
      <c r="P5" s="125" t="s">
        <v>20</v>
      </c>
      <c r="Q5" s="125" t="s">
        <v>4</v>
      </c>
      <c r="R5" s="125" t="s">
        <v>5</v>
      </c>
      <c r="S5" s="125" t="s">
        <v>6</v>
      </c>
      <c r="T5" s="125" t="s">
        <v>7</v>
      </c>
    </row>
    <row r="6" spans="1:20">
      <c r="A6" s="115">
        <v>1999</v>
      </c>
      <c r="B6" s="11">
        <f>('3A'!B6/'3A'!$B6)*100</f>
        <v>100</v>
      </c>
      <c r="C6" s="11">
        <f>('3A'!C6/'3A'!$B6)*100</f>
        <v>89.363819488595809</v>
      </c>
      <c r="D6" s="11">
        <f>('3A'!D6/'3A'!$B6)*100</f>
        <v>47.774550185217571</v>
      </c>
      <c r="E6" s="11">
        <f>('3A'!E6/'3A'!$B6)*100</f>
        <v>74.105482057962575</v>
      </c>
      <c r="F6" s="11">
        <f>('3A'!F6/'3A'!$B6)*100</f>
        <v>57.756202505202168</v>
      </c>
      <c r="G6" s="11">
        <f>('3A'!G6/'3A'!$B6)*100</f>
        <v>81.134518529296059</v>
      </c>
      <c r="H6" s="11">
        <f>('3A'!H6/'3A'!$B6)*100</f>
        <v>97.273439959281347</v>
      </c>
      <c r="I6" s="11">
        <f>('3A'!I6/'3A'!$B6)*100</f>
        <v>131.17887110379445</v>
      </c>
      <c r="J6" s="11">
        <f>('3A'!J6/'3A'!$B6)*100</f>
        <v>129.63296376169166</v>
      </c>
      <c r="K6" s="11">
        <f>('3A'!K6/'3A'!$B6)*100</f>
        <v>143.87649084780324</v>
      </c>
      <c r="M6" s="125">
        <v>1998</v>
      </c>
      <c r="N6" s="125">
        <f>((B5/B4)-1)*100</f>
        <v>0</v>
      </c>
      <c r="O6" s="125" t="e">
        <f>((C5/C4)-1)*100</f>
        <v>#VALUE!</v>
      </c>
      <c r="P6" s="125">
        <f>((D5/D4)-1)*100</f>
        <v>1.0872145198302707</v>
      </c>
      <c r="Q6" s="125">
        <f>((E5/E4)-1)*100</f>
        <v>6.2496415935931582</v>
      </c>
      <c r="R6" s="125" t="e">
        <f t="shared" ref="R6:T21" si="0">((I5/I4)-1)*100</f>
        <v>#VALUE!</v>
      </c>
      <c r="S6" s="125" t="e">
        <f t="shared" si="0"/>
        <v>#VALUE!</v>
      </c>
      <c r="T6" s="125" t="e">
        <f t="shared" si="0"/>
        <v>#VALUE!</v>
      </c>
    </row>
    <row r="7" spans="1:20">
      <c r="A7" s="115">
        <v>2000</v>
      </c>
      <c r="B7" s="11">
        <f>('3A'!B7/'3A'!$B7)*100</f>
        <v>100</v>
      </c>
      <c r="C7" s="11">
        <f>('3A'!C7/'3A'!$B7)*100</f>
        <v>89.406960488744531</v>
      </c>
      <c r="D7" s="11">
        <f>('3A'!D7/'3A'!$B7)*100</f>
        <v>64.424794373298226</v>
      </c>
      <c r="E7" s="11">
        <f>('3A'!E7/'3A'!$B7)*100</f>
        <v>70.06929321738285</v>
      </c>
      <c r="F7" s="11">
        <f>('3A'!F7/'3A'!$B7)*100</f>
        <v>57.331567546749753</v>
      </c>
      <c r="G7" s="11">
        <f>('3A'!G7/'3A'!$B7)*100</f>
        <v>78.249375672936353</v>
      </c>
      <c r="H7" s="11">
        <f>('3A'!H7/'3A'!$B7)*100</f>
        <v>86.56695452043418</v>
      </c>
      <c r="I7" s="11">
        <f>('3A'!I7/'3A'!$B7)*100</f>
        <v>127.1002373795433</v>
      </c>
      <c r="J7" s="11">
        <f>('3A'!J7/'3A'!$B7)*100</f>
        <v>132.70617075742678</v>
      </c>
      <c r="K7" s="11">
        <f>('3A'!K7/'3A'!$B7)*100</f>
        <v>113.26177808199711</v>
      </c>
      <c r="M7" s="125">
        <v>1999</v>
      </c>
      <c r="N7" s="125">
        <f t="shared" ref="N7:Q21" si="1">((B6/B5)-1)*100</f>
        <v>0</v>
      </c>
      <c r="O7" s="125">
        <f t="shared" si="1"/>
        <v>-1.5305030038466283</v>
      </c>
      <c r="P7" s="125">
        <f t="shared" si="1"/>
        <v>2.1615406210524934</v>
      </c>
      <c r="Q7" s="125">
        <f t="shared" si="1"/>
        <v>-5.0802866158662923</v>
      </c>
      <c r="R7" s="125">
        <f t="shared" si="0"/>
        <v>2.7098872051753542</v>
      </c>
      <c r="S7" s="125">
        <f t="shared" si="0"/>
        <v>3.1930512896777508</v>
      </c>
      <c r="T7" s="125">
        <f t="shared" si="0"/>
        <v>3.9484173122483757</v>
      </c>
    </row>
    <row r="8" spans="1:20">
      <c r="A8" s="115">
        <v>2001</v>
      </c>
      <c r="B8" s="11">
        <f>('3A'!B8/'3A'!$B8)*100</f>
        <v>100</v>
      </c>
      <c r="C8" s="11">
        <f>('3A'!C8/'3A'!$B8)*100</f>
        <v>96.863786374554365</v>
      </c>
      <c r="D8" s="11">
        <f>('3A'!D8/'3A'!$B8)*100</f>
        <v>74.497259894037157</v>
      </c>
      <c r="E8" s="11">
        <f>('3A'!E8/'3A'!$B8)*100</f>
        <v>78.08898814605017</v>
      </c>
      <c r="F8" s="11">
        <f>('3A'!F8/'3A'!$B8)*100</f>
        <v>66.816366521403168</v>
      </c>
      <c r="G8" s="11">
        <f>('3A'!G8/'3A'!$B8)*100</f>
        <v>83.706007647192209</v>
      </c>
      <c r="H8" s="11">
        <f>('3A'!H8/'3A'!$B8)*100</f>
        <v>90.488087054068274</v>
      </c>
      <c r="I8" s="11">
        <f>('3A'!I8/'3A'!$B8)*100</f>
        <v>132.07432589943576</v>
      </c>
      <c r="J8" s="11">
        <f>('3A'!J8/'3A'!$B8)*100</f>
        <v>137.55768064799105</v>
      </c>
      <c r="K8" s="11">
        <f>('3A'!K8/'3A'!$B8)*100</f>
        <v>120.2793313858282</v>
      </c>
      <c r="M8" s="125">
        <v>2000</v>
      </c>
      <c r="N8" s="125">
        <f t="shared" si="1"/>
        <v>0</v>
      </c>
      <c r="O8" s="125">
        <f t="shared" si="1"/>
        <v>4.8275689642185426E-2</v>
      </c>
      <c r="P8" s="125">
        <f t="shared" si="1"/>
        <v>34.851702681718976</v>
      </c>
      <c r="Q8" s="125">
        <f t="shared" si="1"/>
        <v>-5.4465455570787196</v>
      </c>
      <c r="R8" s="125">
        <f t="shared" si="0"/>
        <v>-3.1092154475273359</v>
      </c>
      <c r="S8" s="125">
        <f t="shared" si="0"/>
        <v>2.3706987069930019</v>
      </c>
      <c r="T8" s="125">
        <f t="shared" si="0"/>
        <v>-21.278467792345079</v>
      </c>
    </row>
    <row r="9" spans="1:20">
      <c r="A9" s="115">
        <v>2002</v>
      </c>
      <c r="B9" s="11">
        <f>('3A'!B9/'3A'!$B9)*100</f>
        <v>100</v>
      </c>
      <c r="C9" s="11">
        <f>('3A'!C9/'3A'!$B9)*100</f>
        <v>105.46275534800287</v>
      </c>
      <c r="D9" s="11">
        <f>('3A'!D9/'3A'!$B9)*100</f>
        <v>78.936820026976477</v>
      </c>
      <c r="E9" s="11">
        <f>('3A'!E9/'3A'!$B9)*100</f>
        <v>84.875244893265602</v>
      </c>
      <c r="F9" s="11">
        <f>('3A'!F9/'3A'!$B9)*100</f>
        <v>75.756729070120983</v>
      </c>
      <c r="G9" s="11">
        <f>('3A'!G9/'3A'!$B9)*100</f>
        <v>90.321282845043058</v>
      </c>
      <c r="H9" s="11">
        <f>('3A'!H9/'3A'!$B9)*100</f>
        <v>92.547591493088404</v>
      </c>
      <c r="I9" s="11">
        <f>('3A'!I9/'3A'!$B9)*100</f>
        <v>147.45453341629556</v>
      </c>
      <c r="J9" s="11">
        <f>('3A'!J9/'3A'!$B9)*100</f>
        <v>154.02375945739234</v>
      </c>
      <c r="K9" s="11">
        <f>('3A'!K9/'3A'!$B9)*100</f>
        <v>137.11153832769344</v>
      </c>
      <c r="M9" s="125">
        <v>2001</v>
      </c>
      <c r="N9" s="125">
        <f t="shared" si="1"/>
        <v>0</v>
      </c>
      <c r="O9" s="125">
        <f t="shared" si="1"/>
        <v>8.3403191933234098</v>
      </c>
      <c r="P9" s="125">
        <f t="shared" si="1"/>
        <v>15.634455055263018</v>
      </c>
      <c r="Q9" s="125">
        <f t="shared" si="1"/>
        <v>11.445377226493548</v>
      </c>
      <c r="R9" s="125">
        <f t="shared" si="0"/>
        <v>3.9135163099963233</v>
      </c>
      <c r="S9" s="125">
        <f t="shared" si="0"/>
        <v>3.655828408636963</v>
      </c>
      <c r="T9" s="125">
        <f t="shared" si="0"/>
        <v>6.1958706835333777</v>
      </c>
    </row>
    <row r="10" spans="1:20">
      <c r="A10" s="115">
        <v>2003</v>
      </c>
      <c r="B10" s="11">
        <f>('3A'!B10/'3A'!$B10)*100</f>
        <v>100</v>
      </c>
      <c r="C10" s="11">
        <f>('3A'!C10/'3A'!$B10)*100</f>
        <v>100.72476400500409</v>
      </c>
      <c r="D10" s="11">
        <f>('3A'!D10/'3A'!$B10)*100</f>
        <v>70.607087393723617</v>
      </c>
      <c r="E10" s="11">
        <f>('3A'!E10/'3A'!$B10)*100</f>
        <v>81.598270188405479</v>
      </c>
      <c r="F10" s="11">
        <f>('3A'!F10/'3A'!$B10)*100</f>
        <v>75.180186609042764</v>
      </c>
      <c r="G10" s="11">
        <f>('3A'!G10/'3A'!$B10)*100</f>
        <v>88.096444898214102</v>
      </c>
      <c r="H10" s="11">
        <f>('3A'!H10/'3A'!$B10)*100</f>
        <v>88.051375422613091</v>
      </c>
      <c r="I10" s="11">
        <f>('3A'!I10/'3A'!$B10)*100</f>
        <v>144.18898785547677</v>
      </c>
      <c r="J10" s="11">
        <f>('3A'!J10/'3A'!$B10)*100</f>
        <v>149.23226637235888</v>
      </c>
      <c r="K10" s="11">
        <f>('3A'!K10/'3A'!$B10)*100</f>
        <v>136.33360087692685</v>
      </c>
      <c r="M10" s="125">
        <v>2002</v>
      </c>
      <c r="N10" s="125">
        <f t="shared" si="1"/>
        <v>0</v>
      </c>
      <c r="O10" s="125">
        <f t="shared" si="1"/>
        <v>8.8773826579500827</v>
      </c>
      <c r="P10" s="125">
        <f t="shared" si="1"/>
        <v>5.9593603029883591</v>
      </c>
      <c r="Q10" s="125">
        <f t="shared" si="1"/>
        <v>8.6904144980378906</v>
      </c>
      <c r="R10" s="125">
        <f t="shared" si="0"/>
        <v>11.645115288016395</v>
      </c>
      <c r="S10" s="125">
        <f t="shared" si="0"/>
        <v>11.970308551172693</v>
      </c>
      <c r="T10" s="125">
        <f t="shared" si="0"/>
        <v>13.994263809025863</v>
      </c>
    </row>
    <row r="11" spans="1:20">
      <c r="A11" s="115">
        <v>2004</v>
      </c>
      <c r="B11" s="11">
        <f>('3A'!B11/'3A'!$B11)*100</f>
        <v>100</v>
      </c>
      <c r="C11" s="11">
        <f>('3A'!C11/'3A'!$B11)*100</f>
        <v>99.725702860355682</v>
      </c>
      <c r="D11" s="11">
        <f>('3A'!D11/'3A'!$B11)*100</f>
        <v>79.744544754552109</v>
      </c>
      <c r="E11" s="11">
        <f>('3A'!E11/'3A'!$B11)*100</f>
        <v>82.232726787984035</v>
      </c>
      <c r="F11" s="11">
        <f>('3A'!F11/'3A'!$B11)*100</f>
        <v>63.034114447873954</v>
      </c>
      <c r="G11" s="11">
        <f>('3A'!G11/'3A'!$B11)*100</f>
        <v>96.57071607053993</v>
      </c>
      <c r="H11" s="11">
        <f>('3A'!H11/'3A'!$B11)*100</f>
        <v>109.28774369484717</v>
      </c>
      <c r="I11" s="11">
        <f>('3A'!I11/'3A'!$B11)*100</f>
        <v>133.6057410239153</v>
      </c>
      <c r="J11" s="11">
        <f>('3A'!J11/'3A'!$B11)*100</f>
        <v>131.48793161830255</v>
      </c>
      <c r="K11" s="11">
        <f>('3A'!K11/'3A'!$B11)*100</f>
        <v>140.45676424164611</v>
      </c>
      <c r="M11" s="125">
        <v>2003</v>
      </c>
      <c r="N11" s="125">
        <f t="shared" si="1"/>
        <v>0</v>
      </c>
      <c r="O11" s="125">
        <f t="shared" si="1"/>
        <v>-4.4925730674914561</v>
      </c>
      <c r="P11" s="125">
        <f t="shared" si="1"/>
        <v>-10.552404607135424</v>
      </c>
      <c r="Q11" s="125">
        <f t="shared" si="1"/>
        <v>-3.8609310747569126</v>
      </c>
      <c r="R11" s="125">
        <f t="shared" si="0"/>
        <v>-2.2146118435026119</v>
      </c>
      <c r="S11" s="125">
        <f t="shared" si="0"/>
        <v>-3.1108791928682544</v>
      </c>
      <c r="T11" s="125">
        <f t="shared" si="0"/>
        <v>-0.56737562735773572</v>
      </c>
    </row>
    <row r="12" spans="1:20">
      <c r="A12" s="115">
        <v>2005</v>
      </c>
      <c r="B12" s="11">
        <f>('3A'!B12/'3A'!$B12)*100</f>
        <v>100</v>
      </c>
      <c r="C12" s="11">
        <f>('3A'!C12/'3A'!$B12)*100</f>
        <v>105.40981937318136</v>
      </c>
      <c r="D12" s="11">
        <f>('3A'!D12/'3A'!$B12)*100</f>
        <v>85.721851276195977</v>
      </c>
      <c r="E12" s="11">
        <f>('3A'!E12/'3A'!$B12)*100</f>
        <v>92.735039001879912</v>
      </c>
      <c r="F12" s="11">
        <f>('3A'!F12/'3A'!$B12)*100</f>
        <v>80.430011654418465</v>
      </c>
      <c r="G12" s="11">
        <f>('3A'!G12/'3A'!$B12)*100</f>
        <v>123.75384252103159</v>
      </c>
      <c r="H12" s="11">
        <f>('3A'!H12/'3A'!$B12)*100</f>
        <v>97.595711606265354</v>
      </c>
      <c r="I12" s="11">
        <f>('3A'!I12/'3A'!$B12)*100</f>
        <v>130.10853574809275</v>
      </c>
      <c r="J12" s="11">
        <f>('3A'!J12/'3A'!$B12)*100</f>
        <v>128.91415069412037</v>
      </c>
      <c r="K12" s="11">
        <f>('3A'!K12/'3A'!$B12)*100</f>
        <v>132.67202590224551</v>
      </c>
      <c r="M12" s="125">
        <v>2004</v>
      </c>
      <c r="N12" s="125">
        <f t="shared" si="1"/>
        <v>0</v>
      </c>
      <c r="O12" s="125">
        <f t="shared" si="1"/>
        <v>-0.99187241044196295</v>
      </c>
      <c r="P12" s="125">
        <f t="shared" si="1"/>
        <v>12.941275016593789</v>
      </c>
      <c r="Q12" s="125">
        <f t="shared" si="1"/>
        <v>0.77753682536851887</v>
      </c>
      <c r="R12" s="125">
        <f t="shared" si="0"/>
        <v>-7.3398440400797131</v>
      </c>
      <c r="S12" s="125">
        <f t="shared" si="0"/>
        <v>-11.890414308780461</v>
      </c>
      <c r="T12" s="125">
        <f t="shared" si="0"/>
        <v>3.0243192714035194</v>
      </c>
    </row>
    <row r="13" spans="1:20">
      <c r="A13" s="115">
        <v>2006</v>
      </c>
      <c r="B13" s="235">
        <f>('3A'!B13/'3A'!$B13)*100</f>
        <v>100</v>
      </c>
      <c r="C13" s="235">
        <f>('3A'!C13/'3A'!$B13)*100</f>
        <v>107.21083724553202</v>
      </c>
      <c r="D13" s="235">
        <f>('3A'!D13/'3A'!$B13)*100</f>
        <v>81.003554143439743</v>
      </c>
      <c r="E13" s="235">
        <f>('3A'!E13/'3A'!$B13)*100</f>
        <v>100.62743768304057</v>
      </c>
      <c r="F13" s="235">
        <f>('3A'!F13/'3A'!$B13)*100</f>
        <v>88.697228278840569</v>
      </c>
      <c r="G13" s="235">
        <f>('3A'!G13/'3A'!$B13)*100</f>
        <v>135.9574362193284</v>
      </c>
      <c r="H13" s="235">
        <f>('3A'!H13/'3A'!$B13)*100</f>
        <v>100.38836439376688</v>
      </c>
      <c r="I13" s="235">
        <f>('3A'!I13/'3A'!$B13)*100</f>
        <v>127.52429778003673</v>
      </c>
      <c r="J13" s="235">
        <f>('3A'!J13/'3A'!$B13)*100</f>
        <v>125.6180296070518</v>
      </c>
      <c r="K13" s="235">
        <f>('3A'!K13/'3A'!$B13)*100</f>
        <v>131.14130306582467</v>
      </c>
      <c r="M13" s="125">
        <v>2005</v>
      </c>
      <c r="N13" s="125">
        <f t="shared" si="1"/>
        <v>0</v>
      </c>
      <c r="O13" s="125">
        <f t="shared" si="1"/>
        <v>5.6997507661440627</v>
      </c>
      <c r="P13" s="125">
        <f t="shared" si="1"/>
        <v>7.4955679288678301</v>
      </c>
      <c r="Q13" s="125">
        <f t="shared" si="1"/>
        <v>12.771450764333036</v>
      </c>
      <c r="R13" s="125">
        <f t="shared" si="0"/>
        <v>-2.6175561386965862</v>
      </c>
      <c r="S13" s="125">
        <f t="shared" si="0"/>
        <v>-1.9574274935388325</v>
      </c>
      <c r="T13" s="125">
        <f t="shared" si="0"/>
        <v>-5.5424445959808004</v>
      </c>
    </row>
    <row r="14" spans="1:20">
      <c r="A14" s="115">
        <v>2007</v>
      </c>
      <c r="B14" s="11">
        <f>('3A'!B14/'3A'!$B14)*100</f>
        <v>100</v>
      </c>
      <c r="C14" s="11">
        <f>('3A'!C14/'3A'!$B14)*100</f>
        <v>108.15951658143686</v>
      </c>
      <c r="D14" s="11">
        <f>('3A'!D14/'3A'!$B14)*100</f>
        <v>79.302613710034578</v>
      </c>
      <c r="E14" s="11">
        <f>('3A'!E14/'3A'!$B14)*100</f>
        <v>100.68801153218787</v>
      </c>
      <c r="F14" s="11">
        <f>('3A'!F14/'3A'!$B14)*100</f>
        <v>83.848025299086643</v>
      </c>
      <c r="G14" s="11">
        <f>('3A'!G14/'3A'!$B14)*100</f>
        <v>156.06631930121296</v>
      </c>
      <c r="H14" s="11">
        <f>('3A'!H14/'3A'!$B14)*100</f>
        <v>100.61731110257909</v>
      </c>
      <c r="I14" s="11">
        <f>('3A'!I14/'3A'!$B14)*100</f>
        <v>129.17051223852039</v>
      </c>
      <c r="J14" s="11">
        <f>('3A'!J14/'3A'!$B14)*100</f>
        <v>137.53499537875169</v>
      </c>
      <c r="K14" s="11">
        <f>('3A'!K14/'3A'!$B14)*100</f>
        <v>115.37409886040007</v>
      </c>
      <c r="M14" s="125">
        <v>2006</v>
      </c>
      <c r="N14" s="125">
        <f t="shared" si="1"/>
        <v>0</v>
      </c>
      <c r="O14" s="125">
        <f t="shared" si="1"/>
        <v>1.7085864325168121</v>
      </c>
      <c r="P14" s="125">
        <f t="shared" si="1"/>
        <v>-5.5041941611291945</v>
      </c>
      <c r="Q14" s="125">
        <f t="shared" si="1"/>
        <v>8.5106975379615193</v>
      </c>
      <c r="R14" s="125">
        <f t="shared" si="0"/>
        <v>-1.9862170865249329</v>
      </c>
      <c r="S14" s="125">
        <f t="shared" si="0"/>
        <v>-2.5568341949437356</v>
      </c>
      <c r="T14" s="125">
        <f t="shared" si="0"/>
        <v>-1.1537645754717718</v>
      </c>
    </row>
    <row r="15" spans="1:20">
      <c r="A15" s="115">
        <v>2008</v>
      </c>
      <c r="B15" s="11">
        <f>('3A'!B15/'3A'!$B15)*100</f>
        <v>100</v>
      </c>
      <c r="C15" s="11">
        <f>('3A'!C15/'3A'!$B15)*100</f>
        <v>110.66863823528044</v>
      </c>
      <c r="D15" s="11">
        <f>('3A'!D15/'3A'!$B15)*100</f>
        <v>76.29765996564835</v>
      </c>
      <c r="E15" s="11">
        <f>('3A'!E15/'3A'!$B15)*100</f>
        <v>105.9090933077798</v>
      </c>
      <c r="F15" s="11">
        <f>('3A'!F15/'3A'!$B15)*100</f>
        <v>92.704570207695653</v>
      </c>
      <c r="G15" s="11">
        <f>('3A'!G15/'3A'!$B15)*100</f>
        <v>174.34563697184169</v>
      </c>
      <c r="H15" s="11">
        <f>('3A'!H15/'3A'!$B15)*100</f>
        <v>98.95635431886312</v>
      </c>
      <c r="I15" s="11">
        <f>('3A'!I15/'3A'!$B15)*100</f>
        <v>133.41541890136645</v>
      </c>
      <c r="J15" s="11">
        <f>('3A'!J15/'3A'!$B15)*100</f>
        <v>139.33858046577095</v>
      </c>
      <c r="K15" s="11">
        <f>('3A'!K15/'3A'!$B15)*100</f>
        <v>124.01877770013724</v>
      </c>
      <c r="M15" s="125">
        <v>2007</v>
      </c>
      <c r="N15" s="125">
        <f t="shared" si="1"/>
        <v>0</v>
      </c>
      <c r="O15" s="125">
        <f t="shared" si="1"/>
        <v>0.88487261202168099</v>
      </c>
      <c r="P15" s="125">
        <f t="shared" si="1"/>
        <v>-2.0998343238040729</v>
      </c>
      <c r="Q15" s="125">
        <f t="shared" si="1"/>
        <v>6.0196155782188399E-2</v>
      </c>
      <c r="R15" s="125">
        <f t="shared" si="0"/>
        <v>1.2909025865197599</v>
      </c>
      <c r="S15" s="125">
        <f t="shared" si="0"/>
        <v>9.4866682823935289</v>
      </c>
      <c r="T15" s="125">
        <f t="shared" si="0"/>
        <v>-12.023065073183281</v>
      </c>
    </row>
    <row r="16" spans="1:20">
      <c r="A16" s="115">
        <v>2009</v>
      </c>
      <c r="B16" s="11">
        <f>('3A'!B16/'3A'!$B16)*100</f>
        <v>100</v>
      </c>
      <c r="C16" s="11">
        <f>('3A'!C16/'3A'!$B16)*100</f>
        <v>107.00691433537501</v>
      </c>
      <c r="D16" s="11">
        <f>('3A'!D16/'3A'!$B16)*100</f>
        <v>71.119121065324947</v>
      </c>
      <c r="E16" s="11">
        <f>('3A'!E16/'3A'!$B16)*100</f>
        <v>99.089927385111523</v>
      </c>
      <c r="F16" s="11">
        <f>('3A'!F16/'3A'!$B16)*100</f>
        <v>96.541399857212852</v>
      </c>
      <c r="G16" s="11">
        <f>('3A'!G16/'3A'!$B16)*100</f>
        <v>168.05241409038288</v>
      </c>
      <c r="H16" s="11">
        <f>('3A'!H16/'3A'!$B16)*100</f>
        <v>83.522791192027881</v>
      </c>
      <c r="I16" s="11">
        <f>('3A'!I16/'3A'!$B16)*100</f>
        <v>136.31296034008949</v>
      </c>
      <c r="J16" s="11">
        <f>('3A'!J16/'3A'!$B16)*100</f>
        <v>140.37987979388382</v>
      </c>
      <c r="K16" s="11">
        <f>('3A'!K16/'3A'!$B16)*100</f>
        <v>131.05078417917699</v>
      </c>
      <c r="M16" s="125">
        <v>2008</v>
      </c>
      <c r="N16" s="125">
        <f t="shared" si="1"/>
        <v>0</v>
      </c>
      <c r="O16" s="125">
        <f t="shared" si="1"/>
        <v>2.3198343827233847</v>
      </c>
      <c r="P16" s="125">
        <f t="shared" si="1"/>
        <v>-3.7892240921259757</v>
      </c>
      <c r="Q16" s="125">
        <f t="shared" si="1"/>
        <v>5.1854055871615401</v>
      </c>
      <c r="R16" s="125">
        <f t="shared" si="0"/>
        <v>3.2862815121516453</v>
      </c>
      <c r="S16" s="125">
        <f t="shared" si="0"/>
        <v>1.3113644873091745</v>
      </c>
      <c r="T16" s="125">
        <f t="shared" si="0"/>
        <v>7.4927379066223709</v>
      </c>
    </row>
    <row r="17" spans="1:20">
      <c r="A17" s="115">
        <v>2010</v>
      </c>
      <c r="B17" s="11">
        <f>('3A'!B17/'3A'!$B17)*100</f>
        <v>100</v>
      </c>
      <c r="C17" s="11">
        <f>('3A'!C17/'3A'!$B17)*100</f>
        <v>112.10303681822876</v>
      </c>
      <c r="D17" s="11">
        <f>('3A'!D17/'3A'!$B17)*100</f>
        <v>111.08439649778883</v>
      </c>
      <c r="E17" s="11">
        <f>('3A'!E17/'3A'!$B17)*100</f>
        <v>93.456394891462864</v>
      </c>
      <c r="F17" s="11">
        <f>('3A'!F17/'3A'!$B17)*100</f>
        <v>96.93561407079288</v>
      </c>
      <c r="G17" s="11">
        <f>('3A'!G17/'3A'!$B17)*100</f>
        <v>114.45970654666343</v>
      </c>
      <c r="H17" s="11">
        <f>('3A'!H17/'3A'!$B17)*100</f>
        <v>83.649616010808444</v>
      </c>
      <c r="I17" s="11">
        <f>('3A'!I17/'3A'!$B17)*100</f>
        <v>134.20608641815809</v>
      </c>
      <c r="J17" s="11">
        <f>('3A'!J17/'3A'!$B17)*100</f>
        <v>151.38811121877066</v>
      </c>
      <c r="K17" s="11">
        <f>('3A'!K17/'3A'!$B17)*100</f>
        <v>111.67546126942783</v>
      </c>
      <c r="M17" s="125">
        <v>2009</v>
      </c>
      <c r="N17" s="125">
        <f t="shared" si="1"/>
        <v>0</v>
      </c>
      <c r="O17" s="125">
        <f t="shared" si="1"/>
        <v>-3.3087277103027501</v>
      </c>
      <c r="P17" s="125">
        <f t="shared" si="1"/>
        <v>-6.7872840433834352</v>
      </c>
      <c r="Q17" s="125">
        <f t="shared" si="1"/>
        <v>-6.4386972918852869</v>
      </c>
      <c r="R17" s="125">
        <f t="shared" si="0"/>
        <v>2.1718190165599838</v>
      </c>
      <c r="S17" s="125">
        <f t="shared" si="0"/>
        <v>0.74731587233922703</v>
      </c>
      <c r="T17" s="125">
        <f t="shared" si="0"/>
        <v>5.6701143241729923</v>
      </c>
    </row>
    <row r="18" spans="1:20">
      <c r="A18" s="115">
        <v>2011</v>
      </c>
      <c r="B18" s="11">
        <f>('3A'!B18/'3A'!$B18)*100</f>
        <v>100</v>
      </c>
      <c r="C18" s="11">
        <f>('3A'!C18/'3A'!$B18)*100</f>
        <v>114.62480640232724</v>
      </c>
      <c r="D18" s="11">
        <f>('3A'!D18/'3A'!$B18)*100</f>
        <v>86.778148334457086</v>
      </c>
      <c r="E18" s="11">
        <f>('3A'!E18/'3A'!$B18)*100</f>
        <v>98.542313998264206</v>
      </c>
      <c r="F18" s="11">
        <f>('3A'!F18/'3A'!$B18)*100</f>
        <v>104.31472554097631</v>
      </c>
      <c r="G18" s="11">
        <f>('3A'!G18/'3A'!$B18)*100</f>
        <v>120.44123051613269</v>
      </c>
      <c r="H18" s="11">
        <f>('3A'!H18/'3A'!$B18)*100</f>
        <v>87.46207015133659</v>
      </c>
      <c r="I18" s="11">
        <f>('3A'!I18/'3A'!$B18)*100</f>
        <v>152.20237738887951</v>
      </c>
      <c r="J18" s="11">
        <f>('3A'!J18/'3A'!$B18)*100</f>
        <v>172.85599365433868</v>
      </c>
      <c r="K18" s="11">
        <f>('3A'!K18/'3A'!$B18)*100</f>
        <v>123.80153705507495</v>
      </c>
      <c r="M18" s="125">
        <v>2010</v>
      </c>
      <c r="N18" s="125">
        <f t="shared" si="1"/>
        <v>0</v>
      </c>
      <c r="O18" s="125">
        <f t="shared" si="1"/>
        <v>4.7624235447830676</v>
      </c>
      <c r="P18" s="125">
        <f t="shared" si="1"/>
        <v>56.194838791321168</v>
      </c>
      <c r="Q18" s="125">
        <f t="shared" si="1"/>
        <v>-5.6852726026874745</v>
      </c>
      <c r="R18" s="125">
        <f t="shared" si="0"/>
        <v>-1.5456152640768162</v>
      </c>
      <c r="S18" s="125">
        <f t="shared" si="0"/>
        <v>7.841744444467369</v>
      </c>
      <c r="T18" s="125">
        <f t="shared" si="0"/>
        <v>-14.784591356018574</v>
      </c>
    </row>
    <row r="19" spans="1:20">
      <c r="A19" s="115">
        <v>2012</v>
      </c>
      <c r="B19" s="11">
        <f>('3A'!B19/'3A'!$B19)*100</f>
        <v>100</v>
      </c>
      <c r="C19" s="11">
        <f>('3A'!C19/'3A'!$B19)*100</f>
        <v>123.2273396740774</v>
      </c>
      <c r="D19" s="11">
        <f>('3A'!D19/'3A'!$B19)*100</f>
        <v>114.11932244423684</v>
      </c>
      <c r="E19" s="11">
        <f>('3A'!E19/'3A'!$B19)*100</f>
        <v>110.89882044000441</v>
      </c>
      <c r="F19" s="11">
        <f>('3A'!F19/'3A'!$B19)*100</f>
        <v>156.3190380051241</v>
      </c>
      <c r="G19" s="11">
        <f>('3A'!G19/'3A'!$B19)*100</f>
        <v>117.07002390362209</v>
      </c>
      <c r="H19" s="11">
        <f>('3A'!H19/'3A'!$B19)*100</f>
        <v>90.787925462452804</v>
      </c>
      <c r="I19" s="11">
        <f>('3A'!I19/'3A'!$B19)*100</f>
        <v>141.78475128937194</v>
      </c>
      <c r="J19" s="11">
        <f>('3A'!J19/'3A'!$B19)*100</f>
        <v>159.06587504167584</v>
      </c>
      <c r="K19" s="11">
        <f>('3A'!K19/'3A'!$B19)*100</f>
        <v>116.56504086865316</v>
      </c>
      <c r="M19" s="125">
        <v>2011</v>
      </c>
      <c r="N19" s="125">
        <f t="shared" si="1"/>
        <v>0</v>
      </c>
      <c r="O19" s="125">
        <f t="shared" si="1"/>
        <v>2.24951050004778</v>
      </c>
      <c r="P19" s="125">
        <f t="shared" si="1"/>
        <v>-21.880884201243845</v>
      </c>
      <c r="Q19" s="125">
        <f t="shared" si="1"/>
        <v>5.4420236439763681</v>
      </c>
      <c r="R19" s="125">
        <f t="shared" si="0"/>
        <v>13.409444721194497</v>
      </c>
      <c r="S19" s="125">
        <f t="shared" si="0"/>
        <v>14.180692435316011</v>
      </c>
      <c r="T19" s="125">
        <f t="shared" si="0"/>
        <v>10.858317169957132</v>
      </c>
    </row>
    <row r="20" spans="1:20">
      <c r="A20" s="115">
        <v>2013</v>
      </c>
      <c r="B20" s="11">
        <f>('3A'!B20/'3A'!$B20)*100</f>
        <v>100</v>
      </c>
      <c r="C20" s="11">
        <f>('3A'!C20/'3A'!$B20)*100</f>
        <v>130.31495150824452</v>
      </c>
      <c r="D20" s="11">
        <f>('3A'!D20/'3A'!$B20)*100</f>
        <v>135.67433738813946</v>
      </c>
      <c r="E20" s="11">
        <f>('3A'!E20/'3A'!$B20)*100</f>
        <v>116.24292488590288</v>
      </c>
      <c r="F20" s="11">
        <f>('3A'!F20/'3A'!$B20)*100</f>
        <v>154.12919280002933</v>
      </c>
      <c r="G20" s="11">
        <f>('3A'!G20/'3A'!$B20)*100</f>
        <v>141.26978643911815</v>
      </c>
      <c r="H20" s="11">
        <f>('3A'!H20/'3A'!$B20)*100</f>
        <v>93.061120679076723</v>
      </c>
      <c r="I20" s="11">
        <f>('3A'!I20/'3A'!$B20)*100</f>
        <v>145.64364300678295</v>
      </c>
      <c r="J20" s="11">
        <f>('3A'!J20/'3A'!$B20)*100</f>
        <v>165.57514789175738</v>
      </c>
      <c r="K20" s="11">
        <f>('3A'!K20/'3A'!$B20)*100</f>
        <v>117.29162065543164</v>
      </c>
      <c r="M20" s="125">
        <v>2012</v>
      </c>
      <c r="N20" s="125">
        <f t="shared" si="1"/>
        <v>0</v>
      </c>
      <c r="O20" s="125">
        <f t="shared" si="1"/>
        <v>7.5049490086427806</v>
      </c>
      <c r="P20" s="125">
        <f t="shared" si="1"/>
        <v>31.506980310760291</v>
      </c>
      <c r="Q20" s="125">
        <f t="shared" si="1"/>
        <v>12.539289915556351</v>
      </c>
      <c r="R20" s="125">
        <f t="shared" si="0"/>
        <v>-6.8445882897678834</v>
      </c>
      <c r="S20" s="125">
        <f t="shared" si="0"/>
        <v>-7.9778076080133093</v>
      </c>
      <c r="T20" s="125">
        <f t="shared" si="0"/>
        <v>-5.8452393714647721</v>
      </c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 s="125">
        <v>2013</v>
      </c>
      <c r="N21" s="125">
        <f t="shared" si="1"/>
        <v>0</v>
      </c>
      <c r="O21" s="125">
        <f t="shared" si="1"/>
        <v>5.7516553168420748</v>
      </c>
      <c r="P21" s="125">
        <f t="shared" si="1"/>
        <v>18.888137856264642</v>
      </c>
      <c r="Q21" s="125">
        <f t="shared" si="1"/>
        <v>4.8189010709898339</v>
      </c>
      <c r="R21" s="125">
        <f t="shared" si="0"/>
        <v>2.7216549610016294</v>
      </c>
      <c r="S21" s="125">
        <f t="shared" si="0"/>
        <v>4.0921868680985796</v>
      </c>
      <c r="T21" s="125">
        <f t="shared" si="0"/>
        <v>0.62332563980069811</v>
      </c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125" t="s">
        <v>27</v>
      </c>
    </row>
    <row r="24" spans="1:20" ht="30">
      <c r="A24" s="115" t="s">
        <v>19</v>
      </c>
      <c r="B24" s="11">
        <f>((B7/B4)^(1/3)-1)*100</f>
        <v>0</v>
      </c>
      <c r="C24" s="11" t="s">
        <v>10</v>
      </c>
      <c r="D24" s="11">
        <f t="shared" ref="D24:E24" si="2">((D7/D4)^(1/3)-1)*100</f>
        <v>11.67261839555167</v>
      </c>
      <c r="E24" s="11">
        <f t="shared" si="2"/>
        <v>-1.571598827914944</v>
      </c>
      <c r="F24" s="11">
        <f t="shared" ref="F24:H24" si="3">((F7/F4)^(1/3)-1)*100</f>
        <v>-2.3186231806656687</v>
      </c>
      <c r="G24" s="11">
        <f t="shared" si="3"/>
        <v>1.0998685278704734</v>
      </c>
      <c r="H24" s="11">
        <f t="shared" si="3"/>
        <v>0.77414399316517724</v>
      </c>
      <c r="I24" s="11" t="s">
        <v>10</v>
      </c>
      <c r="J24" s="11" t="s">
        <v>10</v>
      </c>
      <c r="K24" s="11" t="s">
        <v>10</v>
      </c>
      <c r="M24" s="125">
        <v>1998</v>
      </c>
      <c r="N24" s="125">
        <f t="shared" ref="N24:N25" si="4">B5/$B$7</f>
        <v>1</v>
      </c>
      <c r="O24" s="125">
        <f t="shared" ref="O24:O25" si="5">C5/$C$7</f>
        <v>1.0150528910332408</v>
      </c>
      <c r="P24" s="125">
        <f t="shared" ref="P24:P25" si="6">D5/$D$7</f>
        <v>0.72586546147763109</v>
      </c>
      <c r="Q24" s="125">
        <f t="shared" ref="Q24:Q25" si="7">E5/$E$7</f>
        <v>1.1142077674527784</v>
      </c>
      <c r="R24" s="125">
        <f t="shared" ref="R24:R25" si="8">I5/$I$7</f>
        <v>1.004859343771473</v>
      </c>
      <c r="S24" s="125">
        <f t="shared" ref="S24:S25" si="9">J5/$J$7</f>
        <v>0.94661608187813151</v>
      </c>
      <c r="T24" s="125">
        <f t="shared" ref="T24:T25" si="10">K5/$K$7</f>
        <v>1.2220488882310585</v>
      </c>
    </row>
    <row r="25" spans="1:20" ht="30">
      <c r="A25" s="325" t="s">
        <v>68</v>
      </c>
      <c r="B25" s="11">
        <f>((B14/B7)^(1/7)-1)*100</f>
        <v>0</v>
      </c>
      <c r="C25" s="11">
        <f t="shared" ref="C25:K25" si="11">((C14/C7)^(1/7)-1)*100</f>
        <v>2.7574560178565521</v>
      </c>
      <c r="D25" s="11">
        <f t="shared" si="11"/>
        <v>3.0126684160107109</v>
      </c>
      <c r="E25" s="11">
        <f t="shared" si="11"/>
        <v>5.3156375149982615</v>
      </c>
      <c r="F25" s="11">
        <f t="shared" ref="F25:H25" si="12">((F14/F7)^(1/7)-1)*100</f>
        <v>5.5809522555616109</v>
      </c>
      <c r="G25" s="11">
        <f t="shared" si="12"/>
        <v>10.365317057537871</v>
      </c>
      <c r="H25" s="11">
        <f t="shared" si="12"/>
        <v>2.1719094275519213</v>
      </c>
      <c r="I25" s="11">
        <f t="shared" si="11"/>
        <v>0.23108496207642215</v>
      </c>
      <c r="J25" s="11">
        <f t="shared" si="11"/>
        <v>0.51189077470725763</v>
      </c>
      <c r="K25" s="11">
        <f t="shared" si="11"/>
        <v>0.26432189576426346</v>
      </c>
      <c r="M25" s="125">
        <v>1999</v>
      </c>
      <c r="N25" s="125">
        <f t="shared" si="4"/>
        <v>1</v>
      </c>
      <c r="O25" s="125">
        <f t="shared" si="5"/>
        <v>0.99951747604534491</v>
      </c>
      <c r="P25" s="125">
        <f t="shared" si="6"/>
        <v>0.74155533828166031</v>
      </c>
      <c r="Q25" s="125">
        <f t="shared" si="7"/>
        <v>1.0576028193699323</v>
      </c>
      <c r="R25" s="125">
        <f t="shared" si="8"/>
        <v>1.0320898985583453</v>
      </c>
      <c r="S25" s="125">
        <f t="shared" si="9"/>
        <v>0.97684201888883804</v>
      </c>
      <c r="T25" s="125">
        <f t="shared" si="10"/>
        <v>1.2703004780981124</v>
      </c>
    </row>
    <row r="26" spans="1:20" ht="30">
      <c r="A26" s="115" t="s">
        <v>69</v>
      </c>
      <c r="B26" s="11">
        <f>((B20/B14)^(1/6)-1)*100</f>
        <v>0</v>
      </c>
      <c r="C26" s="11">
        <f t="shared" ref="C26:K26" si="13">((C20/C14)^(1/6)-1)*100</f>
        <v>3.1545173875429766</v>
      </c>
      <c r="D26" s="11">
        <f t="shared" si="13"/>
        <v>9.3624844993938527</v>
      </c>
      <c r="E26" s="11">
        <f t="shared" si="13"/>
        <v>2.4231498018028708</v>
      </c>
      <c r="F26" s="11">
        <f t="shared" ref="F26:H26" si="14">((F20/F14)^(1/6)-1)*100</f>
        <v>10.67902996470913</v>
      </c>
      <c r="G26" s="11">
        <f t="shared" si="14"/>
        <v>-1.6464552794569154</v>
      </c>
      <c r="H26" s="11">
        <f t="shared" si="14"/>
        <v>-1.2927024318838298</v>
      </c>
      <c r="I26" s="11">
        <f t="shared" si="13"/>
        <v>2.0206356865944741</v>
      </c>
      <c r="J26" s="11">
        <f t="shared" si="13"/>
        <v>3.1407588586744417</v>
      </c>
      <c r="K26" s="11">
        <f t="shared" si="13"/>
        <v>0.27510163999482362</v>
      </c>
      <c r="M26" s="125">
        <v>2000</v>
      </c>
      <c r="N26" s="125">
        <f>B7/$B$7</f>
        <v>1</v>
      </c>
      <c r="O26" s="125">
        <f>C7/$C$7</f>
        <v>1</v>
      </c>
      <c r="P26" s="125">
        <f>D7/$D$7</f>
        <v>1</v>
      </c>
      <c r="Q26" s="125">
        <f>E7/$E$7</f>
        <v>1</v>
      </c>
      <c r="R26" s="125">
        <f>I7/$I$7</f>
        <v>1</v>
      </c>
      <c r="S26" s="125">
        <f>J7/$J$7</f>
        <v>1</v>
      </c>
      <c r="T26" s="125">
        <f>K7/$K$7</f>
        <v>1</v>
      </c>
    </row>
    <row r="27" spans="1:20" s="259" customFormat="1" ht="30">
      <c r="A27" s="325" t="s">
        <v>15</v>
      </c>
      <c r="B27" s="11">
        <f>((B20/B7)^(1/13)-1)*100</f>
        <v>0</v>
      </c>
      <c r="C27" s="11">
        <f t="shared" ref="C27:K27" si="15">((C20/C7)^(1/13)-1)*100</f>
        <v>2.9405248394241967</v>
      </c>
      <c r="D27" s="11">
        <f t="shared" si="15"/>
        <v>5.8961958573221285</v>
      </c>
      <c r="E27" s="11">
        <f t="shared" si="15"/>
        <v>3.9706301870470639</v>
      </c>
      <c r="F27" s="11">
        <f t="shared" ref="F27:H27" si="16">((F20/F7)^(1/13)-1)*100</f>
        <v>7.9040575674102165</v>
      </c>
      <c r="G27" s="11">
        <f t="shared" si="16"/>
        <v>4.6492285929356392</v>
      </c>
      <c r="H27" s="11">
        <f t="shared" si="16"/>
        <v>0.55799977199955109</v>
      </c>
      <c r="I27" s="11">
        <f t="shared" si="15"/>
        <v>1.0530971422827884</v>
      </c>
      <c r="J27" s="11">
        <f t="shared" si="15"/>
        <v>1.7167834015187067</v>
      </c>
      <c r="K27" s="11">
        <f t="shared" si="15"/>
        <v>0.26929701832669739</v>
      </c>
    </row>
    <row r="28" spans="1:20">
      <c r="A28" s="115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20" s="237" customFormat="1">
      <c r="A29" s="231" t="s">
        <v>144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20">
      <c r="A30" s="53" t="s">
        <v>41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M30" s="125">
        <v>2002</v>
      </c>
      <c r="N30" s="125">
        <f>B9/$B$7</f>
        <v>1</v>
      </c>
      <c r="O30" s="125">
        <f>C9/$C$7</f>
        <v>1.1795810390095927</v>
      </c>
      <c r="P30" s="125">
        <f>D9/$D$7</f>
        <v>1.2252552886640329</v>
      </c>
      <c r="Q30" s="125">
        <f>E9/$E$7</f>
        <v>1.2113044244637776</v>
      </c>
      <c r="R30" s="125">
        <f>I9/$I$7</f>
        <v>1.160143650841271</v>
      </c>
      <c r="S30" s="125">
        <f>J9/$J$7</f>
        <v>1.1606375090042491</v>
      </c>
      <c r="T30" s="125">
        <f>K9/$K$7</f>
        <v>1.2105720098127899</v>
      </c>
    </row>
    <row r="31" spans="1:20">
      <c r="A31" s="229" t="s">
        <v>309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M31" s="125">
        <v>2003</v>
      </c>
      <c r="N31" s="125">
        <f>B10/$B$7</f>
        <v>1</v>
      </c>
      <c r="O31" s="125">
        <f>C10/$C$7</f>
        <v>1.1265874989418119</v>
      </c>
      <c r="P31" s="125">
        <f>D10/$D$7</f>
        <v>1.095961393133879</v>
      </c>
      <c r="Q31" s="125">
        <f>E10/$E$7</f>
        <v>1.1645367955297501</v>
      </c>
      <c r="R31" s="125">
        <f>I10/$I$7</f>
        <v>1.1344509721480969</v>
      </c>
      <c r="S31" s="125">
        <f>J10/$J$7</f>
        <v>1.1245314782320115</v>
      </c>
      <c r="T31" s="125">
        <f>K10/$K$7</f>
        <v>1.2037035192774974</v>
      </c>
    </row>
    <row r="32" spans="1:20">
      <c r="M32" s="125">
        <v>2007</v>
      </c>
      <c r="N32" s="125">
        <f t="shared" ref="N32:N38" si="17">B14/$B$7</f>
        <v>1</v>
      </c>
      <c r="O32" s="125">
        <f t="shared" ref="O32:O38" si="18">C14/$C$7</f>
        <v>1.2097438050704463</v>
      </c>
      <c r="P32" s="125">
        <f t="shared" ref="P32:P38" si="19">D14/$D$7</f>
        <v>1.2309331287971121</v>
      </c>
      <c r="Q32" s="125">
        <f t="shared" ref="Q32:Q38" si="20">E14/$E$7</f>
        <v>1.4369776960617195</v>
      </c>
      <c r="R32" s="125">
        <f t="shared" ref="R32:R38" si="21">I14/$I$7</f>
        <v>1.0162885207900507</v>
      </c>
      <c r="S32" s="125">
        <f t="shared" ref="S32:S38" si="22">J14/$J$7</f>
        <v>1.0363873404964077</v>
      </c>
      <c r="T32" s="125">
        <f t="shared" ref="T32:T38" si="23">K14/$K$7</f>
        <v>1.0186498994998447</v>
      </c>
    </row>
    <row r="33" spans="13:20">
      <c r="M33" s="125">
        <v>2008</v>
      </c>
      <c r="N33" s="125">
        <f t="shared" si="17"/>
        <v>1</v>
      </c>
      <c r="O33" s="125">
        <f t="shared" si="18"/>
        <v>1.2378078578033367</v>
      </c>
      <c r="P33" s="125">
        <f t="shared" si="19"/>
        <v>1.1842903141227721</v>
      </c>
      <c r="Q33" s="125">
        <f t="shared" si="20"/>
        <v>1.511490817799569</v>
      </c>
      <c r="R33" s="125">
        <f t="shared" si="21"/>
        <v>1.0496866225588937</v>
      </c>
      <c r="S33" s="125">
        <f t="shared" si="22"/>
        <v>1.0499781560306456</v>
      </c>
      <c r="T33" s="125">
        <f t="shared" si="23"/>
        <v>1.0949746666554403</v>
      </c>
    </row>
    <row r="34" spans="13:20">
      <c r="M34" s="125">
        <v>2009</v>
      </c>
      <c r="N34" s="125">
        <f t="shared" si="17"/>
        <v>1</v>
      </c>
      <c r="O34" s="125">
        <f t="shared" si="18"/>
        <v>1.1968521662118929</v>
      </c>
      <c r="P34" s="125">
        <f t="shared" si="19"/>
        <v>1.1039091666049816</v>
      </c>
      <c r="Q34" s="125">
        <f t="shared" si="20"/>
        <v>1.4141704994468134</v>
      </c>
      <c r="R34" s="125">
        <f t="shared" si="21"/>
        <v>1.072483916241914</v>
      </c>
      <c r="S34" s="125">
        <f t="shared" si="22"/>
        <v>1.0578248094467573</v>
      </c>
      <c r="T34" s="125">
        <f t="shared" si="23"/>
        <v>1.157060982075536</v>
      </c>
    </row>
    <row r="35" spans="13:20">
      <c r="M35" s="125">
        <v>2010</v>
      </c>
      <c r="N35" s="125">
        <f t="shared" si="17"/>
        <v>1</v>
      </c>
      <c r="O35" s="125">
        <f t="shared" si="18"/>
        <v>1.2538513355718144</v>
      </c>
      <c r="P35" s="125">
        <f t="shared" si="19"/>
        <v>1.7242491431812679</v>
      </c>
      <c r="Q35" s="125">
        <f t="shared" si="20"/>
        <v>1.3337710514864751</v>
      </c>
      <c r="R35" s="125">
        <f t="shared" si="21"/>
        <v>1.0559074411277101</v>
      </c>
      <c r="S35" s="125">
        <f t="shared" si="22"/>
        <v>1.1407767276737459</v>
      </c>
      <c r="T35" s="125">
        <f t="shared" si="23"/>
        <v>0.98599424413573267</v>
      </c>
    </row>
    <row r="36" spans="13:20">
      <c r="M36" s="125">
        <v>2011</v>
      </c>
      <c r="N36" s="125">
        <f t="shared" si="17"/>
        <v>1</v>
      </c>
      <c r="O36" s="125">
        <f t="shared" si="18"/>
        <v>1.2820568530204914</v>
      </c>
      <c r="P36" s="125">
        <f t="shared" si="19"/>
        <v>1.3469681848208355</v>
      </c>
      <c r="Q36" s="125">
        <f t="shared" si="20"/>
        <v>1.4063551874648814</v>
      </c>
      <c r="R36" s="125">
        <f t="shared" si="21"/>
        <v>1.1974987657527096</v>
      </c>
      <c r="S36" s="125">
        <f t="shared" si="22"/>
        <v>1.3025467667988224</v>
      </c>
      <c r="T36" s="125">
        <f t="shared" si="23"/>
        <v>1.093056626441512</v>
      </c>
    </row>
    <row r="37" spans="13:20">
      <c r="M37" s="125">
        <v>2012</v>
      </c>
      <c r="N37" s="125">
        <f t="shared" si="17"/>
        <v>1</v>
      </c>
      <c r="O37" s="125">
        <f t="shared" si="18"/>
        <v>1.3782745661014897</v>
      </c>
      <c r="P37" s="125">
        <f t="shared" si="19"/>
        <v>1.7713571856045414</v>
      </c>
      <c r="Q37" s="125">
        <f t="shared" si="20"/>
        <v>1.5827021416635689</v>
      </c>
      <c r="R37" s="125">
        <f t="shared" si="21"/>
        <v>1.1155349054618846</v>
      </c>
      <c r="S37" s="125">
        <f t="shared" si="22"/>
        <v>1.1986320917392146</v>
      </c>
      <c r="T37" s="125">
        <f t="shared" si="23"/>
        <v>1.0291648501603481</v>
      </c>
    </row>
    <row r="38" spans="13:20">
      <c r="M38" s="125">
        <v>2013</v>
      </c>
      <c r="N38" s="125">
        <f t="shared" si="17"/>
        <v>1</v>
      </c>
      <c r="O38" s="125">
        <f t="shared" si="18"/>
        <v>1.457548168463348</v>
      </c>
      <c r="P38" s="125">
        <f t="shared" si="19"/>
        <v>2.105933572748377</v>
      </c>
      <c r="Q38" s="125">
        <f t="shared" si="20"/>
        <v>1.6589709921187736</v>
      </c>
      <c r="R38" s="125">
        <f t="shared" si="21"/>
        <v>1.1458959165580929</v>
      </c>
      <c r="S38" s="125">
        <f t="shared" si="22"/>
        <v>1.2476823567941819</v>
      </c>
      <c r="T38" s="125">
        <f t="shared" si="23"/>
        <v>1.0355798985472142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7"/>
  <sheetViews>
    <sheetView view="pageBreakPreview" zoomScaleNormal="100" zoomScaleSheetLayoutView="100" workbookViewId="0">
      <selection activeCell="H2" sqref="H2"/>
    </sheetView>
  </sheetViews>
  <sheetFormatPr defaultRowHeight="15"/>
  <cols>
    <col min="1" max="12" width="9.140625" style="125"/>
    <col min="13" max="20" width="0" style="125" hidden="1" customWidth="1"/>
    <col min="21" max="16384" width="9.140625" style="125"/>
  </cols>
  <sheetData>
    <row r="1" spans="1:20" ht="40.5" customHeight="1">
      <c r="A1" s="454" t="s">
        <v>549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20">
      <c r="A3" s="115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0">
      <c r="A4" s="115">
        <v>1997</v>
      </c>
      <c r="B4" s="11">
        <f>'3B'!B4/'3B'!$B4*100</f>
        <v>100</v>
      </c>
      <c r="C4" s="11">
        <f>'3B'!C4/'3B'!$B4*100</f>
        <v>90.525320989995322</v>
      </c>
      <c r="D4" s="11">
        <f>'3B'!D4/'3B'!$B4*100</f>
        <v>73.661113686775224</v>
      </c>
      <c r="E4" s="11">
        <f>'3B'!E4/'3B'!$B4*100</f>
        <v>50.25170506512189</v>
      </c>
      <c r="F4" s="11">
        <f>'3B'!F4/'3B'!$B4*100</f>
        <v>39.824112661123962</v>
      </c>
      <c r="G4" s="11">
        <f>'3B'!G4/'3B'!$B4*100</f>
        <v>50.157739754915418</v>
      </c>
      <c r="H4" s="11">
        <f>'3B'!H4/'3B'!$B4*100</f>
        <v>62.202885926941967</v>
      </c>
      <c r="I4" s="11">
        <f>'3B'!I4/'3B'!$B4*100</f>
        <v>132.10419775936938</v>
      </c>
      <c r="J4" s="11">
        <f>'3B'!J4/'3B'!$B4*100</f>
        <v>115.71040898418319</v>
      </c>
      <c r="K4" s="11">
        <f>'3B'!K4/'3B'!$B4*100</f>
        <v>144.76588636330635</v>
      </c>
      <c r="N4" s="125" t="s">
        <v>24</v>
      </c>
    </row>
    <row r="5" spans="1:20">
      <c r="A5" s="115">
        <v>1998</v>
      </c>
      <c r="B5" s="11">
        <f>'3B'!B5/'3B'!$B5*100</f>
        <v>100</v>
      </c>
      <c r="C5" s="11">
        <f>'3B'!C5/'3B'!$B5*100</f>
        <v>91.167928883253012</v>
      </c>
      <c r="D5" s="11">
        <f>'3B'!D5/'3B'!$B5*100</f>
        <v>81.931636482974213</v>
      </c>
      <c r="E5" s="11">
        <f>'3B'!E5/'3B'!$B5*100</f>
        <v>51.848147973043133</v>
      </c>
      <c r="F5" s="11">
        <f>'3B'!F5/'3B'!$B5*100</f>
        <v>43.469516586236843</v>
      </c>
      <c r="G5" s="11">
        <f>'3B'!G5/'3B'!$B5*100</f>
        <v>53.772513014272164</v>
      </c>
      <c r="H5" s="11">
        <f>'3B'!H5/'3B'!$B5*100</f>
        <v>60.087433218040033</v>
      </c>
      <c r="I5" s="11">
        <f>'3B'!I5/'3B'!$B5*100</f>
        <v>133.00097404863322</v>
      </c>
      <c r="J5" s="11">
        <f>'3B'!J5/'3B'!$B5*100</f>
        <v>127.63080639579339</v>
      </c>
      <c r="K5" s="11">
        <f>'3B'!K5/'3B'!$B5*100</f>
        <v>132.93127759997287</v>
      </c>
      <c r="N5" s="125" t="s">
        <v>2</v>
      </c>
      <c r="O5" s="125" t="s">
        <v>8</v>
      </c>
      <c r="P5" s="125" t="s">
        <v>20</v>
      </c>
      <c r="Q5" s="125" t="s">
        <v>4</v>
      </c>
      <c r="R5" s="125" t="s">
        <v>5</v>
      </c>
      <c r="S5" s="125" t="s">
        <v>6</v>
      </c>
      <c r="T5" s="125" t="s">
        <v>7</v>
      </c>
    </row>
    <row r="6" spans="1:20">
      <c r="A6" s="115">
        <v>1999</v>
      </c>
      <c r="B6" s="11">
        <f>'3B'!B6/'3B'!$B6*100</f>
        <v>100</v>
      </c>
      <c r="C6" s="11">
        <f>'3B'!C6/'3B'!$B6*100</f>
        <v>82.830647703105541</v>
      </c>
      <c r="D6" s="11">
        <f>'3B'!D6/'3B'!$B6*100</f>
        <v>81.795618918092728</v>
      </c>
      <c r="E6" s="11">
        <f>'3B'!E6/'3B'!$B6*100</f>
        <v>47.82480120091784</v>
      </c>
      <c r="F6" s="11">
        <f>'3B'!F6/'3B'!$B6*100</f>
        <v>36.001846856767578</v>
      </c>
      <c r="G6" s="11">
        <f>'3B'!G6/'3B'!$B6*100</f>
        <v>51.256568062868233</v>
      </c>
      <c r="H6" s="11">
        <f>'3B'!H6/'3B'!$B6*100</f>
        <v>61.239167053748432</v>
      </c>
      <c r="I6" s="11">
        <f>'3B'!I6/'3B'!$B6*100</f>
        <v>116.92362471303137</v>
      </c>
      <c r="J6" s="11">
        <f>'3B'!J6/'3B'!$B6*100</f>
        <v>113.64267727154376</v>
      </c>
      <c r="K6" s="11">
        <f>'3B'!K6/'3B'!$B6*100</f>
        <v>113.37498989964334</v>
      </c>
      <c r="M6" s="125">
        <v>1998</v>
      </c>
      <c r="N6" s="125">
        <f>((B5/B4)-1)*100</f>
        <v>0</v>
      </c>
      <c r="O6" s="125">
        <f>((C5/C4)-1)*100</f>
        <v>0.70986535726142996</v>
      </c>
      <c r="P6" s="125">
        <f>((D5/D4)-1)*100</f>
        <v>11.227800371532858</v>
      </c>
      <c r="Q6" s="125">
        <f>((E5/E4)-1)*100</f>
        <v>3.1768930145800844</v>
      </c>
      <c r="R6" s="125">
        <f t="shared" ref="R6:T21" si="0">((I5/I4)-1)*100</f>
        <v>0.67884011596461846</v>
      </c>
      <c r="S6" s="125">
        <f t="shared" si="0"/>
        <v>10.30192315130407</v>
      </c>
      <c r="T6" s="125">
        <f t="shared" si="0"/>
        <v>-8.1749983097766492</v>
      </c>
    </row>
    <row r="7" spans="1:20">
      <c r="A7" s="115">
        <v>2000</v>
      </c>
      <c r="B7" s="11">
        <f>'3B'!B7/'3B'!$B7*100</f>
        <v>100</v>
      </c>
      <c r="C7" s="11">
        <f>'3B'!C7/'3B'!$B7*100</f>
        <v>94.389450877497367</v>
      </c>
      <c r="D7" s="11">
        <f>'3B'!D7/'3B'!$B7*100</f>
        <v>88.380123452635999</v>
      </c>
      <c r="E7" s="11">
        <f>'3B'!E7/'3B'!$B7*100</f>
        <v>57.433046600985747</v>
      </c>
      <c r="F7" s="11">
        <f>'3B'!F7/'3B'!$B7*100</f>
        <v>53.679383929931426</v>
      </c>
      <c r="G7" s="11">
        <f>'3B'!G7/'3B'!$B7*100</f>
        <v>55.792502586852756</v>
      </c>
      <c r="H7" s="11">
        <f>'3B'!H7/'3B'!$B7*100</f>
        <v>66.34323925112264</v>
      </c>
      <c r="I7" s="11">
        <f>'3B'!I7/'3B'!$B7*100</f>
        <v>131.4517976998967</v>
      </c>
      <c r="J7" s="11">
        <f>'3B'!J7/'3B'!$B7*100</f>
        <v>141.55741112591267</v>
      </c>
      <c r="K7" s="11">
        <f>'3B'!K7/'3B'!$B7*100</f>
        <v>114.91331270721132</v>
      </c>
      <c r="M7" s="125">
        <v>1999</v>
      </c>
      <c r="N7" s="125">
        <f t="shared" ref="N7:Q21" si="1">((B6/B5)-1)*100</f>
        <v>0</v>
      </c>
      <c r="O7" s="125">
        <f t="shared" si="1"/>
        <v>-9.1449715730889896</v>
      </c>
      <c r="P7" s="125">
        <f t="shared" si="1"/>
        <v>-0.16601348480296263</v>
      </c>
      <c r="Q7" s="125">
        <f t="shared" si="1"/>
        <v>-7.7598659342993486</v>
      </c>
      <c r="R7" s="125">
        <f t="shared" si="0"/>
        <v>-12.088144053533767</v>
      </c>
      <c r="S7" s="125">
        <f t="shared" si="0"/>
        <v>-10.959837612301303</v>
      </c>
      <c r="T7" s="125">
        <f t="shared" si="0"/>
        <v>-14.711577330340441</v>
      </c>
    </row>
    <row r="8" spans="1:20">
      <c r="A8" s="115">
        <v>2001</v>
      </c>
      <c r="B8" s="11">
        <f>'3B'!B8/'3B'!$B8*100</f>
        <v>100</v>
      </c>
      <c r="C8" s="11">
        <f>'3B'!C8/'3B'!$B8*100</f>
        <v>92.839904089037546</v>
      </c>
      <c r="D8" s="11">
        <f>'3B'!D8/'3B'!$B8*100</f>
        <v>94.193746987318946</v>
      </c>
      <c r="E8" s="11">
        <f>'3B'!E8/'3B'!$B8*100</f>
        <v>56.910000511401037</v>
      </c>
      <c r="F8" s="11">
        <f>'3B'!F8/'3B'!$B8*100</f>
        <v>48.094340174050629</v>
      </c>
      <c r="G8" s="11">
        <f>'3B'!G8/'3B'!$B8*100</f>
        <v>56.811744635311712</v>
      </c>
      <c r="H8" s="11">
        <f>'3B'!H8/'3B'!$B8*100</f>
        <v>68.657701700062177</v>
      </c>
      <c r="I8" s="11">
        <f>'3B'!I8/'3B'!$B8*100</f>
        <v>125.97174420059471</v>
      </c>
      <c r="J8" s="11">
        <f>'3B'!J8/'3B'!$B8*100</f>
        <v>127.10542358106589</v>
      </c>
      <c r="K8" s="11">
        <f>'3B'!K8/'3B'!$B8*100</f>
        <v>125.07497555788203</v>
      </c>
      <c r="M8" s="125">
        <v>2000</v>
      </c>
      <c r="N8" s="125">
        <f t="shared" si="1"/>
        <v>0</v>
      </c>
      <c r="O8" s="125">
        <f t="shared" si="1"/>
        <v>13.9547419885242</v>
      </c>
      <c r="P8" s="125">
        <f t="shared" si="1"/>
        <v>8.0499476886858332</v>
      </c>
      <c r="Q8" s="125">
        <f t="shared" si="1"/>
        <v>20.090507767512712</v>
      </c>
      <c r="R8" s="125">
        <f t="shared" si="0"/>
        <v>12.425352893841769</v>
      </c>
      <c r="S8" s="125">
        <f t="shared" si="0"/>
        <v>24.563601038426764</v>
      </c>
      <c r="T8" s="125">
        <f t="shared" si="0"/>
        <v>1.3568449346100575</v>
      </c>
    </row>
    <row r="9" spans="1:20">
      <c r="A9" s="115">
        <v>2002</v>
      </c>
      <c r="B9" s="11">
        <f>'3B'!B9/'3B'!$B9*100</f>
        <v>100</v>
      </c>
      <c r="C9" s="11">
        <f>'3B'!C9/'3B'!$B9*100</f>
        <v>95.446854805630366</v>
      </c>
      <c r="D9" s="11">
        <f>'3B'!D9/'3B'!$B9*100</f>
        <v>97.86036469694362</v>
      </c>
      <c r="E9" s="11">
        <f>'3B'!E9/'3B'!$B9*100</f>
        <v>60.926856355870108</v>
      </c>
      <c r="F9" s="11">
        <f>'3B'!F9/'3B'!$B9*100</f>
        <v>57.581754523632476</v>
      </c>
      <c r="G9" s="11">
        <f>'3B'!G9/'3B'!$B9*100</f>
        <v>61.052889225207863</v>
      </c>
      <c r="H9" s="11">
        <f>'3B'!H9/'3B'!$B9*100</f>
        <v>67.989260004479576</v>
      </c>
      <c r="I9" s="11">
        <f>'3B'!I9/'3B'!$B9*100</f>
        <v>126.69357842667759</v>
      </c>
      <c r="J9" s="11">
        <f>'3B'!J9/'3B'!$B9*100</f>
        <v>132.73601144733266</v>
      </c>
      <c r="K9" s="11">
        <f>'3B'!K9/'3B'!$B9*100</f>
        <v>122.01583984947288</v>
      </c>
      <c r="M9" s="125">
        <v>2001</v>
      </c>
      <c r="N9" s="125">
        <f t="shared" si="1"/>
        <v>0</v>
      </c>
      <c r="O9" s="125">
        <f t="shared" si="1"/>
        <v>-1.6416525088919998</v>
      </c>
      <c r="P9" s="125">
        <f t="shared" si="1"/>
        <v>6.5779762548063614</v>
      </c>
      <c r="Q9" s="125">
        <f t="shared" si="1"/>
        <v>-0.910705805350287</v>
      </c>
      <c r="R9" s="125">
        <f t="shared" si="0"/>
        <v>-4.1688691940241824</v>
      </c>
      <c r="S9" s="125">
        <f t="shared" si="0"/>
        <v>-10.209276525968679</v>
      </c>
      <c r="T9" s="125">
        <f t="shared" si="0"/>
        <v>8.8428943620846532</v>
      </c>
    </row>
    <row r="10" spans="1:20">
      <c r="A10" s="115">
        <v>2003</v>
      </c>
      <c r="B10" s="11">
        <f>'3B'!B10/'3B'!$B10*100</f>
        <v>100</v>
      </c>
      <c r="C10" s="11">
        <f>'3B'!C10/'3B'!$B10*100</f>
        <v>99.528526062872331</v>
      </c>
      <c r="D10" s="11">
        <f>'3B'!D10/'3B'!$B10*100</f>
        <v>91.448687954187307</v>
      </c>
      <c r="E10" s="11">
        <f>'3B'!E10/'3B'!$B10*100</f>
        <v>64.365854955035942</v>
      </c>
      <c r="F10" s="11">
        <f>'3B'!F10/'3B'!$B10*100</f>
        <v>60.195628363710398</v>
      </c>
      <c r="G10" s="11">
        <f>'3B'!G10/'3B'!$B10*100</f>
        <v>58.234728533525669</v>
      </c>
      <c r="H10" s="11">
        <f>'3B'!H10/'3B'!$B10*100</f>
        <v>76.316190785835701</v>
      </c>
      <c r="I10" s="11">
        <f>'3B'!I10/'3B'!$B10*100</f>
        <v>133.85953836073597</v>
      </c>
      <c r="J10" s="11">
        <f>'3B'!J10/'3B'!$B10*100</f>
        <v>142.10374915749171</v>
      </c>
      <c r="K10" s="11">
        <f>'3B'!K10/'3B'!$B10*100</f>
        <v>129.41826927806892</v>
      </c>
      <c r="M10" s="125">
        <v>2002</v>
      </c>
      <c r="N10" s="125">
        <f t="shared" si="1"/>
        <v>0</v>
      </c>
      <c r="O10" s="125">
        <f t="shared" si="1"/>
        <v>2.808006688689213</v>
      </c>
      <c r="P10" s="125">
        <f t="shared" si="1"/>
        <v>3.8926338816506645</v>
      </c>
      <c r="Q10" s="125">
        <f t="shared" si="1"/>
        <v>7.0582600744562463</v>
      </c>
      <c r="R10" s="125">
        <f t="shared" si="0"/>
        <v>0.57301280589832082</v>
      </c>
      <c r="S10" s="125">
        <f t="shared" si="0"/>
        <v>4.4298564983544342</v>
      </c>
      <c r="T10" s="125">
        <f t="shared" si="0"/>
        <v>-2.4458415400556599</v>
      </c>
    </row>
    <row r="11" spans="1:20">
      <c r="A11" s="115">
        <v>2004</v>
      </c>
      <c r="B11" s="11">
        <f>'3B'!B11/'3B'!$B11*100</f>
        <v>100</v>
      </c>
      <c r="C11" s="11">
        <f>'3B'!C11/'3B'!$B11*100</f>
        <v>99.045104081081959</v>
      </c>
      <c r="D11" s="11">
        <f>'3B'!D11/'3B'!$B11*100</f>
        <v>91.798617586158727</v>
      </c>
      <c r="E11" s="11">
        <f>'3B'!E11/'3B'!$B11*100</f>
        <v>64.183992772835339</v>
      </c>
      <c r="F11" s="11">
        <f>'3B'!F11/'3B'!$B11*100</f>
        <v>55.534093202611871</v>
      </c>
      <c r="G11" s="11">
        <f>'3B'!G11/'3B'!$B11*100</f>
        <v>61.423902081174234</v>
      </c>
      <c r="H11" s="11">
        <f>'3B'!H11/'3B'!$B11*100</f>
        <v>77.152711976023966</v>
      </c>
      <c r="I11" s="11">
        <f>'3B'!I11/'3B'!$B11*100</f>
        <v>132.6120385406258</v>
      </c>
      <c r="J11" s="11">
        <f>'3B'!J11/'3B'!$B11*100</f>
        <v>149.01333068108104</v>
      </c>
      <c r="K11" s="11">
        <f>'3B'!K11/'3B'!$B11*100</f>
        <v>121.99235028188991</v>
      </c>
      <c r="M11" s="125">
        <v>2003</v>
      </c>
      <c r="N11" s="125">
        <f t="shared" si="1"/>
        <v>0</v>
      </c>
      <c r="O11" s="125">
        <f t="shared" si="1"/>
        <v>4.2763810976840899</v>
      </c>
      <c r="P11" s="125">
        <f t="shared" si="1"/>
        <v>-6.5518627103139826</v>
      </c>
      <c r="Q11" s="125">
        <f t="shared" si="1"/>
        <v>5.6444707717707487</v>
      </c>
      <c r="R11" s="125">
        <f t="shared" si="0"/>
        <v>5.6561350804418264</v>
      </c>
      <c r="S11" s="125">
        <f t="shared" si="0"/>
        <v>7.0574199179368913</v>
      </c>
      <c r="T11" s="125">
        <f t="shared" si="0"/>
        <v>6.0667774263801988</v>
      </c>
    </row>
    <row r="12" spans="1:20">
      <c r="A12" s="115">
        <v>2005</v>
      </c>
      <c r="B12" s="11">
        <f>'3B'!B12/'3B'!$B12*100</f>
        <v>100</v>
      </c>
      <c r="C12" s="11">
        <f>'3B'!C12/'3B'!$B12*100</f>
        <v>100.4623826647526</v>
      </c>
      <c r="D12" s="11">
        <f>'3B'!D12/'3B'!$B12*100</f>
        <v>96.097151154853705</v>
      </c>
      <c r="E12" s="11">
        <f>'3B'!E12/'3B'!$B12*100</f>
        <v>67.629675134212235</v>
      </c>
      <c r="F12" s="11">
        <f>'3B'!F12/'3B'!$B12*100</f>
        <v>61.656511638447689</v>
      </c>
      <c r="G12" s="11">
        <f>'3B'!G12/'3B'!$B12*100</f>
        <v>77.024736463995751</v>
      </c>
      <c r="H12" s="11">
        <f>'3B'!H12/'3B'!$B12*100</f>
        <v>66.937542750613034</v>
      </c>
      <c r="I12" s="11">
        <f>'3B'!I12/'3B'!$B12*100</f>
        <v>131.90136467764222</v>
      </c>
      <c r="J12" s="11">
        <f>'3B'!J12/'3B'!$B12*100</f>
        <v>160.8703172870612</v>
      </c>
      <c r="K12" s="11">
        <f>'3B'!K12/'3B'!$B12*100</f>
        <v>117.08520702010937</v>
      </c>
      <c r="M12" s="125">
        <v>2004</v>
      </c>
      <c r="N12" s="125">
        <f t="shared" si="1"/>
        <v>0</v>
      </c>
      <c r="O12" s="125">
        <f t="shared" si="1"/>
        <v>-0.48571198721961695</v>
      </c>
      <c r="P12" s="125">
        <f t="shared" si="1"/>
        <v>0.38265134229888975</v>
      </c>
      <c r="Q12" s="125">
        <f t="shared" si="1"/>
        <v>-0.28254449867503029</v>
      </c>
      <c r="R12" s="125">
        <f t="shared" si="0"/>
        <v>-0.93194690149632775</v>
      </c>
      <c r="S12" s="125">
        <f t="shared" si="0"/>
        <v>4.8623499130424408</v>
      </c>
      <c r="T12" s="125">
        <f t="shared" si="0"/>
        <v>-5.7379217305275727</v>
      </c>
    </row>
    <row r="13" spans="1:20">
      <c r="A13" s="94">
        <v>2006</v>
      </c>
      <c r="B13" s="235">
        <f>'3B'!B13/'3B'!$B13*100</f>
        <v>100</v>
      </c>
      <c r="C13" s="235">
        <f>'3B'!C13/'3B'!$B13*100</f>
        <v>93.088484113267015</v>
      </c>
      <c r="D13" s="235">
        <f>'3B'!D13/'3B'!$B13*100</f>
        <v>84.283322279297195</v>
      </c>
      <c r="E13" s="235">
        <f>'3B'!E13/'3B'!$B13*100</f>
        <v>68.909922298101861</v>
      </c>
      <c r="F13" s="235">
        <f>'3B'!F13/'3B'!$B13*100</f>
        <v>70.925462354957588</v>
      </c>
      <c r="G13" s="235">
        <f>'3B'!G13/'3B'!$B13*100</f>
        <v>83.712910322971538</v>
      </c>
      <c r="H13" s="235">
        <f>'3B'!H13/'3B'!$B13*100</f>
        <v>61.69366134041028</v>
      </c>
      <c r="I13" s="235">
        <f>'3B'!I13/'3B'!$B13*100</f>
        <v>118.52804167373716</v>
      </c>
      <c r="J13" s="235">
        <f>'3B'!J13/'3B'!$B13*100</f>
        <v>138.46643989129072</v>
      </c>
      <c r="K13" s="235">
        <f>'3B'!K13/'3B'!$B13*100</f>
        <v>109.04750440823028</v>
      </c>
      <c r="M13" s="125">
        <v>2005</v>
      </c>
      <c r="N13" s="125">
        <f t="shared" si="1"/>
        <v>0</v>
      </c>
      <c r="O13" s="125">
        <f t="shared" si="1"/>
        <v>1.4309425961230859</v>
      </c>
      <c r="P13" s="125">
        <f t="shared" si="1"/>
        <v>4.6825689555297867</v>
      </c>
      <c r="Q13" s="125">
        <f t="shared" si="1"/>
        <v>5.3684450164577679</v>
      </c>
      <c r="R13" s="125">
        <f t="shared" si="0"/>
        <v>-0.53590448559907022</v>
      </c>
      <c r="S13" s="125">
        <f t="shared" si="0"/>
        <v>7.9569972376206666</v>
      </c>
      <c r="T13" s="125">
        <f t="shared" si="0"/>
        <v>-4.0225007965184023</v>
      </c>
    </row>
    <row r="14" spans="1:20">
      <c r="A14" s="115">
        <v>2007</v>
      </c>
      <c r="B14" s="11">
        <f>'3B'!B14/'3B'!$B14*100</f>
        <v>100</v>
      </c>
      <c r="C14" s="11">
        <f>'3B'!C14/'3B'!$B14*100</f>
        <v>96.942979059105042</v>
      </c>
      <c r="D14" s="11">
        <f>'3B'!D14/'3B'!$B14*100</f>
        <v>87.005258657112094</v>
      </c>
      <c r="E14" s="11">
        <f>'3B'!E14/'3B'!$B14*100</f>
        <v>70.65936744834201</v>
      </c>
      <c r="F14" s="11">
        <f>'3B'!F14/'3B'!$B14*100</f>
        <v>72.393420783245915</v>
      </c>
      <c r="G14" s="11">
        <f>'3B'!G14/'3B'!$B14*100</f>
        <v>95.973759990590537</v>
      </c>
      <c r="H14" s="11">
        <f>'3B'!H14/'3B'!$B14*100</f>
        <v>61.703113594369519</v>
      </c>
      <c r="I14" s="11">
        <f>'3B'!I14/'3B'!$B14*100</f>
        <v>123.45545084493641</v>
      </c>
      <c r="J14" s="11">
        <f>'3B'!J14/'3B'!$B14*100</f>
        <v>151.02067458883255</v>
      </c>
      <c r="K14" s="11">
        <f>'3B'!K14/'3B'!$B14*100</f>
        <v>110.41656024111192</v>
      </c>
      <c r="M14" s="125">
        <v>2006</v>
      </c>
      <c r="N14" s="125">
        <f t="shared" si="1"/>
        <v>0</v>
      </c>
      <c r="O14" s="125">
        <f t="shared" si="1"/>
        <v>-7.3399598495414997</v>
      </c>
      <c r="P14" s="125">
        <f t="shared" si="1"/>
        <v>-12.293630699331937</v>
      </c>
      <c r="Q14" s="125">
        <f t="shared" si="1"/>
        <v>1.8930257484587321</v>
      </c>
      <c r="R14" s="125">
        <f t="shared" si="0"/>
        <v>-10.138881456297689</v>
      </c>
      <c r="S14" s="125">
        <f t="shared" si="0"/>
        <v>-13.92666948980551</v>
      </c>
      <c r="T14" s="125">
        <f t="shared" si="0"/>
        <v>-6.864831874532717</v>
      </c>
    </row>
    <row r="15" spans="1:20">
      <c r="A15" s="115">
        <v>2008</v>
      </c>
      <c r="B15" s="11">
        <f>'3B'!B15/'3B'!$B15*100</f>
        <v>100</v>
      </c>
      <c r="C15" s="11">
        <f>'3B'!C15/'3B'!$B15*100</f>
        <v>98.052990936392348</v>
      </c>
      <c r="D15" s="11">
        <f>'3B'!D15/'3B'!$B15*100</f>
        <v>89.055232129421739</v>
      </c>
      <c r="E15" s="11">
        <f>'3B'!E15/'3B'!$B15*100</f>
        <v>70.654925123427375</v>
      </c>
      <c r="F15" s="11">
        <f>'3B'!F15/'3B'!$B15*100</f>
        <v>78.614420892451804</v>
      </c>
      <c r="G15" s="11">
        <f>'3B'!G15/'3B'!$B15*100</f>
        <v>99.391205301279712</v>
      </c>
      <c r="H15" s="11">
        <f>'3B'!H15/'3B'!$B15*100</f>
        <v>59.386222437528133</v>
      </c>
      <c r="I15" s="11">
        <f>'3B'!I15/'3B'!$B15*100</f>
        <v>124.0562542133848</v>
      </c>
      <c r="J15" s="11">
        <f>'3B'!J15/'3B'!$B15*100</f>
        <v>166.09934977443007</v>
      </c>
      <c r="K15" s="11">
        <f>'3B'!K15/'3B'!$B15*100</f>
        <v>106.38358873514314</v>
      </c>
      <c r="M15" s="125">
        <v>2007</v>
      </c>
      <c r="N15" s="125">
        <f t="shared" si="1"/>
        <v>0</v>
      </c>
      <c r="O15" s="125">
        <f t="shared" si="1"/>
        <v>4.1406786054739131</v>
      </c>
      <c r="P15" s="125">
        <f t="shared" si="1"/>
        <v>3.2295076940547895</v>
      </c>
      <c r="Q15" s="125">
        <f t="shared" si="1"/>
        <v>2.5387420155142726</v>
      </c>
      <c r="R15" s="125">
        <f t="shared" si="0"/>
        <v>4.1571674530509251</v>
      </c>
      <c r="S15" s="125">
        <f t="shared" si="0"/>
        <v>9.0666263301043095</v>
      </c>
      <c r="T15" s="125">
        <f t="shared" si="0"/>
        <v>1.2554673674662453</v>
      </c>
    </row>
    <row r="16" spans="1:20">
      <c r="A16" s="115">
        <v>2009</v>
      </c>
      <c r="B16" s="11">
        <f>'3B'!B16/'3B'!$B16*100</f>
        <v>100</v>
      </c>
      <c r="C16" s="11">
        <f>'3B'!C16/'3B'!$B16*100</f>
        <v>91.698269776980709</v>
      </c>
      <c r="D16" s="11">
        <f>'3B'!D16/'3B'!$B16*100</f>
        <v>92.609682929927985</v>
      </c>
      <c r="E16" s="11">
        <f>'3B'!E16/'3B'!$B16*100</f>
        <v>65.502343594365115</v>
      </c>
      <c r="F16" s="11">
        <f>'3B'!F16/'3B'!$B16*100</f>
        <v>76.132790426183092</v>
      </c>
      <c r="G16" s="11">
        <f>'3B'!G16/'3B'!$B16*100</f>
        <v>94.49618855257539</v>
      </c>
      <c r="H16" s="11">
        <f>'3B'!H16/'3B'!$B16*100</f>
        <v>53.392934340164203</v>
      </c>
      <c r="I16" s="11">
        <f>'3B'!I16/'3B'!$B16*100</f>
        <v>111.54481325844712</v>
      </c>
      <c r="J16" s="11">
        <f>'3B'!J16/'3B'!$B16*100</f>
        <v>126.70798688840452</v>
      </c>
      <c r="K16" s="11">
        <f>'3B'!K16/'3B'!$B16*100</f>
        <v>106.05882826749146</v>
      </c>
      <c r="M16" s="125">
        <v>2008</v>
      </c>
      <c r="N16" s="125">
        <f t="shared" si="1"/>
        <v>0</v>
      </c>
      <c r="O16" s="125">
        <f t="shared" si="1"/>
        <v>1.1450152327282526</v>
      </c>
      <c r="P16" s="125">
        <f t="shared" si="1"/>
        <v>2.3561489316278994</v>
      </c>
      <c r="Q16" s="125">
        <f t="shared" si="1"/>
        <v>-6.2869582265645541E-3</v>
      </c>
      <c r="R16" s="125">
        <f t="shared" si="0"/>
        <v>0.48665600776349738</v>
      </c>
      <c r="S16" s="125">
        <f t="shared" si="0"/>
        <v>9.9845105490692365</v>
      </c>
      <c r="T16" s="125">
        <f t="shared" si="0"/>
        <v>-3.6525060164545597</v>
      </c>
    </row>
    <row r="17" spans="1:20">
      <c r="A17" s="115">
        <v>2010</v>
      </c>
      <c r="B17" s="11">
        <f>'3B'!B17/'3B'!$B17*100</f>
        <v>100</v>
      </c>
      <c r="C17" s="11">
        <f>'3B'!C17/'3B'!$B17*100</f>
        <v>97.206116055832013</v>
      </c>
      <c r="D17" s="11">
        <f>'3B'!D17/'3B'!$B17*100</f>
        <v>95.341434519250924</v>
      </c>
      <c r="E17" s="11">
        <f>'3B'!E17/'3B'!$B17*100</f>
        <v>64.116898753416194</v>
      </c>
      <c r="F17" s="11">
        <f>'3B'!F17/'3B'!$B17*100</f>
        <v>63.545857796262695</v>
      </c>
      <c r="G17" s="11">
        <f>'3B'!G17/'3B'!$B17*100</f>
        <v>96.401277321615893</v>
      </c>
      <c r="H17" s="11">
        <f>'3B'!H17/'3B'!$B17*100</f>
        <v>53.895029222019616</v>
      </c>
      <c r="I17" s="11">
        <f>'3B'!I17/'3B'!$B17*100</f>
        <v>126.12099880292389</v>
      </c>
      <c r="J17" s="11">
        <f>'3B'!J17/'3B'!$B17*100</f>
        <v>151.73793643773718</v>
      </c>
      <c r="K17" s="11">
        <f>'3B'!K17/'3B'!$B17*100</f>
        <v>115.83019468281984</v>
      </c>
      <c r="M17" s="125">
        <v>2009</v>
      </c>
      <c r="N17" s="125">
        <f t="shared" si="1"/>
        <v>0</v>
      </c>
      <c r="O17" s="125">
        <f t="shared" si="1"/>
        <v>-6.4809049665134566</v>
      </c>
      <c r="P17" s="125">
        <f t="shared" si="1"/>
        <v>3.9912880080315238</v>
      </c>
      <c r="Q17" s="125">
        <f t="shared" si="1"/>
        <v>-7.2926006503597485</v>
      </c>
      <c r="R17" s="125">
        <f t="shared" si="0"/>
        <v>-10.085296411914225</v>
      </c>
      <c r="S17" s="125">
        <f t="shared" si="0"/>
        <v>-23.715543100873472</v>
      </c>
      <c r="T17" s="125">
        <f t="shared" si="0"/>
        <v>-0.30527308912299267</v>
      </c>
    </row>
    <row r="18" spans="1:20">
      <c r="A18" s="115">
        <v>2011</v>
      </c>
      <c r="B18" s="11">
        <f>'3B'!B18/'3B'!$B18*100</f>
        <v>100</v>
      </c>
      <c r="C18" s="11">
        <f>'3B'!C18/'3B'!$B18*100</f>
        <v>92.431374495380894</v>
      </c>
      <c r="D18" s="11">
        <f>'3B'!D18/'3B'!$B18*100</f>
        <v>80.686226022340364</v>
      </c>
      <c r="E18" s="11">
        <f>'3B'!E18/'3B'!$B18*100</f>
        <v>63.096618879810585</v>
      </c>
      <c r="F18" s="11">
        <f>'3B'!F18/'3B'!$B18*100</f>
        <v>57.12532982828634</v>
      </c>
      <c r="G18" s="11">
        <f>'3B'!G18/'3B'!$B18*100</f>
        <v>102.7999054498468</v>
      </c>
      <c r="H18" s="11">
        <f>'3B'!H18/'3B'!$B18*100</f>
        <v>53.338480090678516</v>
      </c>
      <c r="I18" s="11">
        <f>'3B'!I18/'3B'!$B18*100</f>
        <v>118.83281164583362</v>
      </c>
      <c r="J18" s="11">
        <f>'3B'!J18/'3B'!$B18*100</f>
        <v>135.42778392191471</v>
      </c>
      <c r="K18" s="11">
        <f>'3B'!K18/'3B'!$B18*100</f>
        <v>112.4201646355647</v>
      </c>
      <c r="M18" s="125">
        <v>2010</v>
      </c>
      <c r="N18" s="125">
        <f t="shared" si="1"/>
        <v>0</v>
      </c>
      <c r="O18" s="125">
        <f t="shared" si="1"/>
        <v>6.0064887726310801</v>
      </c>
      <c r="P18" s="125">
        <f t="shared" si="1"/>
        <v>2.949747264969993</v>
      </c>
      <c r="Q18" s="125">
        <f t="shared" si="1"/>
        <v>-2.115107284601192</v>
      </c>
      <c r="R18" s="125">
        <f t="shared" si="0"/>
        <v>13.067560130029566</v>
      </c>
      <c r="S18" s="125">
        <f t="shared" si="0"/>
        <v>19.754042475141897</v>
      </c>
      <c r="T18" s="125">
        <f t="shared" si="0"/>
        <v>9.2131570515600725</v>
      </c>
    </row>
    <row r="19" spans="1:20">
      <c r="A19" s="115">
        <v>2012</v>
      </c>
      <c r="B19" s="11">
        <f>'3B'!B19/'3B'!$B19*100</f>
        <v>100</v>
      </c>
      <c r="C19" s="11">
        <f>'3B'!C19/'3B'!$B19*100</f>
        <v>100.01943260960306</v>
      </c>
      <c r="D19" s="11">
        <f>'3B'!D19/'3B'!$B19*100</f>
        <v>80.258596378803759</v>
      </c>
      <c r="E19" s="11">
        <f>'3B'!E19/'3B'!$B19*100</f>
        <v>74.195050942838023</v>
      </c>
      <c r="F19" s="11">
        <f>'3B'!F19/'3B'!$B19*100</f>
        <v>89.281227975047429</v>
      </c>
      <c r="G19" s="11">
        <f>'3B'!G19/'3B'!$B19*100</f>
        <v>111.71784971637761</v>
      </c>
      <c r="H19" s="11">
        <f>'3B'!H19/'3B'!$B19*100</f>
        <v>59.499021254565662</v>
      </c>
      <c r="I19" s="11">
        <f>'3B'!I19/'3B'!$B19*100</f>
        <v>124.91670130667045</v>
      </c>
      <c r="J19" s="11">
        <f>'3B'!J19/'3B'!$B19*100</f>
        <v>121.23521290177692</v>
      </c>
      <c r="K19" s="11">
        <f>'3B'!K19/'3B'!$B19*100</f>
        <v>127.95261041160857</v>
      </c>
      <c r="M19" s="125">
        <v>2011</v>
      </c>
      <c r="N19" s="125">
        <f t="shared" si="1"/>
        <v>0</v>
      </c>
      <c r="O19" s="125">
        <f t="shared" si="1"/>
        <v>-4.9119764827438068</v>
      </c>
      <c r="P19" s="125">
        <f t="shared" si="1"/>
        <v>-15.371290112014668</v>
      </c>
      <c r="Q19" s="125">
        <f t="shared" si="1"/>
        <v>-1.5912807597408096</v>
      </c>
      <c r="R19" s="125">
        <f t="shared" si="0"/>
        <v>-5.778726164767189</v>
      </c>
      <c r="S19" s="125">
        <f t="shared" si="0"/>
        <v>-10.748895693935467</v>
      </c>
      <c r="T19" s="125">
        <f t="shared" si="0"/>
        <v>-2.9439906033076113</v>
      </c>
    </row>
    <row r="20" spans="1:20">
      <c r="A20" s="115">
        <v>2013</v>
      </c>
      <c r="B20" s="11">
        <f>'3B'!B20/'3B'!$B20*100</f>
        <v>100</v>
      </c>
      <c r="C20" s="11">
        <f>'3B'!C20/'3B'!$B20*100</f>
        <v>98.33875726741627</v>
      </c>
      <c r="D20" s="11">
        <f>'3B'!D20/'3B'!$B20*100</f>
        <v>87.827253809665407</v>
      </c>
      <c r="E20" s="11">
        <f>'3B'!E20/'3B'!$B20*100</f>
        <v>73.852792733322232</v>
      </c>
      <c r="F20" s="11">
        <f>'3B'!F20/'3B'!$B20*100</f>
        <v>97.426834665218038</v>
      </c>
      <c r="G20" s="11">
        <f>'3B'!G20/'3B'!$B20*100</f>
        <v>111.8089113988396</v>
      </c>
      <c r="H20" s="11">
        <f>'3B'!H20/'3B'!$B20*100</f>
        <v>57.290006915427647</v>
      </c>
      <c r="I20" s="11">
        <f>'3B'!I20/'3B'!$B20*100</f>
        <v>121.40909975728746</v>
      </c>
      <c r="J20" s="11">
        <f>'3B'!J20/'3B'!$B20*100</f>
        <v>121.28211034561176</v>
      </c>
      <c r="K20" s="11">
        <f>'3B'!K20/'3B'!$B20*100</f>
        <v>122.41935711472185</v>
      </c>
      <c r="M20" s="125">
        <v>2012</v>
      </c>
      <c r="N20" s="125">
        <f t="shared" si="1"/>
        <v>0</v>
      </c>
      <c r="O20" s="125">
        <f t="shared" si="1"/>
        <v>8.2093965989885387</v>
      </c>
      <c r="P20" s="125">
        <f t="shared" si="1"/>
        <v>-0.52999088520784277</v>
      </c>
      <c r="Q20" s="125">
        <f t="shared" si="1"/>
        <v>17.589582865237595</v>
      </c>
      <c r="R20" s="125">
        <f t="shared" si="0"/>
        <v>5.1197052199430493</v>
      </c>
      <c r="S20" s="125">
        <f t="shared" si="0"/>
        <v>-10.479807473126035</v>
      </c>
      <c r="T20" s="125">
        <f t="shared" si="0"/>
        <v>13.816423260360633</v>
      </c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 s="125">
        <v>2013</v>
      </c>
      <c r="N21" s="125">
        <f t="shared" si="1"/>
        <v>0</v>
      </c>
      <c r="O21" s="125">
        <f t="shared" si="1"/>
        <v>-1.6803488065632366</v>
      </c>
      <c r="P21" s="125">
        <f t="shared" si="1"/>
        <v>9.4303386457684546</v>
      </c>
      <c r="Q21" s="125">
        <f t="shared" si="1"/>
        <v>-0.46129520118460832</v>
      </c>
      <c r="R21" s="125">
        <f t="shared" si="0"/>
        <v>-2.8079524296529601</v>
      </c>
      <c r="S21" s="125">
        <f t="shared" si="0"/>
        <v>3.8683021798990858E-2</v>
      </c>
      <c r="T21" s="125">
        <f t="shared" si="0"/>
        <v>-4.3244551862497316</v>
      </c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125" t="s">
        <v>27</v>
      </c>
    </row>
    <row r="24" spans="1:20" ht="30">
      <c r="A24" s="115" t="s">
        <v>19</v>
      </c>
      <c r="B24" s="11">
        <f>((B7/B4)^(1/3)-1)*100</f>
        <v>0</v>
      </c>
      <c r="C24" s="11">
        <f t="shared" ref="C24:E24" si="2">((C7/C4)^(1/3)-1)*100</f>
        <v>1.4030758704578483</v>
      </c>
      <c r="D24" s="11">
        <f t="shared" si="2"/>
        <v>6.2605618068060309</v>
      </c>
      <c r="E24" s="11">
        <f t="shared" si="2"/>
        <v>4.5531248631681676</v>
      </c>
      <c r="F24" s="11">
        <f t="shared" ref="F24:H24" si="3">((F7/F4)^(1/3)-1)*100</f>
        <v>10.46392529643121</v>
      </c>
      <c r="G24" s="11">
        <f t="shared" si="3"/>
        <v>3.6126134463013715</v>
      </c>
      <c r="H24" s="11">
        <f t="shared" si="3"/>
        <v>2.1712513959462942</v>
      </c>
      <c r="I24" s="11">
        <f t="shared" ref="I24:K24" si="4">((I7/I4)^(1/3)-1)*100</f>
        <v>-0.16488927977779122</v>
      </c>
      <c r="J24" s="11">
        <f t="shared" si="4"/>
        <v>6.9514624824339455</v>
      </c>
      <c r="K24" s="11">
        <f t="shared" si="4"/>
        <v>-7.4091572614995327</v>
      </c>
      <c r="M24" s="125">
        <v>1998</v>
      </c>
      <c r="N24" s="125">
        <f t="shared" ref="N24:N25" si="5">B5/$B$7</f>
        <v>1</v>
      </c>
      <c r="O24" s="125">
        <f t="shared" ref="O24:O25" si="6">C5/$C$7</f>
        <v>0.96586989367672682</v>
      </c>
      <c r="P24" s="125">
        <f t="shared" ref="P24:P25" si="7">D5/$D$7</f>
        <v>0.92703690923086779</v>
      </c>
      <c r="Q24" s="125">
        <f t="shared" ref="Q24:Q25" si="8">E5/$E$7</f>
        <v>0.90275809906544713</v>
      </c>
      <c r="R24" s="125">
        <f t="shared" ref="R24:R25" si="9">I5/$I$7</f>
        <v>1.0117851286619395</v>
      </c>
      <c r="S24" s="125">
        <f t="shared" ref="S24:S25" si="10">J5/$J$7</f>
        <v>0.90161868164054071</v>
      </c>
      <c r="T24" s="125">
        <f t="shared" ref="T24:T25" si="11">K5/$K$7</f>
        <v>1.1567961489254921</v>
      </c>
    </row>
    <row r="25" spans="1:20" ht="30">
      <c r="A25" s="325" t="s">
        <v>68</v>
      </c>
      <c r="B25" s="11">
        <f>((B14/B7)^(1/7)-1)*100</f>
        <v>0</v>
      </c>
      <c r="C25" s="11">
        <f t="shared" ref="C25:K25" si="12">((C14/C7)^(1/7)-1)*100</f>
        <v>0.38206577719135382</v>
      </c>
      <c r="D25" s="11">
        <f t="shared" si="12"/>
        <v>-0.22372843086294614</v>
      </c>
      <c r="E25" s="11">
        <f t="shared" si="12"/>
        <v>3.0049913793592786</v>
      </c>
      <c r="F25" s="11">
        <f t="shared" ref="F25:H25" si="13">((F14/F7)^(1/7)-1)*100</f>
        <v>4.3652551988579091</v>
      </c>
      <c r="G25" s="11">
        <f t="shared" si="13"/>
        <v>8.0572248319582549</v>
      </c>
      <c r="H25" s="11">
        <f t="shared" si="13"/>
        <v>-1.0304748104687511</v>
      </c>
      <c r="I25" s="11">
        <f t="shared" si="12"/>
        <v>-0.8925622000677591</v>
      </c>
      <c r="J25" s="11">
        <f t="shared" si="12"/>
        <v>0.92873447947847687</v>
      </c>
      <c r="K25" s="11">
        <f t="shared" si="12"/>
        <v>-0.56863308114964983</v>
      </c>
      <c r="M25" s="125">
        <v>1999</v>
      </c>
      <c r="N25" s="125">
        <f t="shared" si="5"/>
        <v>1</v>
      </c>
      <c r="O25" s="125">
        <f t="shared" si="6"/>
        <v>0.87754136646696534</v>
      </c>
      <c r="P25" s="125">
        <f t="shared" si="7"/>
        <v>0.92549790295244394</v>
      </c>
      <c r="Q25" s="125">
        <f t="shared" si="8"/>
        <v>0.83270528086693907</v>
      </c>
      <c r="R25" s="125">
        <f t="shared" si="9"/>
        <v>0.88947908479705218</v>
      </c>
      <c r="S25" s="125">
        <f t="shared" si="10"/>
        <v>0.80280273825056558</v>
      </c>
      <c r="T25" s="125">
        <f t="shared" si="11"/>
        <v>0.98661318892191818</v>
      </c>
    </row>
    <row r="26" spans="1:20" ht="30">
      <c r="A26" s="115" t="s">
        <v>69</v>
      </c>
      <c r="B26" s="11">
        <f>((B20/B14)^(1/6)-1)*100</f>
        <v>0</v>
      </c>
      <c r="C26" s="11">
        <f t="shared" ref="C26:K26" si="14">((C20/C14)^(1/6)-1)*100</f>
        <v>0.23853844964834003</v>
      </c>
      <c r="D26" s="11">
        <f t="shared" si="14"/>
        <v>0.15684452534583393</v>
      </c>
      <c r="E26" s="11">
        <f t="shared" si="14"/>
        <v>0.7394393622432327</v>
      </c>
      <c r="F26" s="11">
        <f t="shared" ref="F26:H26" si="15">((F20/F14)^(1/6)-1)*100</f>
        <v>5.0743186099411419</v>
      </c>
      <c r="G26" s="11">
        <f t="shared" si="15"/>
        <v>2.5779427689781809</v>
      </c>
      <c r="H26" s="11">
        <f t="shared" si="15"/>
        <v>-1.2291860913854924</v>
      </c>
      <c r="I26" s="11">
        <f t="shared" si="14"/>
        <v>-0.27818794584896223</v>
      </c>
      <c r="J26" s="11">
        <f t="shared" si="14"/>
        <v>-3.5889698701798367</v>
      </c>
      <c r="K26" s="11">
        <f t="shared" si="14"/>
        <v>1.7347479559206125</v>
      </c>
      <c r="M26" s="125">
        <v>2000</v>
      </c>
      <c r="N26" s="125">
        <f>B7/$B$7</f>
        <v>1</v>
      </c>
      <c r="O26" s="125">
        <f>C7/$C$7</f>
        <v>1</v>
      </c>
      <c r="P26" s="125">
        <f>D7/$D$7</f>
        <v>1</v>
      </c>
      <c r="Q26" s="125">
        <f>E7/$E$7</f>
        <v>1</v>
      </c>
      <c r="R26" s="125">
        <f>I7/$I$7</f>
        <v>1</v>
      </c>
      <c r="S26" s="125">
        <f>J7/$J$7</f>
        <v>1</v>
      </c>
      <c r="T26" s="125">
        <f>K7/$K$7</f>
        <v>1</v>
      </c>
    </row>
    <row r="27" spans="1:20" s="259" customFormat="1" ht="30">
      <c r="A27" s="325" t="s">
        <v>15</v>
      </c>
      <c r="B27" s="11">
        <f>((B20/B7)^(1/13)-1)*100</f>
        <v>0</v>
      </c>
      <c r="C27" s="11">
        <f t="shared" ref="C27:K27" si="16">((C20/C7)^(1/13)-1)*100</f>
        <v>0.31579687621205998</v>
      </c>
      <c r="D27" s="11">
        <f t="shared" si="16"/>
        <v>-4.8259399182548623E-2</v>
      </c>
      <c r="E27" s="11">
        <f t="shared" si="16"/>
        <v>1.9530892786141951</v>
      </c>
      <c r="F27" s="11">
        <f t="shared" ref="F27:H27" si="17">((F20/F7)^(1/13)-1)*100</f>
        <v>4.691918697535824</v>
      </c>
      <c r="G27" s="11">
        <f t="shared" si="17"/>
        <v>5.4928732917778778</v>
      </c>
      <c r="H27" s="11">
        <f t="shared" si="17"/>
        <v>-1.1222373369972782</v>
      </c>
      <c r="I27" s="11">
        <f t="shared" si="16"/>
        <v>-0.60947660527671532</v>
      </c>
      <c r="J27" s="11">
        <f t="shared" si="16"/>
        <v>-1.1820812897181621</v>
      </c>
      <c r="K27" s="11">
        <f t="shared" si="16"/>
        <v>0.48791307182696197</v>
      </c>
    </row>
    <row r="28" spans="1:20">
      <c r="A28" s="115"/>
      <c r="M28" s="125">
        <v>2002</v>
      </c>
      <c r="N28" s="125">
        <f>B9/$B$7</f>
        <v>1</v>
      </c>
      <c r="O28" s="125">
        <f>C9/$C$7</f>
        <v>1.0112025646754248</v>
      </c>
      <c r="P28" s="125">
        <f>D9/$D$7</f>
        <v>1.1072666666887856</v>
      </c>
      <c r="Q28" s="125">
        <f>E9/$E$7</f>
        <v>1.0608327428485118</v>
      </c>
      <c r="R28" s="125">
        <f>I9/$I$7</f>
        <v>0.96380255457531216</v>
      </c>
      <c r="S28" s="125">
        <f>J9/$J$7</f>
        <v>0.93768323672765153</v>
      </c>
      <c r="T28" s="125">
        <f>K9/$K$7</f>
        <v>1.061807696383779</v>
      </c>
    </row>
    <row r="29" spans="1:20" s="237" customFormat="1">
      <c r="A29" s="231" t="s">
        <v>144</v>
      </c>
    </row>
    <row r="30" spans="1:20">
      <c r="A30" s="53" t="s">
        <v>41</v>
      </c>
      <c r="M30" s="125">
        <v>2003</v>
      </c>
      <c r="N30" s="125">
        <f>B10/$B$7</f>
        <v>1</v>
      </c>
      <c r="O30" s="125">
        <f>C10/$C$7</f>
        <v>1.0544454400105014</v>
      </c>
      <c r="P30" s="125">
        <f>D10/$D$7</f>
        <v>1.0347200748502665</v>
      </c>
      <c r="Q30" s="125">
        <f>E10/$E$7</f>
        <v>1.1207111369559699</v>
      </c>
      <c r="R30" s="125">
        <f>I10/$I$7</f>
        <v>1.0183165289708409</v>
      </c>
      <c r="S30" s="125">
        <f>J10/$J$7</f>
        <v>1.003859480243624</v>
      </c>
      <c r="T30" s="125">
        <f>K10/$K$7</f>
        <v>1.1262252060195577</v>
      </c>
    </row>
    <row r="31" spans="1:20">
      <c r="A31" s="229" t="s">
        <v>311</v>
      </c>
      <c r="M31" s="125">
        <v>2004</v>
      </c>
      <c r="N31" s="125">
        <f>B11/$B$7</f>
        <v>1</v>
      </c>
      <c r="O31" s="125">
        <f>C11/$C$7</f>
        <v>1.0493238721096798</v>
      </c>
      <c r="P31" s="125">
        <f>D11/$D$7</f>
        <v>1.0386794451057171</v>
      </c>
      <c r="Q31" s="125">
        <f>E11/$E$7</f>
        <v>1.1175446292924625</v>
      </c>
      <c r="R31" s="125">
        <f>I11/$I$7</f>
        <v>1.0088263596316722</v>
      </c>
      <c r="S31" s="125">
        <f>J11/$J$7</f>
        <v>1.0526706408083182</v>
      </c>
      <c r="T31" s="125">
        <f>K11/$K$7</f>
        <v>1.0616032851886825</v>
      </c>
    </row>
    <row r="32" spans="1:20">
      <c r="M32" s="125">
        <v>2008</v>
      </c>
      <c r="N32" s="125">
        <f t="shared" ref="N32:N37" si="18">B15/$B$7</f>
        <v>1</v>
      </c>
      <c r="O32" s="125">
        <f t="shared" ref="O32:O37" si="19">C15/$C$7</f>
        <v>1.0388130243881775</v>
      </c>
      <c r="P32" s="125">
        <f t="shared" ref="P32:P37" si="20">D15/$D$7</f>
        <v>1.0076386935253325</v>
      </c>
      <c r="Q32" s="125">
        <f t="shared" ref="Q32:Q37" si="21">E15/$E$7</f>
        <v>1.2302137759520264</v>
      </c>
      <c r="R32" s="125">
        <f t="shared" ref="R32:R37" si="22">I15/$I$7</f>
        <v>0.9437395028754505</v>
      </c>
      <c r="S32" s="125">
        <f t="shared" ref="S32:S37" si="23">J15/$J$7</f>
        <v>1.1733709203447342</v>
      </c>
      <c r="T32" s="125">
        <f t="shared" ref="T32:T37" si="24">K15/$K$7</f>
        <v>0.9257725343468155</v>
      </c>
    </row>
    <row r="33" spans="13:20">
      <c r="M33" s="125">
        <v>2009</v>
      </c>
      <c r="N33" s="125">
        <f t="shared" si="18"/>
        <v>1</v>
      </c>
      <c r="O33" s="125">
        <f t="shared" si="19"/>
        <v>0.97148853949781544</v>
      </c>
      <c r="P33" s="125">
        <f t="shared" si="20"/>
        <v>1.0478564558642947</v>
      </c>
      <c r="Q33" s="125">
        <f t="shared" si="21"/>
        <v>1.1404991981261337</v>
      </c>
      <c r="R33" s="125">
        <f t="shared" si="22"/>
        <v>0.84856057665413565</v>
      </c>
      <c r="S33" s="125">
        <f t="shared" si="23"/>
        <v>0.895099633997263</v>
      </c>
      <c r="T33" s="125">
        <f t="shared" si="24"/>
        <v>0.92294639993296268</v>
      </c>
    </row>
    <row r="34" spans="13:20">
      <c r="M34" s="125">
        <v>2010</v>
      </c>
      <c r="N34" s="125">
        <f t="shared" si="18"/>
        <v>1</v>
      </c>
      <c r="O34" s="125">
        <f t="shared" si="19"/>
        <v>1.0298408895501494</v>
      </c>
      <c r="P34" s="125">
        <f t="shared" si="20"/>
        <v>1.0787655730119632</v>
      </c>
      <c r="Q34" s="125">
        <f t="shared" si="21"/>
        <v>1.1163764165057497</v>
      </c>
      <c r="R34" s="125">
        <f t="shared" si="22"/>
        <v>0.95944674024814047</v>
      </c>
      <c r="S34" s="125">
        <f t="shared" si="23"/>
        <v>1.071917995891922</v>
      </c>
      <c r="T34" s="125">
        <f t="shared" si="24"/>
        <v>1.0079789012605063</v>
      </c>
    </row>
    <row r="35" spans="13:20">
      <c r="M35" s="125">
        <v>2011</v>
      </c>
      <c r="N35" s="125">
        <f t="shared" si="18"/>
        <v>1</v>
      </c>
      <c r="O35" s="125">
        <f t="shared" si="19"/>
        <v>0.97925534724576635</v>
      </c>
      <c r="P35" s="125">
        <f t="shared" si="20"/>
        <v>0.9129453871557569</v>
      </c>
      <c r="Q35" s="125">
        <f t="shared" si="21"/>
        <v>1.0986117333836096</v>
      </c>
      <c r="R35" s="125">
        <f t="shared" si="22"/>
        <v>0.90400294043241525</v>
      </c>
      <c r="S35" s="125">
        <f t="shared" si="23"/>
        <v>0.95669864858897591</v>
      </c>
      <c r="T35" s="125">
        <f t="shared" si="24"/>
        <v>0.97830409712407362</v>
      </c>
    </row>
    <row r="36" spans="13:20">
      <c r="M36" s="125">
        <v>2012</v>
      </c>
      <c r="N36" s="125">
        <f t="shared" si="18"/>
        <v>1</v>
      </c>
      <c r="O36" s="125">
        <f t="shared" si="19"/>
        <v>1.0596463024179739</v>
      </c>
      <c r="P36" s="125">
        <f t="shared" si="20"/>
        <v>0.90810685981690598</v>
      </c>
      <c r="Q36" s="125">
        <f t="shared" si="21"/>
        <v>1.2918529545943429</v>
      </c>
      <c r="R36" s="125">
        <f t="shared" si="22"/>
        <v>0.95028522616217226</v>
      </c>
      <c r="S36" s="125">
        <f t="shared" si="23"/>
        <v>0.85643847211885271</v>
      </c>
      <c r="T36" s="125">
        <f t="shared" si="24"/>
        <v>1.1134707319561852</v>
      </c>
    </row>
    <row r="37" spans="13:20">
      <c r="M37" s="125">
        <v>2013</v>
      </c>
      <c r="N37" s="125">
        <f t="shared" si="18"/>
        <v>1</v>
      </c>
      <c r="O37" s="125">
        <f t="shared" si="19"/>
        <v>1.0418405484215019</v>
      </c>
      <c r="P37" s="125">
        <f t="shared" si="20"/>
        <v>0.99374441196309393</v>
      </c>
      <c r="Q37" s="125">
        <f t="shared" si="21"/>
        <v>1.2858936989084375</v>
      </c>
      <c r="R37" s="125">
        <f t="shared" si="22"/>
        <v>0.92360166906551844</v>
      </c>
      <c r="S37" s="125">
        <f t="shared" si="23"/>
        <v>0.8567697683997173</v>
      </c>
      <c r="T37" s="125">
        <f t="shared" si="24"/>
        <v>1.065319189140733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8"/>
  <sheetViews>
    <sheetView view="pageBreakPreview" zoomScaleNormal="100" zoomScaleSheetLayoutView="100" workbookViewId="0">
      <selection activeCell="AD6" sqref="AD6"/>
    </sheetView>
  </sheetViews>
  <sheetFormatPr defaultRowHeight="15"/>
  <cols>
    <col min="1" max="12" width="9.140625" style="145"/>
    <col min="13" max="24" width="0" style="145" hidden="1" customWidth="1"/>
    <col min="25" max="16384" width="9.140625" style="145"/>
  </cols>
  <sheetData>
    <row r="1" spans="1:35" ht="39.75" customHeight="1">
      <c r="A1" s="454" t="s">
        <v>192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35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35">
      <c r="A3" s="115"/>
      <c r="B3" s="9"/>
      <c r="C3" s="9"/>
      <c r="D3" s="9"/>
      <c r="E3" s="9"/>
      <c r="F3" s="9"/>
      <c r="G3" s="9"/>
      <c r="H3" s="9"/>
      <c r="I3" s="9"/>
      <c r="J3" s="9"/>
      <c r="K3" s="9"/>
    </row>
    <row r="4" spans="1:35">
      <c r="A4" s="115">
        <v>1997</v>
      </c>
      <c r="B4" s="11">
        <f>'3A'!B4/'3A'!B$14*100</f>
        <v>86.99098888063584</v>
      </c>
      <c r="C4" s="11" t="s">
        <v>10</v>
      </c>
      <c r="D4" s="11">
        <f>'3A'!D4/'3A'!D$14*100</f>
        <v>50.745754015679644</v>
      </c>
      <c r="E4" s="11">
        <f>'3A'!E4/'3A'!E$14*100</f>
        <v>63.483804920262664</v>
      </c>
      <c r="F4" s="11">
        <f>'3A'!F4/'3A'!F$14*100</f>
        <v>63.81752071000524</v>
      </c>
      <c r="G4" s="11">
        <f>'3A'!G4/'3A'!G$14*100</f>
        <v>42.207943101137396</v>
      </c>
      <c r="H4" s="11">
        <f>'3A'!H4/'3A'!H$14*100</f>
        <v>73.131814049060225</v>
      </c>
      <c r="I4" s="11" t="s">
        <v>10</v>
      </c>
      <c r="J4" s="11" t="s">
        <v>10</v>
      </c>
      <c r="K4" s="11" t="s">
        <v>10</v>
      </c>
      <c r="N4" s="145" t="s">
        <v>24</v>
      </c>
      <c r="Z4" s="259"/>
      <c r="AA4" s="259"/>
      <c r="AB4" s="259"/>
      <c r="AC4" s="259"/>
      <c r="AD4" s="259"/>
      <c r="AE4" s="259"/>
      <c r="AF4" s="259"/>
      <c r="AG4" s="259"/>
      <c r="AH4" s="259"/>
      <c r="AI4" s="259"/>
    </row>
    <row r="5" spans="1:35">
      <c r="A5" s="115">
        <v>1998</v>
      </c>
      <c r="B5" s="11">
        <f>'3A'!B5/'3A'!B$14*100</f>
        <v>87.960793200961078</v>
      </c>
      <c r="C5" s="11">
        <f>'3A'!C5/'3A'!C$14*100</f>
        <v>73.804765159358098</v>
      </c>
      <c r="D5" s="11">
        <f>'3A'!D5/'3A'!D$14*100</f>
        <v>51.869350377422286</v>
      </c>
      <c r="E5" s="11">
        <f>'3A'!E5/'3A'!E$14*100</f>
        <v>68.203284772214644</v>
      </c>
      <c r="F5" s="11">
        <f>'3A'!F5/'3A'!F$14*100</f>
        <v>70.866489383795397</v>
      </c>
      <c r="G5" s="11">
        <f>'3A'!G5/'3A'!G$14*100</f>
        <v>41.854697948543581</v>
      </c>
      <c r="H5" s="11">
        <f>'3A'!H5/'3A'!H$14*100</f>
        <v>75.388912238929237</v>
      </c>
      <c r="I5" s="11">
        <f>'3A'!I5/'3A'!I$14*100</f>
        <v>86.971586439669736</v>
      </c>
      <c r="J5" s="11">
        <f>'3A'!J5/'3A'!J$14*100</f>
        <v>80.341681305084379</v>
      </c>
      <c r="K5" s="11">
        <f>'3A'!K5/'3A'!K$14*100</f>
        <v>105.5243706320838</v>
      </c>
      <c r="N5" s="145" t="s">
        <v>2</v>
      </c>
      <c r="O5" s="145" t="s">
        <v>8</v>
      </c>
      <c r="P5" s="145" t="s">
        <v>20</v>
      </c>
      <c r="Q5" s="145" t="s">
        <v>4</v>
      </c>
      <c r="R5" s="145" t="s">
        <v>5</v>
      </c>
      <c r="S5" s="145" t="s">
        <v>6</v>
      </c>
      <c r="T5" s="145" t="s">
        <v>7</v>
      </c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</row>
    <row r="6" spans="1:35">
      <c r="A6" s="115">
        <v>1999</v>
      </c>
      <c r="B6" s="11">
        <f>'3A'!B6/'3A'!B$14*100</f>
        <v>90.656620626411936</v>
      </c>
      <c r="C6" s="11">
        <f>'3A'!C6/'3A'!C$14*100</f>
        <v>74.902534119639498</v>
      </c>
      <c r="D6" s="11">
        <f>'3A'!D6/'3A'!D$14*100</f>
        <v>54.614584174679138</v>
      </c>
      <c r="E6" s="11">
        <f>'3A'!E6/'3A'!E$14*100</f>
        <v>66.722467461962282</v>
      </c>
      <c r="F6" s="11">
        <f>'3A'!F6/'3A'!F$14*100</f>
        <v>62.446099602936876</v>
      </c>
      <c r="G6" s="11">
        <f>'3A'!G6/'3A'!G$14*100</f>
        <v>47.129843895535615</v>
      </c>
      <c r="H6" s="11">
        <f>'3A'!H6/'3A'!H$14*100</f>
        <v>87.643778657772003</v>
      </c>
      <c r="I6" s="11">
        <f>'3A'!I6/'3A'!I$14*100</f>
        <v>92.066160811517335</v>
      </c>
      <c r="J6" s="11">
        <f>'3A'!J6/'3A'!J$14*100</f>
        <v>85.44797187114105</v>
      </c>
      <c r="K6" s="11">
        <f>'3A'!K6/'3A'!K$14*100</f>
        <v>113.05272653640293</v>
      </c>
      <c r="M6" s="145">
        <v>1998</v>
      </c>
      <c r="N6" s="145">
        <f>((B5/B4)-1)*100</f>
        <v>1.1148330796146633</v>
      </c>
      <c r="O6" s="145" t="e">
        <f>((C5/C4)-1)*100</f>
        <v>#VALUE!</v>
      </c>
      <c r="P6" s="145">
        <f>((D5/D4)-1)*100</f>
        <v>2.2141682265583551</v>
      </c>
      <c r="Q6" s="145">
        <f>((E5/E4)-1)*100</f>
        <v>7.4341477450505344</v>
      </c>
      <c r="R6" s="145" t="e">
        <f t="shared" ref="R6:T21" si="0">((I5/I4)-1)*100</f>
        <v>#VALUE!</v>
      </c>
      <c r="S6" s="145" t="e">
        <f t="shared" si="0"/>
        <v>#VALUE!</v>
      </c>
      <c r="T6" s="145" t="e">
        <f t="shared" si="0"/>
        <v>#VALUE!</v>
      </c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</row>
    <row r="7" spans="1:35">
      <c r="A7" s="115">
        <v>2000</v>
      </c>
      <c r="B7" s="11">
        <f>'3A'!B7/'3A'!B$14*100</f>
        <v>93.778366734359309</v>
      </c>
      <c r="C7" s="11">
        <f>'3A'!C7/'3A'!C$14*100</f>
        <v>77.51919566878739</v>
      </c>
      <c r="D7" s="11">
        <f>'3A'!D7/'3A'!D$14*100</f>
        <v>76.18477766213104</v>
      </c>
      <c r="E7" s="11">
        <f>'3A'!E7/'3A'!E$14*100</f>
        <v>65.260836679215544</v>
      </c>
      <c r="F7" s="11">
        <f>'3A'!F7/'3A'!F$14*100</f>
        <v>64.121495380206127</v>
      </c>
      <c r="G7" s="11">
        <f>'3A'!G7/'3A'!G$14*100</f>
        <v>47.019104964143587</v>
      </c>
      <c r="H7" s="11">
        <f>'3A'!H7/'3A'!H$14*100</f>
        <v>80.683010896777887</v>
      </c>
      <c r="I7" s="11">
        <f>'3A'!I7/'3A'!I$14*100</f>
        <v>92.275337973371109</v>
      </c>
      <c r="J7" s="11">
        <f>'3A'!J7/'3A'!J$14*100</f>
        <v>90.485828097284028</v>
      </c>
      <c r="K7" s="11">
        <f>'3A'!K7/'3A'!K$14*100</f>
        <v>92.061430311242688</v>
      </c>
      <c r="M7" s="145">
        <v>1999</v>
      </c>
      <c r="N7" s="145">
        <f t="shared" ref="N7:Q21" si="1">((B6/B5)-1)*100</f>
        <v>3.0648057246275506</v>
      </c>
      <c r="O7" s="145">
        <f t="shared" si="1"/>
        <v>1.4873957771034396</v>
      </c>
      <c r="P7" s="145">
        <f t="shared" si="1"/>
        <v>5.2925933663742208</v>
      </c>
      <c r="Q7" s="145">
        <f t="shared" si="1"/>
        <v>-2.1711818062692956</v>
      </c>
      <c r="R7" s="145">
        <f t="shared" si="0"/>
        <v>5.8577457079980855</v>
      </c>
      <c r="S7" s="145">
        <f t="shared" si="0"/>
        <v>6.3557178330216457</v>
      </c>
      <c r="T7" s="145">
        <f t="shared" si="0"/>
        <v>7.1342343566938915</v>
      </c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</row>
    <row r="8" spans="1:35">
      <c r="A8" s="115">
        <v>2001</v>
      </c>
      <c r="B8" s="11">
        <f>'3A'!B8/'3A'!B$14*100</f>
        <v>95.522691785313853</v>
      </c>
      <c r="C8" s="11">
        <f>'3A'!C8/'3A'!C$14*100</f>
        <v>85.546699018836563</v>
      </c>
      <c r="D8" s="11">
        <f>'3A'!D8/'3A'!D$14*100</f>
        <v>89.734479896569752</v>
      </c>
      <c r="E8" s="11">
        <f>'3A'!E8/'3A'!E$14*100</f>
        <v>74.083003855107449</v>
      </c>
      <c r="F8" s="11">
        <f>'3A'!F8/'3A'!F$14*100</f>
        <v>76.119612390061633</v>
      </c>
      <c r="G8" s="11">
        <f>'3A'!G8/'3A'!G$14*100</f>
        <v>51.233496149990401</v>
      </c>
      <c r="H8" s="11">
        <f>'3A'!H8/'3A'!H$14*100</f>
        <v>85.906347080734619</v>
      </c>
      <c r="I8" s="11">
        <f>'3A'!I8/'3A'!I$14*100</f>
        <v>97.670086670776627</v>
      </c>
      <c r="J8" s="11">
        <f>'3A'!J8/'3A'!J$14*100</f>
        <v>95.538447469717312</v>
      </c>
      <c r="K8" s="11">
        <f>'3A'!K8/'3A'!K$14*100</f>
        <v>99.583924066128603</v>
      </c>
      <c r="M8" s="145">
        <v>2000</v>
      </c>
      <c r="N8" s="145">
        <f t="shared" si="1"/>
        <v>3.4434838695475145</v>
      </c>
      <c r="O8" s="145">
        <f t="shared" si="1"/>
        <v>3.4934219247754417</v>
      </c>
      <c r="P8" s="145">
        <f t="shared" si="1"/>
        <v>39.49529931137414</v>
      </c>
      <c r="Q8" s="145">
        <f t="shared" si="1"/>
        <v>-2.1906126052367525</v>
      </c>
      <c r="R8" s="145">
        <f t="shared" si="0"/>
        <v>0.22720308961510227</v>
      </c>
      <c r="S8" s="145">
        <f t="shared" si="0"/>
        <v>5.8958172041113643</v>
      </c>
      <c r="T8" s="145">
        <f t="shared" si="0"/>
        <v>-18.567704528913819</v>
      </c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</row>
    <row r="9" spans="1:35">
      <c r="A9" s="115">
        <v>2002</v>
      </c>
      <c r="B9" s="11">
        <f>'3A'!B9/'3A'!B$14*100</f>
        <v>95.177522710905293</v>
      </c>
      <c r="C9" s="11">
        <f>'3A'!C9/'3A'!C$14*100</f>
        <v>92.80444393195387</v>
      </c>
      <c r="D9" s="11">
        <f>'3A'!D9/'3A'!D$14*100</f>
        <v>94.738503932734019</v>
      </c>
      <c r="E9" s="11">
        <f>'3A'!E9/'3A'!E$14*100</f>
        <v>80.230162712469465</v>
      </c>
      <c r="F9" s="11">
        <f>'3A'!F9/'3A'!F$14*100</f>
        <v>85.992935144936339</v>
      </c>
      <c r="G9" s="11">
        <f>'3A'!G9/'3A'!G$14*100</f>
        <v>55.082710912599666</v>
      </c>
      <c r="H9" s="11">
        <f>'3A'!H9/'3A'!H$14*100</f>
        <v>87.544085551966432</v>
      </c>
      <c r="I9" s="11">
        <f>'3A'!I9/'3A'!I$14*100</f>
        <v>108.64985328184042</v>
      </c>
      <c r="J9" s="11">
        <f>'3A'!J9/'3A'!J$14*100</f>
        <v>106.58814379136405</v>
      </c>
      <c r="K9" s="11">
        <f>'3A'!K9/'3A'!K$14*100</f>
        <v>113.10975931349478</v>
      </c>
      <c r="M9" s="145">
        <v>2001</v>
      </c>
      <c r="N9" s="145">
        <f t="shared" si="1"/>
        <v>1.8600505763718411</v>
      </c>
      <c r="O9" s="145">
        <f t="shared" si="1"/>
        <v>10.355503924921905</v>
      </c>
      <c r="P9" s="145">
        <f t="shared" si="1"/>
        <v>17.785314403002882</v>
      </c>
      <c r="Q9" s="145">
        <f t="shared" si="1"/>
        <v>13.518317607934716</v>
      </c>
      <c r="R9" s="145">
        <f t="shared" si="0"/>
        <v>5.8463602690486338</v>
      </c>
      <c r="S9" s="145">
        <f t="shared" si="0"/>
        <v>5.5838792423948069</v>
      </c>
      <c r="T9" s="145">
        <f t="shared" si="0"/>
        <v>8.1711675882655257</v>
      </c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</row>
    <row r="10" spans="1:35">
      <c r="A10" s="115">
        <v>2003</v>
      </c>
      <c r="B10" s="11">
        <f>'3A'!B10/'3A'!B$14*100</f>
        <v>96.491048247387496</v>
      </c>
      <c r="C10" s="11">
        <f>'3A'!C10/'3A'!C$14*100</f>
        <v>89.85837187979466</v>
      </c>
      <c r="D10" s="11">
        <f>'3A'!D10/'3A'!D$14*100</f>
        <v>85.91081122781722</v>
      </c>
      <c r="E10" s="11">
        <f>'3A'!E10/'3A'!E$14*100</f>
        <v>78.197021729203556</v>
      </c>
      <c r="F10" s="11">
        <f>'3A'!F10/'3A'!F$14*100</f>
        <v>86.51622966032761</v>
      </c>
      <c r="G10" s="11">
        <f>'3A'!G10/'3A'!G$14*100</f>
        <v>54.467346658510095</v>
      </c>
      <c r="H10" s="11">
        <f>'3A'!H10/'3A'!H$14*100</f>
        <v>84.440434961438839</v>
      </c>
      <c r="I10" s="11">
        <f>'3A'!I10/'3A'!I$14*100</f>
        <v>107.70992808493138</v>
      </c>
      <c r="J10" s="11">
        <f>'3A'!J10/'3A'!J$14*100</f>
        <v>104.69755551994521</v>
      </c>
      <c r="K10" s="11">
        <f>'3A'!K10/'3A'!K$14*100</f>
        <v>114.02015001541052</v>
      </c>
      <c r="M10" s="145">
        <v>2002</v>
      </c>
      <c r="N10" s="145">
        <f t="shared" si="1"/>
        <v>-0.36134772582029351</v>
      </c>
      <c r="O10" s="145">
        <f t="shared" si="1"/>
        <v>8.483956711782902</v>
      </c>
      <c r="P10" s="145">
        <f t="shared" si="1"/>
        <v>5.576478564239773</v>
      </c>
      <c r="Q10" s="145">
        <f t="shared" si="1"/>
        <v>8.2976641570645668</v>
      </c>
      <c r="R10" s="145">
        <f t="shared" si="0"/>
        <v>11.241688202933675</v>
      </c>
      <c r="S10" s="145">
        <f t="shared" si="0"/>
        <v>11.56570638762906</v>
      </c>
      <c r="T10" s="145">
        <f t="shared" si="0"/>
        <v>13.58234812918635</v>
      </c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</row>
    <row r="11" spans="1:35">
      <c r="A11" s="115">
        <v>2004</v>
      </c>
      <c r="B11" s="11">
        <f>'3A'!B11/'3A'!B$14*100</f>
        <v>96.569084207662939</v>
      </c>
      <c r="C11" s="11">
        <f>'3A'!C11/'3A'!C$14*100</f>
        <v>89.039042532507992</v>
      </c>
      <c r="D11" s="11">
        <f>'3A'!D11/'3A'!D$14*100</f>
        <v>97.107236410414259</v>
      </c>
      <c r="E11" s="11">
        <f>'3A'!E11/'3A'!E$14*100</f>
        <v>78.868764979790583</v>
      </c>
      <c r="F11" s="11">
        <f>'3A'!F11/'3A'!F$14*100</f>
        <v>72.597377032545438</v>
      </c>
      <c r="G11" s="11">
        <f>'3A'!G11/'3A'!G$14*100</f>
        <v>59.755017315499657</v>
      </c>
      <c r="H11" s="11">
        <f>'3A'!H11/'3A'!H$14*100</f>
        <v>104.89067147673614</v>
      </c>
      <c r="I11" s="11">
        <f>'3A'!I11/'3A'!I$14*100</f>
        <v>99.884902768993413</v>
      </c>
      <c r="J11" s="11">
        <f>'3A'!J11/'3A'!J$14*100</f>
        <v>92.323187315139094</v>
      </c>
      <c r="K11" s="11">
        <f>'3A'!K11/'3A'!K$14*100</f>
        <v>117.56348459110599</v>
      </c>
      <c r="M11" s="145">
        <v>2003</v>
      </c>
      <c r="N11" s="145">
        <f t="shared" si="1"/>
        <v>1.3800795598262638</v>
      </c>
      <c r="O11" s="145">
        <f t="shared" si="1"/>
        <v>-3.174494590279886</v>
      </c>
      <c r="P11" s="145">
        <f t="shared" si="1"/>
        <v>-9.3179566263624114</v>
      </c>
      <c r="Q11" s="145">
        <f t="shared" si="1"/>
        <v>-2.5341354355123524</v>
      </c>
      <c r="R11" s="145">
        <f t="shared" si="0"/>
        <v>-0.86509568905800416</v>
      </c>
      <c r="S11" s="145">
        <f t="shared" si="0"/>
        <v>-1.7737322409136613</v>
      </c>
      <c r="T11" s="145">
        <f t="shared" si="0"/>
        <v>0.80487369740793735</v>
      </c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259"/>
    </row>
    <row r="12" spans="1:35">
      <c r="A12" s="115">
        <v>2005</v>
      </c>
      <c r="B12" s="11">
        <f>'3A'!B12/'3A'!B$14*100</f>
        <v>98.132994058384966</v>
      </c>
      <c r="C12" s="11">
        <f>'3A'!C12/'3A'!C$14*100</f>
        <v>95.638197221927925</v>
      </c>
      <c r="D12" s="11">
        <f>'3A'!D12/'3A'!D$14*100</f>
        <v>106.07647753854887</v>
      </c>
      <c r="E12" s="11">
        <f>'3A'!E12/'3A'!E$14*100</f>
        <v>90.381832880534958</v>
      </c>
      <c r="F12" s="11">
        <f>'3A'!F12/'3A'!F$14*100</f>
        <v>94.132662369150125</v>
      </c>
      <c r="G12" s="11">
        <f>'3A'!G12/'3A'!G$14*100</f>
        <v>77.815220780466746</v>
      </c>
      <c r="H12" s="11">
        <f>'3A'!H12/'3A'!H$14*100</f>
        <v>95.18600012494268</v>
      </c>
      <c r="I12" s="11">
        <f>'3A'!I12/'3A'!I$14*100</f>
        <v>98.845626174618388</v>
      </c>
      <c r="J12" s="11">
        <f>'3A'!J12/'3A'!J$14*100</f>
        <v>91.9819101259978</v>
      </c>
      <c r="K12" s="11">
        <f>'3A'!K12/'3A'!K$14*100</f>
        <v>112.84597893442485</v>
      </c>
      <c r="M12" s="145">
        <v>2004</v>
      </c>
      <c r="N12" s="145">
        <f t="shared" si="1"/>
        <v>8.0873782276014161E-2</v>
      </c>
      <c r="O12" s="145">
        <f t="shared" si="1"/>
        <v>-0.91180079289963079</v>
      </c>
      <c r="P12" s="145">
        <f t="shared" si="1"/>
        <v>13.032614897450445</v>
      </c>
      <c r="Q12" s="145">
        <f t="shared" si="1"/>
        <v>0.85903943108380787</v>
      </c>
      <c r="R12" s="145">
        <f t="shared" si="0"/>
        <v>-7.264906267292071</v>
      </c>
      <c r="S12" s="145">
        <f t="shared" si="0"/>
        <v>-11.819156754284254</v>
      </c>
      <c r="T12" s="145">
        <f t="shared" si="0"/>
        <v>3.1076389350624067</v>
      </c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</row>
    <row r="13" spans="1:35">
      <c r="A13" s="115">
        <v>2006</v>
      </c>
      <c r="B13" s="235">
        <f>'3A'!B13/'3A'!B$14*100</f>
        <v>99.19540099479029</v>
      </c>
      <c r="C13" s="235">
        <f>'3A'!C13/'3A'!C$14*100</f>
        <v>98.325346929139045</v>
      </c>
      <c r="D13" s="235">
        <f>'3A'!D13/'3A'!D$14*100</f>
        <v>101.3230164725955</v>
      </c>
      <c r="E13" s="235">
        <f>'3A'!E13/'3A'!E$14*100</f>
        <v>99.135725099273714</v>
      </c>
      <c r="F13" s="235">
        <f>'3A'!F13/'3A'!F$14*100</f>
        <v>104.9321924381907</v>
      </c>
      <c r="G13" s="235">
        <f>'3A'!G13/'3A'!G$14*100</f>
        <v>86.414240204965807</v>
      </c>
      <c r="H13" s="235">
        <f>'3A'!H13/'3A'!H$14*100</f>
        <v>98.969689729619304</v>
      </c>
      <c r="I13" s="235">
        <f>'3A'!I13/'3A'!I$14*100</f>
        <v>97.931204542343238</v>
      </c>
      <c r="J13" s="235">
        <f>'3A'!J13/'3A'!J$14*100</f>
        <v>90.600437981125253</v>
      </c>
      <c r="K13" s="235">
        <f>'3A'!K13/'3A'!K$14*100</f>
        <v>112.75159912914177</v>
      </c>
      <c r="M13" s="145">
        <v>2005</v>
      </c>
      <c r="N13" s="145">
        <f t="shared" si="1"/>
        <v>1.6194725916204966</v>
      </c>
      <c r="O13" s="145">
        <f t="shared" si="1"/>
        <v>7.4115292592130011</v>
      </c>
      <c r="P13" s="145">
        <f t="shared" si="1"/>
        <v>9.2364291886827043</v>
      </c>
      <c r="Q13" s="145">
        <f t="shared" si="1"/>
        <v>14.597753500634237</v>
      </c>
      <c r="R13" s="145">
        <f t="shared" si="0"/>
        <v>-1.0404741513125204</v>
      </c>
      <c r="S13" s="145">
        <f t="shared" si="0"/>
        <v>-0.36965490367697473</v>
      </c>
      <c r="T13" s="145">
        <f t="shared" si="0"/>
        <v>-4.0127303754979309</v>
      </c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</row>
    <row r="14" spans="1:35">
      <c r="A14" s="115">
        <v>2007</v>
      </c>
      <c r="B14" s="11">
        <f>'3A'!B14/'3A'!B$14*100</f>
        <v>100</v>
      </c>
      <c r="C14" s="11">
        <f>'3A'!C14/'3A'!C$14*100</f>
        <v>100</v>
      </c>
      <c r="D14" s="11">
        <f>'3A'!D14/'3A'!D$14*100</f>
        <v>100</v>
      </c>
      <c r="E14" s="11">
        <f>'3A'!E14/'3A'!E$14*100</f>
        <v>100</v>
      </c>
      <c r="F14" s="11">
        <f>'3A'!F14/'3A'!F$14*100</f>
        <v>100</v>
      </c>
      <c r="G14" s="11">
        <f>'3A'!G14/'3A'!G$14*100</f>
        <v>100</v>
      </c>
      <c r="H14" s="11">
        <f>'3A'!H14/'3A'!H$14*100</f>
        <v>100</v>
      </c>
      <c r="I14" s="11">
        <f>'3A'!I14/'3A'!I$14*100</f>
        <v>100</v>
      </c>
      <c r="J14" s="11">
        <f>'3A'!J14/'3A'!J$14*100</f>
        <v>100</v>
      </c>
      <c r="K14" s="11">
        <f>'3A'!K14/'3A'!K$14*100</f>
        <v>100</v>
      </c>
      <c r="M14" s="145">
        <v>2006</v>
      </c>
      <c r="N14" s="145">
        <f t="shared" si="1"/>
        <v>1.082619506924698</v>
      </c>
      <c r="O14" s="145">
        <f t="shared" si="1"/>
        <v>2.8097034294525702</v>
      </c>
      <c r="P14" s="145">
        <f t="shared" si="1"/>
        <v>-4.4811641338919239</v>
      </c>
      <c r="Q14" s="145">
        <f t="shared" si="1"/>
        <v>9.6854555166075116</v>
      </c>
      <c r="R14" s="145">
        <f t="shared" si="0"/>
        <v>-0.92510075322883578</v>
      </c>
      <c r="S14" s="145">
        <f t="shared" si="0"/>
        <v>-1.5018954737732626</v>
      </c>
      <c r="T14" s="145">
        <f t="shared" si="0"/>
        <v>-8.3635948905125268E-2</v>
      </c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</row>
    <row r="15" spans="1:35">
      <c r="A15" s="115">
        <v>2008</v>
      </c>
      <c r="B15" s="11">
        <f>'3A'!B15/'3A'!B$14*100</f>
        <v>99.574467202895391</v>
      </c>
      <c r="C15" s="11">
        <f>'3A'!C15/'3A'!C$14*100</f>
        <v>101.8844299294818</v>
      </c>
      <c r="D15" s="11">
        <f>'3A'!D15/'3A'!D$14*100</f>
        <v>95.801367502037209</v>
      </c>
      <c r="E15" s="11">
        <f>'3A'!E15/'3A'!E$14*100</f>
        <v>104.73780718862066</v>
      </c>
      <c r="F15" s="11">
        <f>'3A'!F15/'3A'!F$14*100</f>
        <v>110.09213577514336</v>
      </c>
      <c r="G15" s="11">
        <f>'3A'!G15/'3A'!G$14*100</f>
        <v>111.23715858970496</v>
      </c>
      <c r="H15" s="11">
        <f>'3A'!H15/'3A'!H$14*100</f>
        <v>97.930725336081423</v>
      </c>
      <c r="I15" s="11">
        <f>'3A'!I15/'3A'!I$14*100</f>
        <v>102.84676450940766</v>
      </c>
      <c r="J15" s="11">
        <f>'3A'!J15/'3A'!J$14*100</f>
        <v>100.88025140422148</v>
      </c>
      <c r="K15" s="11">
        <f>'3A'!K15/'3A'!K$14*100</f>
        <v>107.03532105232398</v>
      </c>
      <c r="M15" s="145">
        <v>2007</v>
      </c>
      <c r="N15" s="145">
        <f t="shared" si="1"/>
        <v>0.81112531139619914</v>
      </c>
      <c r="O15" s="145">
        <f t="shared" si="1"/>
        <v>1.703175349147612</v>
      </c>
      <c r="P15" s="145">
        <f t="shared" si="1"/>
        <v>-1.3057413001056228</v>
      </c>
      <c r="Q15" s="145">
        <f t="shared" si="1"/>
        <v>0.87180973343445878</v>
      </c>
      <c r="R15" s="145">
        <f t="shared" si="0"/>
        <v>2.112498735540691</v>
      </c>
      <c r="S15" s="145">
        <f t="shared" si="0"/>
        <v>10.374742361436429</v>
      </c>
      <c r="T15" s="145">
        <f t="shared" si="0"/>
        <v>-11.309461885801309</v>
      </c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</row>
    <row r="16" spans="1:35">
      <c r="A16" s="115">
        <v>2009</v>
      </c>
      <c r="B16" s="11">
        <f>'3A'!B16/'3A'!B$14*100</f>
        <v>101.22428304341638</v>
      </c>
      <c r="C16" s="11">
        <f>'3A'!C16/'3A'!C$14*100</f>
        <v>100.14558613648265</v>
      </c>
      <c r="D16" s="11">
        <f>'3A'!D16/'3A'!D$14*100</f>
        <v>90.778622591660223</v>
      </c>
      <c r="E16" s="11">
        <f>'3A'!E16/'3A'!E$14*100</f>
        <v>99.617687386503036</v>
      </c>
      <c r="F16" s="11">
        <f>'3A'!F16/'3A'!F$14*100</f>
        <v>116.54817092824963</v>
      </c>
      <c r="G16" s="11">
        <f>'3A'!G16/'3A'!G$14*100</f>
        <v>108.99843865211297</v>
      </c>
      <c r="H16" s="11">
        <f>'3A'!H16/'3A'!H$14*100</f>
        <v>84.026640779324907</v>
      </c>
      <c r="I16" s="11">
        <f>'3A'!I16/'3A'!I$14*100</f>
        <v>106.82145205456888</v>
      </c>
      <c r="J16" s="11">
        <f>'3A'!J16/'3A'!J$14*100</f>
        <v>103.31808749275022</v>
      </c>
      <c r="K16" s="11">
        <f>'3A'!K16/'3A'!K$14*100</f>
        <v>114.97833397481745</v>
      </c>
      <c r="M16" s="145">
        <v>2008</v>
      </c>
      <c r="N16" s="145">
        <f t="shared" si="1"/>
        <v>-0.42553279710461078</v>
      </c>
      <c r="O16" s="145">
        <f t="shared" si="1"/>
        <v>1.8844299294817901</v>
      </c>
      <c r="P16" s="145">
        <f t="shared" si="1"/>
        <v>-4.1986324979627954</v>
      </c>
      <c r="Q16" s="145">
        <f t="shared" si="1"/>
        <v>4.7378071886206685</v>
      </c>
      <c r="R16" s="145">
        <f t="shared" si="0"/>
        <v>2.8467645094076621</v>
      </c>
      <c r="S16" s="145">
        <f t="shared" si="0"/>
        <v>0.88025140422147707</v>
      </c>
      <c r="T16" s="145">
        <f t="shared" si="0"/>
        <v>7.035321052323984</v>
      </c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</row>
    <row r="17" spans="1:35">
      <c r="A17" s="115">
        <v>2010</v>
      </c>
      <c r="B17" s="11">
        <f>'3A'!B17/'3A'!B$14*100</f>
        <v>101.10122899507088</v>
      </c>
      <c r="C17" s="11">
        <f>'3A'!C17/'3A'!C$14*100</f>
        <v>104.78740248315599</v>
      </c>
      <c r="D17" s="11">
        <f>'3A'!D17/'3A'!D$14*100</f>
        <v>141.61915330012772</v>
      </c>
      <c r="E17" s="11">
        <f>'3A'!E17/'3A'!E$14*100</f>
        <v>93.83993424038421</v>
      </c>
      <c r="F17" s="11">
        <f>'3A'!F17/'3A'!F$14*100</f>
        <v>116.88181899324704</v>
      </c>
      <c r="G17" s="11">
        <f>'3A'!G17/'3A'!G$14*100</f>
        <v>74.148074062978779</v>
      </c>
      <c r="H17" s="11">
        <f>'3A'!H17/'3A'!H$14*100</f>
        <v>84.051927953396813</v>
      </c>
      <c r="I17" s="11">
        <f>'3A'!I17/'3A'!I$14*100</f>
        <v>105.04255220757881</v>
      </c>
      <c r="J17" s="11">
        <f>'3A'!J17/'3A'!J$14*100</f>
        <v>111.28457929787956</v>
      </c>
      <c r="K17" s="11">
        <f>'3A'!K17/'3A'!K$14*100</f>
        <v>97.860147940066341</v>
      </c>
      <c r="M17" s="145">
        <v>2009</v>
      </c>
      <c r="N17" s="145">
        <f t="shared" si="1"/>
        <v>1.6568663502454672</v>
      </c>
      <c r="O17" s="145">
        <f t="shared" si="1"/>
        <v>-1.7066825561105614</v>
      </c>
      <c r="P17" s="145">
        <f t="shared" si="1"/>
        <v>-5.2428739185483746</v>
      </c>
      <c r="Q17" s="145">
        <f t="shared" si="1"/>
        <v>-4.8885115504632264</v>
      </c>
      <c r="R17" s="145">
        <f t="shared" si="0"/>
        <v>3.8646695052790392</v>
      </c>
      <c r="S17" s="145">
        <f t="shared" si="0"/>
        <v>2.4165642478035432</v>
      </c>
      <c r="T17" s="145">
        <f t="shared" si="0"/>
        <v>7.4209268906761494</v>
      </c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</row>
    <row r="18" spans="1:35">
      <c r="A18" s="115">
        <v>2011</v>
      </c>
      <c r="B18" s="11">
        <f>'3A'!B18/'3A'!B$14*100</f>
        <v>102.46742232318333</v>
      </c>
      <c r="C18" s="11">
        <f>'3A'!C18/'3A'!C$14*100</f>
        <v>108.59246433019109</v>
      </c>
      <c r="D18" s="11">
        <f>'3A'!D18/'3A'!D$14*100</f>
        <v>112.12660917234712</v>
      </c>
      <c r="E18" s="11">
        <f>'3A'!E18/'3A'!E$14*100</f>
        <v>100.28380490894844</v>
      </c>
      <c r="F18" s="11">
        <f>'3A'!F18/'3A'!F$14*100</f>
        <v>127.47898353487652</v>
      </c>
      <c r="G18" s="11">
        <f>'3A'!G18/'3A'!G$14*100</f>
        <v>79.077295393898154</v>
      </c>
      <c r="H18" s="11">
        <f>'3A'!H18/'3A'!H$14*100</f>
        <v>89.070288017537493</v>
      </c>
      <c r="I18" s="11">
        <f>'3A'!I18/'3A'!I$14*100</f>
        <v>120.7379688461743</v>
      </c>
      <c r="J18" s="11">
        <f>'3A'!J18/'3A'!J$14*100</f>
        <v>128.78255497152568</v>
      </c>
      <c r="K18" s="11">
        <f>'3A'!K18/'3A'!K$14*100</f>
        <v>109.95209936184118</v>
      </c>
      <c r="M18" s="145">
        <v>2010</v>
      </c>
      <c r="N18" s="145">
        <f t="shared" si="1"/>
        <v>-0.1215657396088643</v>
      </c>
      <c r="O18" s="145">
        <f t="shared" si="1"/>
        <v>4.635068329768699</v>
      </c>
      <c r="P18" s="145">
        <f t="shared" si="1"/>
        <v>56.004959380313601</v>
      </c>
      <c r="Q18" s="145">
        <f t="shared" si="1"/>
        <v>-5.7999269986081181</v>
      </c>
      <c r="R18" s="145">
        <f t="shared" si="0"/>
        <v>-1.6653020650583716</v>
      </c>
      <c r="S18" s="145">
        <f t="shared" si="0"/>
        <v>7.710645830226337</v>
      </c>
      <c r="T18" s="145">
        <f t="shared" si="0"/>
        <v>-14.888184097797353</v>
      </c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</row>
    <row r="19" spans="1:35">
      <c r="A19" s="115">
        <v>2012</v>
      </c>
      <c r="B19" s="11">
        <f>'3A'!B19/'3A'!B$14*100</f>
        <v>102.86004384125056</v>
      </c>
      <c r="C19" s="11">
        <f>'3A'!C19/'3A'!C$14*100</f>
        <v>117.18959146579324</v>
      </c>
      <c r="D19" s="11">
        <f>'3A'!D19/'3A'!D$14*100</f>
        <v>148.01931437806695</v>
      </c>
      <c r="E19" s="11">
        <f>'3A'!E19/'3A'!E$14*100</f>
        <v>113.29111935789125</v>
      </c>
      <c r="F19" s="11">
        <f>'3A'!F19/'3A'!F$14*100</f>
        <v>191.76340820282053</v>
      </c>
      <c r="G19" s="11">
        <f>'3A'!G19/'3A'!G$14*100</f>
        <v>77.158401922593612</v>
      </c>
      <c r="H19" s="11">
        <f>'3A'!H19/'3A'!H$14*100</f>
        <v>92.811563845147433</v>
      </c>
      <c r="I19" s="11">
        <f>'3A'!I19/'3A'!I$14*100</f>
        <v>112.90491522334045</v>
      </c>
      <c r="J19" s="11">
        <f>'3A'!J19/'3A'!J$14*100</f>
        <v>118.96261628086997</v>
      </c>
      <c r="K19" s="11">
        <f>'3A'!K19/'3A'!K$14*100</f>
        <v>103.92181028962406</v>
      </c>
      <c r="M19" s="145">
        <v>2011</v>
      </c>
      <c r="N19" s="145">
        <f t="shared" si="1"/>
        <v>1.3513122854115434</v>
      </c>
      <c r="O19" s="145">
        <f t="shared" si="1"/>
        <v>3.6312206972080929</v>
      </c>
      <c r="P19" s="145">
        <f t="shared" si="1"/>
        <v>-20.82525099220036</v>
      </c>
      <c r="Q19" s="145">
        <f t="shared" si="1"/>
        <v>6.8668746634640065</v>
      </c>
      <c r="R19" s="145">
        <f t="shared" si="0"/>
        <v>14.941960480529026</v>
      </c>
      <c r="S19" s="145">
        <f t="shared" si="0"/>
        <v>15.723630159762436</v>
      </c>
      <c r="T19" s="145">
        <f t="shared" si="0"/>
        <v>12.356359229275293</v>
      </c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</row>
    <row r="20" spans="1:35">
      <c r="A20" s="115">
        <v>2013</v>
      </c>
      <c r="B20" s="11">
        <f>'3A'!B20/'3A'!B$14*100</f>
        <v>103.51141941457942</v>
      </c>
      <c r="C20" s="11">
        <f>'3A'!C20/'3A'!C$14*100</f>
        <v>124.71473641807655</v>
      </c>
      <c r="D20" s="11">
        <f>'3A'!D20/'3A'!D$14*100</f>
        <v>177.0918080018063</v>
      </c>
      <c r="E20" s="11">
        <f>'3A'!E20/'3A'!E$14*100</f>
        <v>119.50251046516706</v>
      </c>
      <c r="F20" s="11">
        <f>'3A'!F20/'3A'!F$14*100</f>
        <v>190.27438586711949</v>
      </c>
      <c r="G20" s="11">
        <f>'3A'!G20/'3A'!G$14*100</f>
        <v>93.697577928295345</v>
      </c>
      <c r="H20" s="11">
        <f>'3A'!H20/'3A'!H$14*100</f>
        <v>95.737886336298473</v>
      </c>
      <c r="I20" s="11">
        <f>'3A'!I20/'3A'!I$14*100</f>
        <v>116.7122430272951</v>
      </c>
      <c r="J20" s="11">
        <f>'3A'!J20/'3A'!J$14*100</f>
        <v>124.61496458306183</v>
      </c>
      <c r="K20" s="11">
        <f>'3A'!K20/'3A'!K$14*100</f>
        <v>105.23178303798049</v>
      </c>
      <c r="M20" s="145">
        <v>2012</v>
      </c>
      <c r="N20" s="145">
        <f t="shared" si="1"/>
        <v>0.38316716588115973</v>
      </c>
      <c r="O20" s="145">
        <f t="shared" si="1"/>
        <v>7.9168726749411888</v>
      </c>
      <c r="P20" s="145">
        <f t="shared" si="1"/>
        <v>32.010871880152926</v>
      </c>
      <c r="Q20" s="145">
        <f t="shared" si="1"/>
        <v>12.970503523228549</v>
      </c>
      <c r="R20" s="145">
        <f t="shared" si="0"/>
        <v>-6.4876473388528755</v>
      </c>
      <c r="S20" s="145">
        <f t="shared" si="0"/>
        <v>-7.6252087814432157</v>
      </c>
      <c r="T20" s="145">
        <f t="shared" si="0"/>
        <v>-5.4844692436222147</v>
      </c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</row>
    <row r="21" spans="1: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 s="145">
        <v>2013</v>
      </c>
      <c r="N21" s="145">
        <f t="shared" si="1"/>
        <v>0.633263946818996</v>
      </c>
      <c r="O21" s="145">
        <f t="shared" si="1"/>
        <v>6.4213424231279514</v>
      </c>
      <c r="P21" s="145">
        <f t="shared" si="1"/>
        <v>19.64101357035284</v>
      </c>
      <c r="Q21" s="145">
        <f t="shared" si="1"/>
        <v>5.4826813809242925</v>
      </c>
      <c r="R21" s="145">
        <f t="shared" si="0"/>
        <v>3.3721541674454736</v>
      </c>
      <c r="S21" s="145">
        <f t="shared" si="0"/>
        <v>4.7513651589897066</v>
      </c>
      <c r="T21" s="145">
        <f t="shared" si="0"/>
        <v>1.260536883167851</v>
      </c>
    </row>
    <row r="22" spans="1: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35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145" t="s">
        <v>27</v>
      </c>
    </row>
    <row r="24" spans="1:35" ht="30">
      <c r="A24" s="115" t="s">
        <v>19</v>
      </c>
      <c r="B24" s="11">
        <f>((B7/B4)^(1/3)-1)*100</f>
        <v>2.5359435730482938</v>
      </c>
      <c r="C24" s="11" t="s">
        <v>10</v>
      </c>
      <c r="D24" s="11">
        <f t="shared" ref="D24:E24" si="2">((D7/D4)^(1/3)-1)*100</f>
        <v>14.50457298460841</v>
      </c>
      <c r="E24" s="11">
        <f t="shared" si="2"/>
        <v>0.92448988566273815</v>
      </c>
      <c r="F24" s="11">
        <f t="shared" ref="F24:H24" si="3">((F7/F4)^(1/3)-1)*100</f>
        <v>0.15852141684933319</v>
      </c>
      <c r="G24" s="11">
        <f t="shared" si="3"/>
        <v>3.6637041461632824</v>
      </c>
      <c r="H24" s="11">
        <f t="shared" si="3"/>
        <v>3.3297194210543113</v>
      </c>
      <c r="I24" s="11" t="s">
        <v>10</v>
      </c>
      <c r="J24" s="11" t="s">
        <v>10</v>
      </c>
      <c r="K24" s="11" t="s">
        <v>10</v>
      </c>
      <c r="M24" s="145">
        <v>1998</v>
      </c>
      <c r="N24" s="145">
        <f t="shared" ref="N24:N25" si="4">B5/$B$7</f>
        <v>0.93796465287268926</v>
      </c>
      <c r="O24" s="145">
        <f t="shared" ref="O24:O25" si="5">C5/$C$7</f>
        <v>0.95208373258541323</v>
      </c>
      <c r="P24" s="145">
        <f t="shared" ref="P24:P25" si="6">D5/$D$7</f>
        <v>0.68083614560714067</v>
      </c>
      <c r="Q24" s="145">
        <f t="shared" ref="Q24:Q25" si="7">E5/$E$7</f>
        <v>1.0450875018268992</v>
      </c>
      <c r="R24" s="145">
        <f t="shared" ref="R24:R25" si="8">I5/$I$7</f>
        <v>0.94252254556648785</v>
      </c>
      <c r="S24" s="145">
        <f t="shared" ref="S24:S25" si="9">J5/$J$7</f>
        <v>0.8878924246425266</v>
      </c>
      <c r="T24" s="145">
        <f t="shared" ref="T24:T25" si="10">K5/$K$7</f>
        <v>1.1462386612431004</v>
      </c>
    </row>
    <row r="25" spans="1:35" ht="30">
      <c r="A25" s="325" t="s">
        <v>68</v>
      </c>
      <c r="B25" s="11">
        <f>((B14/B7)^(1/7)-1)*100</f>
        <v>0.92188035768894228</v>
      </c>
      <c r="C25" s="11">
        <f t="shared" ref="C25:K25" si="11">((C14/C7)^(1/7)-1)*100</f>
        <v>3.7047568209460424</v>
      </c>
      <c r="D25" s="11">
        <f t="shared" si="11"/>
        <v>3.9623219720691605</v>
      </c>
      <c r="E25" s="11">
        <f t="shared" si="11"/>
        <v>6.2865216908239097</v>
      </c>
      <c r="F25" s="11">
        <f t="shared" ref="F25:H25" si="12">((F14/F7)^(1/7)-1)*100</f>
        <v>6.5542823158665664</v>
      </c>
      <c r="G25" s="11">
        <f t="shared" si="12"/>
        <v>11.382753237192421</v>
      </c>
      <c r="H25" s="11">
        <f t="shared" si="12"/>
        <v>3.1138121916402639</v>
      </c>
      <c r="I25" s="11">
        <f t="shared" si="11"/>
        <v>1.1550956466403361</v>
      </c>
      <c r="J25" s="11">
        <f t="shared" si="11"/>
        <v>1.4384901529010508</v>
      </c>
      <c r="K25" s="11">
        <f t="shared" si="11"/>
        <v>1.188638985091317</v>
      </c>
      <c r="M25" s="145">
        <v>1999</v>
      </c>
      <c r="N25" s="145">
        <f t="shared" si="4"/>
        <v>0.96671144724891434</v>
      </c>
      <c r="O25" s="145">
        <f t="shared" si="5"/>
        <v>0.96624498581837748</v>
      </c>
      <c r="P25" s="145">
        <f t="shared" si="6"/>
        <v>0.71687003428542206</v>
      </c>
      <c r="Q25" s="145">
        <f t="shared" si="7"/>
        <v>1.0223967521276391</v>
      </c>
      <c r="R25" s="145">
        <f t="shared" si="8"/>
        <v>0.99773311952632304</v>
      </c>
      <c r="S25" s="145">
        <f t="shared" si="9"/>
        <v>0.94432436181358004</v>
      </c>
      <c r="T25" s="145">
        <f t="shared" si="10"/>
        <v>1.2280140136232138</v>
      </c>
    </row>
    <row r="26" spans="1:35" ht="30">
      <c r="A26" s="115" t="s">
        <v>69</v>
      </c>
      <c r="B26" s="11">
        <f>((B20/B14)^(1/6)-1)*100</f>
        <v>0.57685331348216184</v>
      </c>
      <c r="C26" s="11">
        <f t="shared" ref="C26:K26" si="13">((C20/C14)^(1/6)-1)*100</f>
        <v>3.7495676390995492</v>
      </c>
      <c r="D26" s="11">
        <f t="shared" si="13"/>
        <v>9.9933456149350128</v>
      </c>
      <c r="E26" s="11">
        <f t="shared" si="13"/>
        <v>3.0139811352073664</v>
      </c>
      <c r="F26" s="11">
        <f t="shared" ref="F26:H26" si="14">((F20/F14)^(1/6)-1)*100</f>
        <v>11.317485616390455</v>
      </c>
      <c r="G26" s="11">
        <f t="shared" si="14"/>
        <v>-1.0790995978093076</v>
      </c>
      <c r="H26" s="11">
        <f t="shared" si="14"/>
        <v>-0.72330611521346233</v>
      </c>
      <c r="I26" s="11">
        <f t="shared" si="13"/>
        <v>2.609145103988153</v>
      </c>
      <c r="J26" s="11">
        <f t="shared" si="13"/>
        <v>3.7357297437013326</v>
      </c>
      <c r="K26" s="11">
        <f t="shared" si="13"/>
        <v>0.8535418864027422</v>
      </c>
      <c r="M26" s="145">
        <v>2000</v>
      </c>
      <c r="N26" s="145">
        <f>B7/$B$7</f>
        <v>1</v>
      </c>
      <c r="O26" s="145">
        <f>C7/$C$7</f>
        <v>1</v>
      </c>
      <c r="P26" s="145">
        <f>D7/$D$7</f>
        <v>1</v>
      </c>
      <c r="Q26" s="145">
        <f>E7/$E$7</f>
        <v>1</v>
      </c>
      <c r="R26" s="145">
        <f>I7/$I$7</f>
        <v>1</v>
      </c>
      <c r="S26" s="145">
        <f>J7/$J$7</f>
        <v>1</v>
      </c>
      <c r="T26" s="145">
        <f>K7/$K$7</f>
        <v>1</v>
      </c>
    </row>
    <row r="27" spans="1:35" s="259" customFormat="1" ht="30">
      <c r="A27" s="325" t="s">
        <v>15</v>
      </c>
      <c r="B27" s="11">
        <f>((B20/B7)^(1/13)-1)*100</f>
        <v>0.76249027613537468</v>
      </c>
      <c r="C27" s="11">
        <f t="shared" ref="C27:K27" si="15">((C20/C7)^(1/13)-1)*100</f>
        <v>3.7254363315275318</v>
      </c>
      <c r="D27" s="11">
        <f t="shared" si="15"/>
        <v>6.7036440535314767</v>
      </c>
      <c r="E27" s="11">
        <f t="shared" si="15"/>
        <v>4.7633961322599561</v>
      </c>
      <c r="F27" s="11">
        <f t="shared" ref="F27:H27" si="16">((F20/F7)^(1/13)-1)*100</f>
        <v>8.7268155139172308</v>
      </c>
      <c r="G27" s="11">
        <f t="shared" si="16"/>
        <v>5.4471687850074391</v>
      </c>
      <c r="H27" s="11">
        <f t="shared" si="16"/>
        <v>1.3247447421372849</v>
      </c>
      <c r="I27" s="11">
        <f t="shared" si="15"/>
        <v>1.8236171817263447</v>
      </c>
      <c r="J27" s="11">
        <f t="shared" si="15"/>
        <v>2.4923639841529788</v>
      </c>
      <c r="K27" s="11">
        <f t="shared" si="15"/>
        <v>1.0338406580407522</v>
      </c>
    </row>
    <row r="28" spans="1:35">
      <c r="A28" s="115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35" s="237" customFormat="1">
      <c r="A29" s="231" t="s">
        <v>144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35">
      <c r="A30" s="147" t="s">
        <v>41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M30" s="145">
        <v>2002</v>
      </c>
      <c r="N30" s="145">
        <f>B9/$B$7</f>
        <v>1.0149198160009472</v>
      </c>
      <c r="O30" s="145">
        <f>C9/$C$7</f>
        <v>1.1971801710698218</v>
      </c>
      <c r="P30" s="145">
        <f>D9/$D$7</f>
        <v>1.2435358721250878</v>
      </c>
      <c r="Q30" s="145">
        <f>E9/$E$7</f>
        <v>1.2293768635979103</v>
      </c>
      <c r="R30" s="145">
        <f>I9/$I$7</f>
        <v>1.1774527806464896</v>
      </c>
      <c r="S30" s="145">
        <f>J9/$J$7</f>
        <v>1.1779540070823902</v>
      </c>
      <c r="T30" s="145">
        <f>K9/$K$7</f>
        <v>1.2286335214550934</v>
      </c>
    </row>
    <row r="31" spans="1:35">
      <c r="A31" s="229" t="s">
        <v>309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M31" s="145">
        <v>2003</v>
      </c>
      <c r="N31" s="145">
        <f>B10/$B$7</f>
        <v>1.0289265169302024</v>
      </c>
      <c r="O31" s="145">
        <f>C10/$C$7</f>
        <v>1.1591757513033067</v>
      </c>
      <c r="P31" s="145">
        <f>D10/$D$7</f>
        <v>1.1276637389272144</v>
      </c>
      <c r="Q31" s="145">
        <f>E10/$E$7</f>
        <v>1.1982227888614851</v>
      </c>
      <c r="R31" s="145">
        <f>I10/$I$7</f>
        <v>1.1672666874004232</v>
      </c>
      <c r="S31" s="145">
        <f>J10/$J$7</f>
        <v>1.1570602570756354</v>
      </c>
      <c r="T31" s="145">
        <f>K10/$K$7</f>
        <v>1.2385224695068224</v>
      </c>
    </row>
    <row r="32" spans="1:35">
      <c r="M32" s="145">
        <v>2007</v>
      </c>
      <c r="N32" s="145">
        <f t="shared" ref="N32:N38" si="17">B14/$B$7</f>
        <v>1.066344013894637</v>
      </c>
      <c r="O32" s="145">
        <f t="shared" ref="O32:O38" si="18">C14/$C$7</f>
        <v>1.2900030648829908</v>
      </c>
      <c r="P32" s="145">
        <f t="shared" ref="P32:P38" si="19">D14/$D$7</f>
        <v>1.3125981733973968</v>
      </c>
      <c r="Q32" s="145">
        <f t="shared" ref="Q32:Q38" si="20">E14/$E$7</f>
        <v>1.5323125642955215</v>
      </c>
      <c r="R32" s="145">
        <f t="shared" ref="R32:R38" si="21">I14/$I$7</f>
        <v>1.0837131805343057</v>
      </c>
      <c r="S32" s="145">
        <f t="shared" ref="S32:S38" si="22">J14/$J$7</f>
        <v>1.105145436614527</v>
      </c>
      <c r="T32" s="145">
        <f t="shared" ref="T32:T38" si="23">K14/$K$7</f>
        <v>1.0862312225860327</v>
      </c>
    </row>
    <row r="33" spans="13:20">
      <c r="M33" s="145">
        <v>2008</v>
      </c>
      <c r="N33" s="145">
        <f t="shared" si="17"/>
        <v>1.0618063703855536</v>
      </c>
      <c r="O33" s="145">
        <f t="shared" si="18"/>
        <v>1.3143122687288784</v>
      </c>
      <c r="P33" s="145">
        <f t="shared" si="19"/>
        <v>1.2574869999214677</v>
      </c>
      <c r="Q33" s="145">
        <f t="shared" si="20"/>
        <v>1.6049105791188525</v>
      </c>
      <c r="R33" s="145">
        <f t="shared" si="21"/>
        <v>1.1145639427415293</v>
      </c>
      <c r="S33" s="145">
        <f t="shared" si="22"/>
        <v>1.1148734948390162</v>
      </c>
      <c r="T33" s="145">
        <f t="shared" si="23"/>
        <v>1.162651076465544</v>
      </c>
    </row>
    <row r="34" spans="13:20">
      <c r="M34" s="145">
        <v>2009</v>
      </c>
      <c r="N34" s="145">
        <f t="shared" si="17"/>
        <v>1.0793990828412345</v>
      </c>
      <c r="O34" s="145">
        <f t="shared" si="18"/>
        <v>1.2918811305056617</v>
      </c>
      <c r="P34" s="145">
        <f t="shared" si="19"/>
        <v>1.1915585419734487</v>
      </c>
      <c r="Q34" s="145">
        <f t="shared" si="20"/>
        <v>1.5264543400840209</v>
      </c>
      <c r="R34" s="145">
        <f t="shared" si="21"/>
        <v>1.1576381555534969</v>
      </c>
      <c r="S34" s="145">
        <f t="shared" si="22"/>
        <v>1.1418151291235337</v>
      </c>
      <c r="T34" s="145">
        <f t="shared" si="23"/>
        <v>1.2489305628437115</v>
      </c>
    </row>
    <row r="35" spans="13:20">
      <c r="M35" s="145">
        <v>2010</v>
      </c>
      <c r="N35" s="145">
        <f t="shared" si="17"/>
        <v>1.0780869033628473</v>
      </c>
      <c r="O35" s="145">
        <f t="shared" si="18"/>
        <v>1.3517607036439874</v>
      </c>
      <c r="P35" s="145">
        <f t="shared" si="19"/>
        <v>1.8588904193983355</v>
      </c>
      <c r="Q35" s="145">
        <f t="shared" si="20"/>
        <v>1.4379211026920624</v>
      </c>
      <c r="R35" s="145">
        <f t="shared" si="21"/>
        <v>1.1383599834431608</v>
      </c>
      <c r="S35" s="145">
        <f t="shared" si="22"/>
        <v>1.2298564497661908</v>
      </c>
      <c r="T35" s="145">
        <f t="shared" si="23"/>
        <v>1.0629874813938829</v>
      </c>
    </row>
    <row r="36" spans="13:20">
      <c r="M36" s="145">
        <v>2011</v>
      </c>
      <c r="N36" s="145">
        <f t="shared" si="17"/>
        <v>1.0926552241354024</v>
      </c>
      <c r="O36" s="145">
        <f t="shared" si="18"/>
        <v>1.4008461180914336</v>
      </c>
      <c r="P36" s="145">
        <f t="shared" si="19"/>
        <v>1.4717718238886661</v>
      </c>
      <c r="Q36" s="145">
        <f t="shared" si="20"/>
        <v>1.5366613425734259</v>
      </c>
      <c r="R36" s="145">
        <f t="shared" si="21"/>
        <v>1.3084532822953947</v>
      </c>
      <c r="S36" s="145">
        <f t="shared" si="22"/>
        <v>1.423234529423411</v>
      </c>
      <c r="T36" s="145">
        <f t="shared" si="23"/>
        <v>1.194334033157137</v>
      </c>
    </row>
    <row r="37" spans="13:20">
      <c r="M37" s="145">
        <v>2012</v>
      </c>
      <c r="N37" s="145">
        <f t="shared" si="17"/>
        <v>1.0968419201905746</v>
      </c>
      <c r="O37" s="145">
        <f t="shared" si="18"/>
        <v>1.5117493216325886</v>
      </c>
      <c r="P37" s="145">
        <f t="shared" si="19"/>
        <v>1.9428988168018571</v>
      </c>
      <c r="Q37" s="145">
        <f t="shared" si="20"/>
        <v>1.7359740561520034</v>
      </c>
      <c r="R37" s="145">
        <f t="shared" si="21"/>
        <v>1.2235654477464244</v>
      </c>
      <c r="S37" s="145">
        <f t="shared" si="22"/>
        <v>1.3147099251052849</v>
      </c>
      <c r="T37" s="145">
        <f t="shared" si="23"/>
        <v>1.128831150442521</v>
      </c>
    </row>
    <row r="38" spans="13:20">
      <c r="M38" s="145">
        <v>2013</v>
      </c>
      <c r="N38" s="145">
        <f t="shared" si="17"/>
        <v>1.1037878246247388</v>
      </c>
      <c r="O38" s="145">
        <f t="shared" si="18"/>
        <v>1.6088239221539311</v>
      </c>
      <c r="P38" s="145">
        <f t="shared" si="19"/>
        <v>2.3245038370681343</v>
      </c>
      <c r="Q38" s="145">
        <f t="shared" si="20"/>
        <v>1.8311519825063254</v>
      </c>
      <c r="R38" s="145">
        <f t="shared" si="21"/>
        <v>1.2648259609840282</v>
      </c>
      <c r="S38" s="145">
        <f t="shared" si="22"/>
        <v>1.377176594428517</v>
      </c>
      <c r="T38" s="145">
        <f t="shared" si="23"/>
        <v>1.1430604834425369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7"/>
  <sheetViews>
    <sheetView view="pageBreakPreview" zoomScaleNormal="100" zoomScaleSheetLayoutView="100" workbookViewId="0">
      <selection activeCell="Y7" sqref="Y7"/>
    </sheetView>
  </sheetViews>
  <sheetFormatPr defaultRowHeight="15"/>
  <cols>
    <col min="1" max="12" width="9.140625" style="145"/>
    <col min="13" max="20" width="0" style="145" hidden="1" customWidth="1"/>
    <col min="21" max="16384" width="9.140625" style="145"/>
  </cols>
  <sheetData>
    <row r="1" spans="1:20" ht="40.5" customHeight="1">
      <c r="A1" s="454" t="s">
        <v>193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15"/>
      <c r="B2" s="115" t="s">
        <v>2</v>
      </c>
      <c r="C2" s="115" t="s">
        <v>8</v>
      </c>
      <c r="D2" s="115" t="s">
        <v>20</v>
      </c>
      <c r="E2" s="115" t="s">
        <v>4</v>
      </c>
      <c r="F2" s="115" t="s">
        <v>36</v>
      </c>
      <c r="G2" s="115" t="s">
        <v>37</v>
      </c>
      <c r="H2" s="115" t="s">
        <v>38</v>
      </c>
      <c r="I2" s="115" t="s">
        <v>5</v>
      </c>
      <c r="J2" s="115" t="s">
        <v>6</v>
      </c>
      <c r="K2" s="115" t="s">
        <v>7</v>
      </c>
    </row>
    <row r="3" spans="1:20">
      <c r="A3" s="115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0">
      <c r="A4" s="115">
        <v>1997</v>
      </c>
      <c r="B4" s="11">
        <f>'3B'!B4/'3B'!B$14*100</f>
        <v>87.11078300884283</v>
      </c>
      <c r="C4" s="11">
        <f>'3B'!C4/'3B'!C$14*100</f>
        <v>81.344019650535856</v>
      </c>
      <c r="D4" s="11">
        <f>'3B'!D4/'3B'!D$14*100</f>
        <v>73.750453588633277</v>
      </c>
      <c r="E4" s="11">
        <f>'3B'!E4/'3B'!E$14*100</f>
        <v>61.951663789694955</v>
      </c>
      <c r="F4" s="11">
        <f>'3B'!F4/'3B'!F$14*100</f>
        <v>47.920233620811835</v>
      </c>
      <c r="G4" s="11">
        <f>'3B'!G4/'3B'!G$14*100</f>
        <v>45.525776883523363</v>
      </c>
      <c r="H4" s="11">
        <f>'3B'!H4/'3B'!H$14*100</f>
        <v>87.816348039203206</v>
      </c>
      <c r="I4" s="11">
        <f>'3B'!I4/'3B'!I$14*100</f>
        <v>93.21338204845803</v>
      </c>
      <c r="J4" s="11">
        <f>'3B'!J4/'3B'!J$14*100</f>
        <v>66.743340647420155</v>
      </c>
      <c r="K4" s="11">
        <f>'3B'!K4/'3B'!K$14*100</f>
        <v>114.20994900166606</v>
      </c>
      <c r="N4" s="145" t="s">
        <v>24</v>
      </c>
    </row>
    <row r="5" spans="1:20">
      <c r="A5" s="115">
        <v>1998</v>
      </c>
      <c r="B5" s="11">
        <f>'3B'!B5/'3B'!B$14*100</f>
        <v>88.249677313143351</v>
      </c>
      <c r="C5" s="11">
        <f>'3B'!C5/'3B'!C$14*100</f>
        <v>82.99250119340158</v>
      </c>
      <c r="D5" s="11">
        <f>'3B'!D5/'3B'!D$14*100</f>
        <v>83.103488144957055</v>
      </c>
      <c r="E5" s="11">
        <f>'3B'!E5/'3B'!E$14*100</f>
        <v>64.755495175502404</v>
      </c>
      <c r="F5" s="11">
        <f>'3B'!F5/'3B'!F$14*100</f>
        <v>52.990600115163268</v>
      </c>
      <c r="G5" s="11">
        <f>'3B'!G5/'3B'!G$14*100</f>
        <v>49.444837029325193</v>
      </c>
      <c r="H5" s="11">
        <f>'3B'!H5/'3B'!H$14*100</f>
        <v>85.938881900296209</v>
      </c>
      <c r="I5" s="11">
        <f>'3B'!I5/'3B'!I$14*100</f>
        <v>95.073105009093624</v>
      </c>
      <c r="J5" s="11">
        <f>'3B'!J5/'3B'!J$14*100</f>
        <v>74.581692276972035</v>
      </c>
      <c r="K5" s="11">
        <f>'3B'!K5/'3B'!K$14*100</f>
        <v>106.24441050694473</v>
      </c>
      <c r="N5" s="145" t="s">
        <v>2</v>
      </c>
      <c r="O5" s="145" t="s">
        <v>8</v>
      </c>
      <c r="P5" s="145" t="s">
        <v>20</v>
      </c>
      <c r="Q5" s="145" t="s">
        <v>4</v>
      </c>
      <c r="R5" s="145" t="s">
        <v>5</v>
      </c>
      <c r="S5" s="145" t="s">
        <v>6</v>
      </c>
      <c r="T5" s="145" t="s">
        <v>7</v>
      </c>
    </row>
    <row r="6" spans="1:20">
      <c r="A6" s="115">
        <v>1999</v>
      </c>
      <c r="B6" s="11">
        <f>'3B'!B6/'3B'!B$14*100</f>
        <v>91.910785038133128</v>
      </c>
      <c r="C6" s="11">
        <f>'3B'!C6/'3B'!C$14*100</f>
        <v>78.531007913093845</v>
      </c>
      <c r="D6" s="11">
        <f>'3B'!D6/'3B'!D$14*100</f>
        <v>86.407415637598803</v>
      </c>
      <c r="E6" s="11">
        <f>'3B'!E6/'3B'!E$14*100</f>
        <v>62.208524947277198</v>
      </c>
      <c r="F6" s="11">
        <f>'3B'!F6/'3B'!F$14*100</f>
        <v>45.707993511393084</v>
      </c>
      <c r="G6" s="11">
        <f>'3B'!G6/'3B'!G$14*100</f>
        <v>49.086660869393896</v>
      </c>
      <c r="H6" s="11">
        <f>'3B'!H6/'3B'!H$14*100</f>
        <v>91.219706609829942</v>
      </c>
      <c r="I6" s="11">
        <f>'3B'!I6/'3B'!I$14*100</f>
        <v>87.047935618304479</v>
      </c>
      <c r="J6" s="11">
        <f>'3B'!J6/'3B'!J$14*100</f>
        <v>69.162634257198349</v>
      </c>
      <c r="K6" s="11">
        <f>'3B'!K6/'3B'!K$14*100</f>
        <v>94.373382965490748</v>
      </c>
      <c r="M6" s="145">
        <v>1998</v>
      </c>
      <c r="N6" s="145">
        <f>((B5/B4)-1)*100</f>
        <v>1.3074091001855859</v>
      </c>
      <c r="O6" s="145">
        <f>((C5/C4)-1)*100</f>
        <v>2.0265553017269289</v>
      </c>
      <c r="P6" s="145">
        <f>((D5/D4)-1)*100</f>
        <v>12.682002755526511</v>
      </c>
      <c r="Q6" s="145">
        <f>((E5/E4)-1)*100</f>
        <v>4.525837103141428</v>
      </c>
      <c r="R6" s="145">
        <f t="shared" ref="R6:T21" si="0">((I5/I4)-1)*100</f>
        <v>1.9951244336020357</v>
      </c>
      <c r="S6" s="145">
        <f t="shared" si="0"/>
        <v>11.744020532263931</v>
      </c>
      <c r="T6" s="145">
        <f t="shared" si="0"/>
        <v>-6.9744698814331212</v>
      </c>
    </row>
    <row r="7" spans="1:20">
      <c r="A7" s="115">
        <v>2000</v>
      </c>
      <c r="B7" s="11">
        <f>'3B'!B7/'3B'!B$14*100</f>
        <v>94.724868700552236</v>
      </c>
      <c r="C7" s="11">
        <f>'3B'!C7/'3B'!C$14*100</f>
        <v>92.229766692407068</v>
      </c>
      <c r="D7" s="11">
        <f>'3B'!D7/'3B'!D$14*100</f>
        <v>96.221719457013577</v>
      </c>
      <c r="E7" s="11">
        <f>'3B'!E7/'3B'!E$14*100</f>
        <v>76.993865000679776</v>
      </c>
      <c r="F7" s="11">
        <f>'3B'!F7/'3B'!F$14*100</f>
        <v>70.238048425887641</v>
      </c>
      <c r="G7" s="11">
        <f>'3B'!G7/'3B'!G$14*100</f>
        <v>55.06648361524018</v>
      </c>
      <c r="H7" s="11">
        <f>'3B'!H7/'3B'!H$14*100</f>
        <v>101.84825791036532</v>
      </c>
      <c r="I7" s="11">
        <f>'3B'!I7/'3B'!I$14*100</f>
        <v>100.86030379666289</v>
      </c>
      <c r="J7" s="11">
        <f>'3B'!J7/'3B'!J$14*100</f>
        <v>88.789215244862362</v>
      </c>
      <c r="K7" s="11">
        <f>'3B'!K7/'3B'!K$14*100</f>
        <v>98.582571621201211</v>
      </c>
      <c r="M7" s="145">
        <v>1999</v>
      </c>
      <c r="N7" s="145">
        <f t="shared" ref="N7:Q21" si="1">((B6/B5)-1)*100</f>
        <v>4.1485791636368008</v>
      </c>
      <c r="O7" s="145">
        <f t="shared" si="1"/>
        <v>-5.3757787946538631</v>
      </c>
      <c r="P7" s="145">
        <f t="shared" si="1"/>
        <v>3.9756784779944709</v>
      </c>
      <c r="Q7" s="145">
        <f t="shared" si="1"/>
        <v>-3.9332109519390257</v>
      </c>
      <c r="R7" s="145">
        <f t="shared" si="0"/>
        <v>-8.4410511153722663</v>
      </c>
      <c r="S7" s="145">
        <f t="shared" si="0"/>
        <v>-7.2659359882168868</v>
      </c>
      <c r="T7" s="145">
        <f t="shared" si="0"/>
        <v>-11.173319598472453</v>
      </c>
    </row>
    <row r="8" spans="1:20">
      <c r="A8" s="115">
        <v>2001</v>
      </c>
      <c r="B8" s="11">
        <f>'3B'!B8/'3B'!B$14*100</f>
        <v>94.726191373221297</v>
      </c>
      <c r="C8" s="11">
        <f>'3B'!C8/'3B'!C$14*100</f>
        <v>90.71694110460389</v>
      </c>
      <c r="D8" s="11">
        <f>'3B'!D8/'3B'!D$14*100</f>
        <v>102.55259326847823</v>
      </c>
      <c r="E8" s="11">
        <f>'3B'!E8/'3B'!E$14*100</f>
        <v>76.293742700630276</v>
      </c>
      <c r="F8" s="11">
        <f>'3B'!F8/'3B'!F$14*100</f>
        <v>62.931045694559543</v>
      </c>
      <c r="G8" s="11">
        <f>'3B'!G8/'3B'!G$14*100</f>
        <v>56.073245386017319</v>
      </c>
      <c r="H8" s="11">
        <f>'3B'!H8/'3B'!H$14*100</f>
        <v>105.40282672346537</v>
      </c>
      <c r="I8" s="11">
        <f>'3B'!I8/'3B'!I$14*100</f>
        <v>96.656919294328972</v>
      </c>
      <c r="J8" s="11">
        <f>'3B'!J8/'3B'!J$14*100</f>
        <v>79.725591952856604</v>
      </c>
      <c r="K8" s="11">
        <f>'3B'!K8/'3B'!K$14*100</f>
        <v>107.30162255394669</v>
      </c>
      <c r="M8" s="145">
        <v>2000</v>
      </c>
      <c r="N8" s="145">
        <f t="shared" si="1"/>
        <v>3.0617556593076189</v>
      </c>
      <c r="O8" s="145">
        <f t="shared" si="1"/>
        <v>17.443757750407229</v>
      </c>
      <c r="P8" s="145">
        <f t="shared" si="1"/>
        <v>11.358173076923084</v>
      </c>
      <c r="Q8" s="145">
        <f t="shared" si="1"/>
        <v>23.767385685375775</v>
      </c>
      <c r="R8" s="145">
        <f t="shared" si="0"/>
        <v>15.867542498565523</v>
      </c>
      <c r="S8" s="145">
        <f t="shared" si="0"/>
        <v>28.377434142658188</v>
      </c>
      <c r="T8" s="145">
        <f t="shared" si="0"/>
        <v>4.46014387049114</v>
      </c>
    </row>
    <row r="9" spans="1:20">
      <c r="A9" s="115">
        <v>2002</v>
      </c>
      <c r="B9" s="11">
        <f>'3B'!B9/'3B'!B$14*100</f>
        <v>96.334139052643593</v>
      </c>
      <c r="C9" s="11">
        <f>'3B'!C9/'3B'!C$14*100</f>
        <v>94.847411047447991</v>
      </c>
      <c r="D9" s="11">
        <f>'3B'!D9/'3B'!D$14*100</f>
        <v>108.35315159065001</v>
      </c>
      <c r="E9" s="11">
        <f>'3B'!E9/'3B'!E$14*100</f>
        <v>83.065224954324918</v>
      </c>
      <c r="F9" s="11">
        <f>'3B'!F9/'3B'!F$14*100</f>
        <v>76.624210973306688</v>
      </c>
      <c r="G9" s="11">
        <f>'3B'!G9/'3B'!G$14*100</f>
        <v>61.282141293239448</v>
      </c>
      <c r="H9" s="11">
        <f>'3B'!H9/'3B'!H$14*100</f>
        <v>106.14840071791032</v>
      </c>
      <c r="I9" s="11">
        <f>'3B'!I9/'3B'!I$14*100</f>
        <v>98.860898548435017</v>
      </c>
      <c r="J9" s="11">
        <f>'3B'!J9/'3B'!J$14*100</f>
        <v>84.670588440122046</v>
      </c>
      <c r="K9" s="11">
        <f>'3B'!K9/'3B'!K$14*100</f>
        <v>106.45405777011048</v>
      </c>
      <c r="M9" s="145">
        <v>2001</v>
      </c>
      <c r="N9" s="145">
        <f t="shared" si="1"/>
        <v>1.3963309606124241E-3</v>
      </c>
      <c r="O9" s="145">
        <f t="shared" si="1"/>
        <v>-1.6402791008336415</v>
      </c>
      <c r="P9" s="145">
        <f t="shared" si="1"/>
        <v>6.5794644360860133</v>
      </c>
      <c r="Q9" s="145">
        <f t="shared" si="1"/>
        <v>-0.90932219085678723</v>
      </c>
      <c r="R9" s="145">
        <f t="shared" si="0"/>
        <v>-4.1675310742748213</v>
      </c>
      <c r="S9" s="145">
        <f t="shared" si="0"/>
        <v>-10.20802275029704</v>
      </c>
      <c r="T9" s="145">
        <f t="shared" si="0"/>
        <v>8.8444141691170319</v>
      </c>
    </row>
    <row r="10" spans="1:20">
      <c r="A10" s="115">
        <v>2003</v>
      </c>
      <c r="B10" s="11">
        <f>'3B'!B10/'3B'!B$14*100</f>
        <v>96.68646467927482</v>
      </c>
      <c r="C10" s="11">
        <f>'3B'!C10/'3B'!C$14*100</f>
        <v>99.265170238796955</v>
      </c>
      <c r="D10" s="11">
        <f>'3B'!D10/'3B'!D$14*100</f>
        <v>101.62432103896511</v>
      </c>
      <c r="E10" s="11">
        <f>'3B'!E10/'3B'!E$14*100</f>
        <v>88.074761866657994</v>
      </c>
      <c r="F10" s="11">
        <f>'3B'!F10/'3B'!F$14*100</f>
        <v>80.395461806683841</v>
      </c>
      <c r="G10" s="11">
        <f>'3B'!G10/'3B'!G$14*100</f>
        <v>58.667181779852271</v>
      </c>
      <c r="H10" s="11">
        <f>'3B'!H10/'3B'!H$14*100</f>
        <v>119.58460853983259</v>
      </c>
      <c r="I10" s="11">
        <f>'3B'!I10/'3B'!I$14*100</f>
        <v>104.83462203670022</v>
      </c>
      <c r="J10" s="11">
        <f>'3B'!J10/'3B'!J$14*100</f>
        <v>90.977670184002349</v>
      </c>
      <c r="K10" s="11">
        <f>'3B'!K10/'3B'!K$14*100</f>
        <v>113.32534625315982</v>
      </c>
      <c r="M10" s="145">
        <v>2002</v>
      </c>
      <c r="N10" s="145">
        <f t="shared" si="1"/>
        <v>1.6974689429737344</v>
      </c>
      <c r="O10" s="145">
        <f t="shared" si="1"/>
        <v>4.5531406731200708</v>
      </c>
      <c r="P10" s="145">
        <f t="shared" si="1"/>
        <v>5.6561790758290931</v>
      </c>
      <c r="Q10" s="145">
        <f t="shared" si="1"/>
        <v>8.8755407901082162</v>
      </c>
      <c r="R10" s="145">
        <f t="shared" si="0"/>
        <v>2.2802084632914221</v>
      </c>
      <c r="S10" s="145">
        <f t="shared" si="0"/>
        <v>6.2025208796060438</v>
      </c>
      <c r="T10" s="145">
        <f t="shared" si="0"/>
        <v>-0.78988999761870904</v>
      </c>
    </row>
    <row r="11" spans="1:20">
      <c r="A11" s="115">
        <v>2004</v>
      </c>
      <c r="B11" s="11">
        <f>'3B'!B11/'3B'!B$14*100</f>
        <v>96.171452116611178</v>
      </c>
      <c r="C11" s="11">
        <f>'3B'!C11/'3B'!C$14*100</f>
        <v>98.256847241212483</v>
      </c>
      <c r="D11" s="11">
        <f>'3B'!D11/'3B'!D$14*100</f>
        <v>101.46980184670372</v>
      </c>
      <c r="E11" s="11">
        <f>'3B'!E11/'3B'!E$14*100</f>
        <v>87.358095755929256</v>
      </c>
      <c r="F11" s="11">
        <f>'3B'!F11/'3B'!F$14*100</f>
        <v>73.774582379044531</v>
      </c>
      <c r="G11" s="11">
        <f>'3B'!G11/'3B'!G$14*100</f>
        <v>61.550426474842887</v>
      </c>
      <c r="H11" s="11">
        <f>'3B'!H11/'3B'!H$14*100</f>
        <v>120.25144134940308</v>
      </c>
      <c r="I11" s="11">
        <f>'3B'!I11/'3B'!I$14*100</f>
        <v>103.30440841056701</v>
      </c>
      <c r="J11" s="11">
        <f>'3B'!J11/'3B'!J$14*100</f>
        <v>94.893155757311447</v>
      </c>
      <c r="K11" s="11">
        <f>'3B'!K11/'3B'!K$14*100</f>
        <v>106.25382142052398</v>
      </c>
      <c r="M11" s="145">
        <v>2003</v>
      </c>
      <c r="N11" s="145">
        <f t="shared" si="1"/>
        <v>0.36573288565822093</v>
      </c>
      <c r="O11" s="145">
        <f t="shared" si="1"/>
        <v>4.6577541153326241</v>
      </c>
      <c r="P11" s="145">
        <f t="shared" si="1"/>
        <v>-6.2100921412105432</v>
      </c>
      <c r="Q11" s="145">
        <f t="shared" si="1"/>
        <v>6.0308473432626908</v>
      </c>
      <c r="R11" s="145">
        <f t="shared" si="0"/>
        <v>6.0425543121464642</v>
      </c>
      <c r="S11" s="145">
        <f t="shared" si="0"/>
        <v>7.4489641091139758</v>
      </c>
      <c r="T11" s="145">
        <f t="shared" si="0"/>
        <v>6.4546985121863631</v>
      </c>
    </row>
    <row r="12" spans="1:20">
      <c r="A12" s="115">
        <v>2005</v>
      </c>
      <c r="B12" s="11">
        <f>'3B'!B12/'3B'!B$14*100</f>
        <v>98.629872950222051</v>
      </c>
      <c r="C12" s="11">
        <f>'3B'!C12/'3B'!C$14*100</f>
        <v>102.21051730275366</v>
      </c>
      <c r="D12" s="11">
        <f>'3B'!D12/'3B'!D$14*100</f>
        <v>108.93651666084368</v>
      </c>
      <c r="E12" s="11">
        <f>'3B'!E12/'3B'!E$14*100</f>
        <v>94.400877152328079</v>
      </c>
      <c r="F12" s="11">
        <f>'3B'!F12/'3B'!F$14*100</f>
        <v>84.001748275740468</v>
      </c>
      <c r="G12" s="11">
        <f>'3B'!G12/'3B'!G$14*100</f>
        <v>79.156427467393769</v>
      </c>
      <c r="H12" s="11">
        <f>'3B'!H12/'3B'!H$14*100</f>
        <v>106.99689128322146</v>
      </c>
      <c r="I12" s="11">
        <f>'3B'!I12/'3B'!I$14*100</f>
        <v>105.3774033554578</v>
      </c>
      <c r="J12" s="11">
        <f>'3B'!J12/'3B'!J$14*100</f>
        <v>105.0625617895236</v>
      </c>
      <c r="K12" s="11">
        <f>'3B'!K12/'3B'!K$14*100</f>
        <v>104.58665862735393</v>
      </c>
      <c r="M12" s="145">
        <v>2004</v>
      </c>
      <c r="N12" s="145">
        <f t="shared" si="1"/>
        <v>-0.53266252352076604</v>
      </c>
      <c r="O12" s="145">
        <f t="shared" si="1"/>
        <v>-1.0157873050122279</v>
      </c>
      <c r="P12" s="145">
        <f t="shared" si="1"/>
        <v>-0.15204942151805234</v>
      </c>
      <c r="Q12" s="145">
        <f t="shared" si="1"/>
        <v>-0.8137020135390749</v>
      </c>
      <c r="R12" s="145">
        <f t="shared" si="0"/>
        <v>-1.4596452931337156</v>
      </c>
      <c r="S12" s="145">
        <f t="shared" si="0"/>
        <v>4.3037874737724469</v>
      </c>
      <c r="T12" s="145">
        <f t="shared" si="0"/>
        <v>-6.2400204953608647</v>
      </c>
    </row>
    <row r="13" spans="1:20">
      <c r="A13" s="115">
        <v>2006</v>
      </c>
      <c r="B13" s="235">
        <f>'3B'!B13/'3B'!B$14*100</f>
        <v>99.875043572604312</v>
      </c>
      <c r="C13" s="235">
        <f>'3B'!C13/'3B'!C$14*100</f>
        <v>95.903968468431515</v>
      </c>
      <c r="D13" s="235">
        <f>'3B'!D13/'3B'!D$14*100</f>
        <v>96.750479396460733</v>
      </c>
      <c r="E13" s="235">
        <f>'3B'!E13/'3B'!E$14*100</f>
        <v>97.402251685019749</v>
      </c>
      <c r="F13" s="235">
        <f>'3B'!F13/'3B'!F$14*100</f>
        <v>97.849826219952291</v>
      </c>
      <c r="G13" s="235">
        <f>'3B'!G13/'3B'!G$14*100</f>
        <v>87.115796723146119</v>
      </c>
      <c r="H13" s="235">
        <f>'3B'!H13/'3B'!H$14*100</f>
        <v>99.859743789156667</v>
      </c>
      <c r="I13" s="235">
        <f>'3B'!I13/'3B'!I$14*100</f>
        <v>95.888786163106062</v>
      </c>
      <c r="J13" s="235">
        <f>'3B'!J13/'3B'!J$14*100</f>
        <v>91.572506579895048</v>
      </c>
      <c r="K13" s="235">
        <f>'3B'!K13/'3B'!K$14*100</f>
        <v>98.636692091052979</v>
      </c>
      <c r="M13" s="145">
        <v>2005</v>
      </c>
      <c r="N13" s="145">
        <f t="shared" si="1"/>
        <v>2.556289605183415</v>
      </c>
      <c r="O13" s="145">
        <f t="shared" si="1"/>
        <v>4.0238112381473456</v>
      </c>
      <c r="P13" s="145">
        <f t="shared" si="1"/>
        <v>7.3585585841789314</v>
      </c>
      <c r="Q13" s="145">
        <f t="shared" si="1"/>
        <v>8.061967623556864</v>
      </c>
      <c r="R13" s="145">
        <f t="shared" si="0"/>
        <v>2.0066858489252493</v>
      </c>
      <c r="S13" s="145">
        <f t="shared" si="0"/>
        <v>10.716690736074085</v>
      </c>
      <c r="T13" s="145">
        <f t="shared" si="0"/>
        <v>-1.5690379610648231</v>
      </c>
    </row>
    <row r="14" spans="1:20">
      <c r="A14" s="115">
        <v>2007</v>
      </c>
      <c r="B14" s="11">
        <f>'3B'!B14/'3B'!B$14*100</f>
        <v>100</v>
      </c>
      <c r="C14" s="11">
        <f>'3B'!C14/'3B'!C$14*100</f>
        <v>100</v>
      </c>
      <c r="D14" s="11">
        <f>'3B'!D14/'3B'!D$14*100</f>
        <v>100</v>
      </c>
      <c r="E14" s="11">
        <f>'3B'!E14/'3B'!E$14*100</f>
        <v>100</v>
      </c>
      <c r="F14" s="11">
        <f>'3B'!F14/'3B'!F$14*100</f>
        <v>100</v>
      </c>
      <c r="G14" s="11">
        <f>'3B'!G14/'3B'!G$14*100</f>
        <v>100</v>
      </c>
      <c r="H14" s="11">
        <f>'3B'!H14/'3B'!H$14*100</f>
        <v>100</v>
      </c>
      <c r="I14" s="11">
        <f>'3B'!I14/'3B'!I$14*100</f>
        <v>100</v>
      </c>
      <c r="J14" s="11">
        <f>'3B'!J14/'3B'!J$14*100</f>
        <v>100</v>
      </c>
      <c r="K14" s="11">
        <f>'3B'!K14/'3B'!K$14*100</f>
        <v>100</v>
      </c>
      <c r="M14" s="145">
        <v>2006</v>
      </c>
      <c r="N14" s="145">
        <f t="shared" si="1"/>
        <v>1.2624680384721643</v>
      </c>
      <c r="O14" s="145">
        <f t="shared" si="1"/>
        <v>-6.1701564582065105</v>
      </c>
      <c r="P14" s="145">
        <f t="shared" si="1"/>
        <v>-11.186365819206623</v>
      </c>
      <c r="Q14" s="145">
        <f t="shared" si="1"/>
        <v>3.1793926319652277</v>
      </c>
      <c r="R14" s="145">
        <f t="shared" si="0"/>
        <v>-9.0044135556698546</v>
      </c>
      <c r="S14" s="145">
        <f t="shared" si="0"/>
        <v>-12.84002120246579</v>
      </c>
      <c r="T14" s="145">
        <f t="shared" si="0"/>
        <v>-5.689030144371376</v>
      </c>
    </row>
    <row r="15" spans="1:20">
      <c r="A15" s="115">
        <v>2008</v>
      </c>
      <c r="B15" s="11">
        <f>'3B'!B15/'3B'!B$14*100</f>
        <v>99.311362539325955</v>
      </c>
      <c r="C15" s="11">
        <f>'3B'!C15/'3B'!C$14*100</f>
        <v>100.4484927682312</v>
      </c>
      <c r="D15" s="11">
        <f>'3B'!D15/'3B'!D$14*100</f>
        <v>101.6512861467814</v>
      </c>
      <c r="E15" s="11">
        <f>'3B'!E15/'3B'!E$14*100</f>
        <v>99.305118875448855</v>
      </c>
      <c r="F15" s="11">
        <f>'3B'!F15/'3B'!F$14*100</f>
        <v>107.8455081912125</v>
      </c>
      <c r="G15" s="11">
        <f>'3B'!G15/'3B'!G$14*100</f>
        <v>102.84765360723291</v>
      </c>
      <c r="H15" s="11">
        <f>'3B'!H15/'3B'!H$14*100</f>
        <v>95.582318667182847</v>
      </c>
      <c r="I15" s="11">
        <f>'3B'!I15/'3B'!I$14*100</f>
        <v>99.794667251515364</v>
      </c>
      <c r="J15" s="11">
        <f>'3B'!J15/'3B'!J$14*100</f>
        <v>109.22711600848936</v>
      </c>
      <c r="K15" s="11">
        <f>'3B'!K15/'3B'!K$14*100</f>
        <v>95.684009047554071</v>
      </c>
      <c r="M15" s="145">
        <v>2007</v>
      </c>
      <c r="N15" s="145">
        <f t="shared" si="1"/>
        <v>0.12511276383559977</v>
      </c>
      <c r="O15" s="145">
        <f t="shared" si="1"/>
        <v>4.27097188675436</v>
      </c>
      <c r="P15" s="145">
        <f t="shared" si="1"/>
        <v>3.3586609842246817</v>
      </c>
      <c r="Q15" s="145">
        <f t="shared" si="1"/>
        <v>2.6670310696521371</v>
      </c>
      <c r="R15" s="145">
        <f t="shared" si="0"/>
        <v>4.2874813639843135</v>
      </c>
      <c r="S15" s="145">
        <f t="shared" si="0"/>
        <v>9.2030826007281306</v>
      </c>
      <c r="T15" s="145">
        <f t="shared" si="0"/>
        <v>1.3821508812243311</v>
      </c>
    </row>
    <row r="16" spans="1:20">
      <c r="A16" s="115">
        <v>2009</v>
      </c>
      <c r="B16" s="11">
        <f>'3B'!B16/'3B'!B$14*100</f>
        <v>100.31383721006173</v>
      </c>
      <c r="C16" s="11">
        <f>'3B'!C16/'3B'!C$14*100</f>
        <v>94.886761229444787</v>
      </c>
      <c r="D16" s="11">
        <f>'3B'!D16/'3B'!D$14*100</f>
        <v>106.7755305931595</v>
      </c>
      <c r="E16" s="11">
        <f>'3B'!E16/'3B'!E$14*100</f>
        <v>92.992502897885075</v>
      </c>
      <c r="F16" s="11">
        <f>'3B'!F16/'3B'!F$14*100</f>
        <v>105.49539257201886</v>
      </c>
      <c r="G16" s="11">
        <f>'3B'!G16/'3B'!G$14*100</f>
        <v>98.769447777847958</v>
      </c>
      <c r="H16" s="11">
        <f>'3B'!H16/'3B'!H$14*100</f>
        <v>86.803563249286199</v>
      </c>
      <c r="I16" s="11">
        <f>'3B'!I16/'3B'!I$14*100</f>
        <v>90.635837966271069</v>
      </c>
      <c r="J16" s="11">
        <f>'3B'!J16/'3B'!J$14*100</f>
        <v>84.164399374745926</v>
      </c>
      <c r="K16" s="11">
        <f>'3B'!K16/'3B'!K$14*100</f>
        <v>96.354822232124747</v>
      </c>
      <c r="M16" s="145">
        <v>2008</v>
      </c>
      <c r="N16" s="145">
        <f t="shared" si="1"/>
        <v>-0.68863746067404641</v>
      </c>
      <c r="O16" s="145">
        <f t="shared" si="1"/>
        <v>0.44849276823120121</v>
      </c>
      <c r="P16" s="145">
        <f t="shared" si="1"/>
        <v>1.6512861467814055</v>
      </c>
      <c r="Q16" s="145">
        <f t="shared" si="1"/>
        <v>-0.69488112455114992</v>
      </c>
      <c r="R16" s="145">
        <f t="shared" si="0"/>
        <v>-0.20533274848463234</v>
      </c>
      <c r="S16" s="145">
        <f t="shared" si="0"/>
        <v>9.2271160084893555</v>
      </c>
      <c r="T16" s="145">
        <f t="shared" si="0"/>
        <v>-4.315990952445925</v>
      </c>
    </row>
    <row r="17" spans="1:20">
      <c r="A17" s="115">
        <v>2010</v>
      </c>
      <c r="B17" s="11">
        <f>'3B'!B17/'3B'!B$14*100</f>
        <v>101.53215257018059</v>
      </c>
      <c r="C17" s="11">
        <f>'3B'!C17/'3B'!C$14*100</f>
        <v>101.8077461815782</v>
      </c>
      <c r="D17" s="11">
        <f>'3B'!D17/'3B'!D$14*100</f>
        <v>111.26018387024442</v>
      </c>
      <c r="E17" s="11">
        <f>'3B'!E17/'3B'!E$14*100</f>
        <v>92.131121203681616</v>
      </c>
      <c r="F17" s="11">
        <f>'3B'!F17/'3B'!F$14*100</f>
        <v>89.123399048803108</v>
      </c>
      <c r="G17" s="11">
        <f>'3B'!G17/'3B'!G$14*100</f>
        <v>101.98442988935948</v>
      </c>
      <c r="H17" s="11">
        <f>'3B'!H17/'3B'!H$14*100</f>
        <v>88.683990336652457</v>
      </c>
      <c r="I17" s="11">
        <f>'3B'!I17/'3B'!I$14*100</f>
        <v>103.7243508093126</v>
      </c>
      <c r="J17" s="11">
        <f>'3B'!J17/'3B'!J$14*100</f>
        <v>102.0143722376137</v>
      </c>
      <c r="K17" s="11">
        <f>'3B'!K17/'3B'!K$14*100</f>
        <v>106.5101917057451</v>
      </c>
      <c r="M17" s="145">
        <v>2009</v>
      </c>
      <c r="N17" s="145">
        <f t="shared" si="1"/>
        <v>1.0094259560066154</v>
      </c>
      <c r="O17" s="145">
        <f t="shared" si="1"/>
        <v>-5.5368989474229524</v>
      </c>
      <c r="P17" s="145">
        <f t="shared" si="1"/>
        <v>5.0410030611701684</v>
      </c>
      <c r="Q17" s="145">
        <f t="shared" si="1"/>
        <v>-6.3567880981857838</v>
      </c>
      <c r="R17" s="145">
        <f t="shared" si="0"/>
        <v>-9.1776740556296801</v>
      </c>
      <c r="S17" s="145">
        <f t="shared" si="0"/>
        <v>-22.945507992535031</v>
      </c>
      <c r="T17" s="145">
        <f t="shared" si="0"/>
        <v>0.70107136108530366</v>
      </c>
    </row>
    <row r="18" spans="1:20">
      <c r="A18" s="115">
        <v>2011</v>
      </c>
      <c r="B18" s="11">
        <f>'3B'!B18/'3B'!B$14*100</f>
        <v>102.20741597727347</v>
      </c>
      <c r="C18" s="11">
        <f>'3B'!C18/'3B'!C$14*100</f>
        <v>97.450811127237031</v>
      </c>
      <c r="D18" s="11">
        <f>'3B'!D18/'3B'!D$14*100</f>
        <v>94.784278490591376</v>
      </c>
      <c r="E18" s="11">
        <f>'3B'!E18/'3B'!E$14*100</f>
        <v>91.268045632067256</v>
      </c>
      <c r="F18" s="11">
        <f>'3B'!F18/'3B'!F$14*100</f>
        <v>80.65142226225413</v>
      </c>
      <c r="G18" s="11">
        <f>'3B'!G18/'3B'!G$14*100</f>
        <v>109.47693098370839</v>
      </c>
      <c r="H18" s="11">
        <f>'3B'!H18/'3B'!H$14*100</f>
        <v>88.351914589946418</v>
      </c>
      <c r="I18" s="11">
        <f>'3B'!I18/'3B'!I$14*100</f>
        <v>98.380383599991205</v>
      </c>
      <c r="J18" s="11">
        <f>'3B'!J18/'3B'!J$14*100</f>
        <v>91.654496206382262</v>
      </c>
      <c r="K18" s="11">
        <f>'3B'!K18/'3B'!K$14*100</f>
        <v>104.06205831851787</v>
      </c>
      <c r="M18" s="145">
        <v>2010</v>
      </c>
      <c r="N18" s="145">
        <f t="shared" si="1"/>
        <v>1.2145037952916216</v>
      </c>
      <c r="O18" s="145">
        <f t="shared" si="1"/>
        <v>7.293941602030074</v>
      </c>
      <c r="P18" s="145">
        <f t="shared" si="1"/>
        <v>4.200075852746199</v>
      </c>
      <c r="Q18" s="145">
        <f t="shared" si="1"/>
        <v>-0.92629154755554666</v>
      </c>
      <c r="R18" s="145">
        <f t="shared" si="0"/>
        <v>14.440769939052412</v>
      </c>
      <c r="S18" s="145">
        <f t="shared" si="0"/>
        <v>21.208459866017627</v>
      </c>
      <c r="T18" s="145">
        <f t="shared" si="0"/>
        <v>10.53955498890906</v>
      </c>
    </row>
    <row r="19" spans="1:20">
      <c r="A19" s="115">
        <v>2012</v>
      </c>
      <c r="B19" s="11">
        <f>'3B'!B19/'3B'!B$14*100</f>
        <v>102.67473982788312</v>
      </c>
      <c r="C19" s="11">
        <f>'3B'!C19/'3B'!C$14*100</f>
        <v>105.93308892088309</v>
      </c>
      <c r="D19" s="11">
        <f>'3B'!D19/'3B'!D$14*100</f>
        <v>94.713016538698028</v>
      </c>
      <c r="E19" s="11">
        <f>'3B'!E19/'3B'!E$14*100</f>
        <v>107.81242214829902</v>
      </c>
      <c r="F19" s="11">
        <f>'3B'!F19/'3B'!F$14*100</f>
        <v>126.62651874538058</v>
      </c>
      <c r="G19" s="11">
        <f>'3B'!G19/'3B'!G$14*100</f>
        <v>119.51809697655086</v>
      </c>
      <c r="H19" s="11">
        <f>'3B'!H19/'3B'!H$14*100</f>
        <v>99.007103069166263</v>
      </c>
      <c r="I19" s="11">
        <f>'3B'!I19/'3B'!I$14*100</f>
        <v>103.89002445043383</v>
      </c>
      <c r="J19" s="11">
        <f>'3B'!J19/'3B'!J$14*100</f>
        <v>82.424436101601387</v>
      </c>
      <c r="K19" s="11">
        <f>'3B'!K19/'3B'!K$14*100</f>
        <v>118.98125567054976</v>
      </c>
      <c r="M19" s="145">
        <v>2011</v>
      </c>
      <c r="N19" s="145">
        <f t="shared" si="1"/>
        <v>0.66507346687654234</v>
      </c>
      <c r="O19" s="145">
        <f t="shared" si="1"/>
        <v>-4.2795712681532034</v>
      </c>
      <c r="P19" s="145">
        <f t="shared" si="1"/>
        <v>-14.808447017189753</v>
      </c>
      <c r="Q19" s="145">
        <f t="shared" si="1"/>
        <v>-0.93679047898080903</v>
      </c>
      <c r="R19" s="145">
        <f t="shared" si="0"/>
        <v>-5.1520854723359655</v>
      </c>
      <c r="S19" s="145">
        <f t="shared" si="0"/>
        <v>-10.15531028030151</v>
      </c>
      <c r="T19" s="145">
        <f t="shared" si="0"/>
        <v>-2.2984968368010006</v>
      </c>
    </row>
    <row r="20" spans="1:20">
      <c r="A20" s="115">
        <v>2013</v>
      </c>
      <c r="B20" s="11">
        <f>'3B'!B20/'3B'!B$14*100</f>
        <v>102.91842984157891</v>
      </c>
      <c r="C20" s="11">
        <f>'3B'!C20/'3B'!C$14*100</f>
        <v>104.40024217085447</v>
      </c>
      <c r="D20" s="11">
        <f>'3B'!D20/'3B'!D$14*100</f>
        <v>103.89076705135123</v>
      </c>
      <c r="E20" s="11">
        <f>'3B'!E20/'3B'!E$14*100</f>
        <v>107.56979211688997</v>
      </c>
      <c r="F20" s="11">
        <f>'3B'!F20/'3B'!F$14*100</f>
        <v>138.50729444325296</v>
      </c>
      <c r="G20" s="11">
        <f>'3B'!G20/'3B'!G$14*100</f>
        <v>119.89941422106389</v>
      </c>
      <c r="H20" s="11">
        <f>'3B'!H20/'3B'!H$14*100</f>
        <v>95.557536952025785</v>
      </c>
      <c r="I20" s="11">
        <f>'3B'!I20/'3B'!I$14*100</f>
        <v>101.21249268445843</v>
      </c>
      <c r="J20" s="11">
        <f>'3B'!J20/'3B'!J$14*100</f>
        <v>82.652023629395757</v>
      </c>
      <c r="K20" s="11">
        <f>'3B'!K20/'3B'!K$14*100</f>
        <v>114.10614484775058</v>
      </c>
      <c r="M20" s="145">
        <v>2012</v>
      </c>
      <c r="N20" s="145">
        <f t="shared" si="1"/>
        <v>0.45723086347624342</v>
      </c>
      <c r="O20" s="145">
        <f t="shared" si="1"/>
        <v>8.7041633574205477</v>
      </c>
      <c r="P20" s="145">
        <f t="shared" si="1"/>
        <v>-7.5183303632386789E-2</v>
      </c>
      <c r="Q20" s="145">
        <f t="shared" si="1"/>
        <v>18.12723873033044</v>
      </c>
      <c r="R20" s="145">
        <f t="shared" si="0"/>
        <v>5.600344955803882</v>
      </c>
      <c r="S20" s="145">
        <f t="shared" si="0"/>
        <v>-10.070493523849787</v>
      </c>
      <c r="T20" s="145">
        <f t="shared" si="0"/>
        <v>14.336827075211733</v>
      </c>
    </row>
    <row r="21" spans="1:20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M21" s="145">
        <v>2013</v>
      </c>
      <c r="N21" s="145">
        <f t="shared" si="1"/>
        <v>0.23734173965699323</v>
      </c>
      <c r="O21" s="145">
        <f t="shared" si="1"/>
        <v>-1.4469952359960403</v>
      </c>
      <c r="P21" s="145">
        <f t="shared" si="1"/>
        <v>9.6900625152228628</v>
      </c>
      <c r="Q21" s="145">
        <f t="shared" si="1"/>
        <v>-0.22504830758305339</v>
      </c>
      <c r="R21" s="145">
        <f t="shared" si="0"/>
        <v>-2.5772751331412547</v>
      </c>
      <c r="S21" s="145">
        <f t="shared" si="0"/>
        <v>0.27611657241286558</v>
      </c>
      <c r="T21" s="145">
        <f t="shared" si="0"/>
        <v>-4.0973771837624522</v>
      </c>
    </row>
    <row r="22" spans="1:20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145" t="s">
        <v>27</v>
      </c>
    </row>
    <row r="24" spans="1:20" ht="30">
      <c r="A24" s="115" t="s">
        <v>19</v>
      </c>
      <c r="B24" s="11">
        <f>((B7/B4)^(1/3)-1)*100</f>
        <v>2.8325719649089365</v>
      </c>
      <c r="C24" s="11">
        <f t="shared" ref="C24:E24" si="2">((C7/C4)^(1/3)-1)*100</f>
        <v>4.2753909691197745</v>
      </c>
      <c r="D24" s="11">
        <f t="shared" si="2"/>
        <v>9.2704686903003264</v>
      </c>
      <c r="E24" s="11">
        <f t="shared" si="2"/>
        <v>7.514667366478478</v>
      </c>
      <c r="F24" s="11">
        <f t="shared" ref="F24:H24" si="3">((F7/F4)^(1/3)-1)*100</f>
        <v>13.592895475715849</v>
      </c>
      <c r="G24" s="11">
        <f t="shared" si="3"/>
        <v>6.5475152868907482</v>
      </c>
      <c r="H24" s="11">
        <f t="shared" si="3"/>
        <v>5.0653256191844909</v>
      </c>
      <c r="I24" s="11">
        <f t="shared" ref="I24:K24" si="4">((I7/I4)^(1/3)-1)*100</f>
        <v>2.663012077618987</v>
      </c>
      <c r="J24" s="11">
        <f t="shared" si="4"/>
        <v>9.9809396247714677</v>
      </c>
      <c r="K24" s="11">
        <f t="shared" si="4"/>
        <v>-4.7864550080158663</v>
      </c>
      <c r="M24" s="145">
        <v>1998</v>
      </c>
      <c r="N24" s="145">
        <f t="shared" ref="N24:N25" si="5">B5/$B$7</f>
        <v>0.93164211810228525</v>
      </c>
      <c r="O24" s="145">
        <f t="shared" ref="O24:O25" si="6">C5/$C$7</f>
        <v>0.8998450735562149</v>
      </c>
      <c r="P24" s="145">
        <f t="shared" ref="P24:P25" si="7">D5/$D$7</f>
        <v>0.86366662967484165</v>
      </c>
      <c r="Q24" s="145">
        <f t="shared" ref="Q24:Q25" si="8">E5/$E$7</f>
        <v>0.84104746754732573</v>
      </c>
      <c r="R24" s="145">
        <f t="shared" ref="R24:R25" si="9">I5/$I$7</f>
        <v>0.9426216403310026</v>
      </c>
      <c r="S24" s="145">
        <f t="shared" ref="S24:S25" si="10">J5/$J$7</f>
        <v>0.83998593828418344</v>
      </c>
      <c r="T24" s="145">
        <f t="shared" ref="T24:T25" si="11">K5/$K$7</f>
        <v>1.0777200143975121</v>
      </c>
    </row>
    <row r="25" spans="1:20" ht="30">
      <c r="A25" s="325" t="s">
        <v>68</v>
      </c>
      <c r="B25" s="11">
        <f>((B14/B7)^(1/7)-1)*100</f>
        <v>0.77719913734470847</v>
      </c>
      <c r="C25" s="11">
        <f t="shared" ref="C25:K25" si="12">((C14/C7)^(1/7)-1)*100</f>
        <v>1.1622343264604984</v>
      </c>
      <c r="D25" s="11">
        <f t="shared" si="12"/>
        <v>0.55173189104709142</v>
      </c>
      <c r="E25" s="11">
        <f t="shared" si="12"/>
        <v>3.805545283781675</v>
      </c>
      <c r="F25" s="11">
        <f t="shared" ref="F25:H25" si="13">((F14/F7)^(1/7)-1)*100</f>
        <v>5.1763810619510409</v>
      </c>
      <c r="G25" s="11">
        <f t="shared" si="13"/>
        <v>8.8970446511908783</v>
      </c>
      <c r="H25" s="11">
        <f t="shared" si="13"/>
        <v>-0.2612845144615572</v>
      </c>
      <c r="I25" s="11">
        <f t="shared" si="12"/>
        <v>-0.12230004844223652</v>
      </c>
      <c r="J25" s="11">
        <f t="shared" si="12"/>
        <v>1.7131517331859136</v>
      </c>
      <c r="K25" s="11">
        <f t="shared" si="12"/>
        <v>0.20414664479371236</v>
      </c>
      <c r="M25" s="145">
        <v>1999</v>
      </c>
      <c r="N25" s="145">
        <f t="shared" si="5"/>
        <v>0.97029202889354116</v>
      </c>
      <c r="O25" s="145">
        <f t="shared" si="6"/>
        <v>0.8514713929072425</v>
      </c>
      <c r="P25" s="145">
        <f t="shared" si="7"/>
        <v>0.89800323799244464</v>
      </c>
      <c r="Q25" s="145">
        <f t="shared" si="8"/>
        <v>0.80796729644274856</v>
      </c>
      <c r="R25" s="145">
        <f t="shared" si="9"/>
        <v>0.86305446584610213</v>
      </c>
      <c r="S25" s="145">
        <f t="shared" si="10"/>
        <v>0.77895309769843168</v>
      </c>
      <c r="T25" s="145">
        <f t="shared" si="11"/>
        <v>0.95730291281217472</v>
      </c>
    </row>
    <row r="26" spans="1:20" ht="30">
      <c r="A26" s="115" t="s">
        <v>69</v>
      </c>
      <c r="B26" s="11">
        <f>((B20/B14)^(1/6)-1)*100</f>
        <v>0.48059358421119747</v>
      </c>
      <c r="C26" s="11">
        <f t="shared" ref="C26:K26" si="14">((C20/C14)^(1/6)-1)*100</f>
        <v>0.72027843434443461</v>
      </c>
      <c r="D26" s="11">
        <f t="shared" si="14"/>
        <v>0.63819189428302447</v>
      </c>
      <c r="E26" s="11">
        <f t="shared" si="14"/>
        <v>1.2235866445885035</v>
      </c>
      <c r="F26" s="11">
        <f t="shared" ref="F26:H26" si="15">((F20/F14)^(1/6)-1)*100</f>
        <v>5.5792990438341628</v>
      </c>
      <c r="G26" s="11">
        <f t="shared" si="15"/>
        <v>3.0709257807417289</v>
      </c>
      <c r="H26" s="11">
        <f t="shared" si="15"/>
        <v>-0.75449989666751538</v>
      </c>
      <c r="I26" s="11">
        <f t="shared" si="14"/>
        <v>0.20106868494242924</v>
      </c>
      <c r="J26" s="11">
        <f t="shared" si="14"/>
        <v>-3.1256246449039904</v>
      </c>
      <c r="K26" s="11">
        <f t="shared" si="14"/>
        <v>2.2236786275102061</v>
      </c>
      <c r="M26" s="145">
        <v>2000</v>
      </c>
      <c r="N26" s="145">
        <f>B7/$B$7</f>
        <v>1</v>
      </c>
      <c r="O26" s="145">
        <f>C7/$C$7</f>
        <v>1</v>
      </c>
      <c r="P26" s="145">
        <f>D7/$D$7</f>
        <v>1</v>
      </c>
      <c r="Q26" s="145">
        <f>E7/$E$7</f>
        <v>1</v>
      </c>
      <c r="R26" s="145">
        <f>I7/$I$7</f>
        <v>1</v>
      </c>
      <c r="S26" s="145">
        <f>J7/$J$7</f>
        <v>1</v>
      </c>
      <c r="T26" s="145">
        <f>K7/$K$7</f>
        <v>1</v>
      </c>
    </row>
    <row r="27" spans="1:20" s="259" customFormat="1" ht="30">
      <c r="A27" s="325" t="s">
        <v>15</v>
      </c>
      <c r="B27" s="11">
        <f>((B20/B7)^(1/13)-1)*100</f>
        <v>0.64019562783679262</v>
      </c>
      <c r="C27" s="11">
        <f t="shared" ref="C27:K27" si="16">((C20/C7)^(1/13)-1)*100</f>
        <v>0.95801422184320639</v>
      </c>
      <c r="D27" s="11">
        <f t="shared" si="16"/>
        <v>0.59162727409065585</v>
      </c>
      <c r="E27" s="11">
        <f t="shared" si="16"/>
        <v>2.6057884986204316</v>
      </c>
      <c r="F27" s="11">
        <f t="shared" ref="F27:H27" si="17">((F20/F7)^(1/13)-1)*100</f>
        <v>5.3621517837359134</v>
      </c>
      <c r="G27" s="11">
        <f t="shared" si="17"/>
        <v>6.1682340542712488</v>
      </c>
      <c r="H27" s="11">
        <f t="shared" si="17"/>
        <v>-0.48922622352588485</v>
      </c>
      <c r="I27" s="11">
        <f t="shared" si="16"/>
        <v>2.6817179980409556E-2</v>
      </c>
      <c r="J27" s="11">
        <f t="shared" si="16"/>
        <v>-0.54945329461562054</v>
      </c>
      <c r="K27" s="11">
        <f t="shared" si="16"/>
        <v>1.1312322978172196</v>
      </c>
    </row>
    <row r="28" spans="1:20">
      <c r="A28" s="115"/>
      <c r="M28" s="145">
        <v>2002</v>
      </c>
      <c r="N28" s="145">
        <f>B9/$B$7</f>
        <v>1.0169888897621875</v>
      </c>
      <c r="O28" s="145">
        <f>C9/$C$7</f>
        <v>1.0283817735739369</v>
      </c>
      <c r="P28" s="145">
        <f>D9/$D$7</f>
        <v>1.126077898026506</v>
      </c>
      <c r="Q28" s="145">
        <f>E9/$E$7</f>
        <v>1.0788551133728841</v>
      </c>
      <c r="R28" s="145">
        <f>I9/$I$7</f>
        <v>0.98017648992750672</v>
      </c>
      <c r="S28" s="145">
        <f>J9/$J$7</f>
        <v>0.95361343386826891</v>
      </c>
      <c r="T28" s="145">
        <f>K9/$K$7</f>
        <v>1.079846630286285</v>
      </c>
    </row>
    <row r="29" spans="1:20" s="237" customFormat="1">
      <c r="A29" s="231" t="s">
        <v>144</v>
      </c>
    </row>
    <row r="30" spans="1:20">
      <c r="A30" s="147" t="s">
        <v>41</v>
      </c>
      <c r="M30" s="145">
        <v>2003</v>
      </c>
      <c r="N30" s="145">
        <f>B10/$B$7</f>
        <v>1.020708352575538</v>
      </c>
      <c r="O30" s="145">
        <f>C10/$C$7</f>
        <v>1.0762812679539075</v>
      </c>
      <c r="P30" s="145">
        <f>D10/$D$7</f>
        <v>1.0561474229772532</v>
      </c>
      <c r="Q30" s="145">
        <f>E10/$E$7</f>
        <v>1.1439192183153863</v>
      </c>
      <c r="R30" s="145">
        <f>I10/$I$7</f>
        <v>1.0394041866862673</v>
      </c>
      <c r="S30" s="145">
        <f>J10/$J$7</f>
        <v>1.0246477562968057</v>
      </c>
      <c r="T30" s="145">
        <f>K10/$K$7</f>
        <v>1.1495474746652685</v>
      </c>
    </row>
    <row r="31" spans="1:20">
      <c r="A31" s="229" t="s">
        <v>311</v>
      </c>
      <c r="M31" s="145">
        <v>2004</v>
      </c>
      <c r="N31" s="145">
        <f>B11/$B$7</f>
        <v>1.0152714217069219</v>
      </c>
      <c r="O31" s="145">
        <f>C11/$C$7</f>
        <v>1.0653485394678073</v>
      </c>
      <c r="P31" s="145">
        <f>D11/$D$7</f>
        <v>1.0545415569302385</v>
      </c>
      <c r="Q31" s="145">
        <f>E11/$E$7</f>
        <v>1.1346111246026938</v>
      </c>
      <c r="R31" s="145">
        <f>I11/$I$7</f>
        <v>1.0242325723986663</v>
      </c>
      <c r="S31" s="145">
        <f>J11/$J$7</f>
        <v>1.0687464180825978</v>
      </c>
      <c r="T31" s="145">
        <f>K11/$K$7</f>
        <v>1.0778154766422525</v>
      </c>
    </row>
    <row r="32" spans="1:20">
      <c r="M32" s="145">
        <v>2008</v>
      </c>
      <c r="N32" s="145">
        <f t="shared" ref="N32:N37" si="18">B15/$B$7</f>
        <v>1.0484191100150555</v>
      </c>
      <c r="O32" s="145">
        <f t="shared" ref="O32:O37" si="19">C15/$C$7</f>
        <v>1.089111426501101</v>
      </c>
      <c r="P32" s="145">
        <f t="shared" ref="P32:P37" si="20">D15/$D$7</f>
        <v>1.0564276622825624</v>
      </c>
      <c r="Q32" s="145">
        <f t="shared" ref="Q32:Q37" si="21">E15/$E$7</f>
        <v>1.2897796321118844</v>
      </c>
      <c r="R32" s="145">
        <f t="shared" ref="R32:R37" si="22">I15/$I$7</f>
        <v>0.98943452969073065</v>
      </c>
      <c r="S32" s="145">
        <f t="shared" ref="S32:S37" si="23">J15/$J$7</f>
        <v>1.2301844960253729</v>
      </c>
      <c r="T32" s="145">
        <f t="shared" ref="T32:T37" si="24">K15/$K$7</f>
        <v>0.97059761653627041</v>
      </c>
    </row>
    <row r="33" spans="13:20">
      <c r="M33" s="145">
        <v>2009</v>
      </c>
      <c r="N33" s="145">
        <f t="shared" si="18"/>
        <v>1.0590021246392809</v>
      </c>
      <c r="O33" s="145">
        <f t="shared" si="19"/>
        <v>1.0288084273908984</v>
      </c>
      <c r="P33" s="145">
        <f t="shared" si="20"/>
        <v>1.1096822130772748</v>
      </c>
      <c r="Q33" s="145">
        <f t="shared" si="21"/>
        <v>1.2077910739649718</v>
      </c>
      <c r="R33" s="145">
        <f t="shared" si="22"/>
        <v>0.89862745356186291</v>
      </c>
      <c r="S33" s="145">
        <f t="shared" si="23"/>
        <v>0.94791241416694416</v>
      </c>
      <c r="T33" s="145">
        <f t="shared" si="24"/>
        <v>0.97740219845718279</v>
      </c>
    </row>
    <row r="34" spans="13:20">
      <c r="M34" s="145">
        <v>2010</v>
      </c>
      <c r="N34" s="145">
        <f t="shared" si="18"/>
        <v>1.0718637456352438</v>
      </c>
      <c r="O34" s="145">
        <f t="shared" si="19"/>
        <v>1.1038491132815544</v>
      </c>
      <c r="P34" s="145">
        <f t="shared" si="20"/>
        <v>1.1562897077509531</v>
      </c>
      <c r="Q34" s="145">
        <f t="shared" si="21"/>
        <v>1.1966034073347038</v>
      </c>
      <c r="R34" s="145">
        <f t="shared" si="22"/>
        <v>1.0283961767398966</v>
      </c>
      <c r="S34" s="145">
        <f t="shared" si="23"/>
        <v>1.1489500380905393</v>
      </c>
      <c r="T34" s="145">
        <f t="shared" si="24"/>
        <v>1.0804160406263836</v>
      </c>
    </row>
    <row r="35" spans="13:20">
      <c r="M35" s="145">
        <v>2011</v>
      </c>
      <c r="N35" s="145">
        <f t="shared" si="18"/>
        <v>1.0789924270085329</v>
      </c>
      <c r="O35" s="145">
        <f t="shared" si="19"/>
        <v>1.0566091037857932</v>
      </c>
      <c r="P35" s="145">
        <f t="shared" si="20"/>
        <v>0.98506115901343494</v>
      </c>
      <c r="Q35" s="145">
        <f t="shared" si="21"/>
        <v>1.1853937405436323</v>
      </c>
      <c r="R35" s="145">
        <f t="shared" si="22"/>
        <v>0.97541232672002187</v>
      </c>
      <c r="S35" s="145">
        <f t="shared" si="23"/>
        <v>1.0322705967568027</v>
      </c>
      <c r="T35" s="145">
        <f t="shared" si="24"/>
        <v>1.0555827121082957</v>
      </c>
    </row>
    <row r="36" spans="13:20">
      <c r="M36" s="145">
        <v>2012</v>
      </c>
      <c r="N36" s="145">
        <f t="shared" si="18"/>
        <v>1.0839259133993873</v>
      </c>
      <c r="O36" s="145">
        <f t="shared" si="19"/>
        <v>1.1485780862286858</v>
      </c>
      <c r="P36" s="145">
        <f t="shared" si="20"/>
        <v>0.98432055749128911</v>
      </c>
      <c r="Q36" s="145">
        <f t="shared" si="21"/>
        <v>1.4002728937863704</v>
      </c>
      <c r="R36" s="145">
        <f t="shared" si="22"/>
        <v>1.0300387817577759</v>
      </c>
      <c r="S36" s="145">
        <f t="shared" si="23"/>
        <v>0.92831585316180321</v>
      </c>
      <c r="T36" s="145">
        <f t="shared" si="24"/>
        <v>1.2069197801790921</v>
      </c>
    </row>
    <row r="37" spans="13:20">
      <c r="M37" s="145">
        <v>2013</v>
      </c>
      <c r="N37" s="145">
        <f t="shared" si="18"/>
        <v>1.0864985220188423</v>
      </c>
      <c r="O37" s="145">
        <f t="shared" si="19"/>
        <v>1.1319582160392623</v>
      </c>
      <c r="P37" s="145">
        <f t="shared" si="20"/>
        <v>1.0797018348623852</v>
      </c>
      <c r="Q37" s="145">
        <f t="shared" si="21"/>
        <v>1.3971216033373599</v>
      </c>
      <c r="R37" s="145">
        <f t="shared" si="22"/>
        <v>1.0034918483738215</v>
      </c>
      <c r="S37" s="145">
        <f t="shared" si="23"/>
        <v>0.93087908707671874</v>
      </c>
      <c r="T37" s="145">
        <f t="shared" si="24"/>
        <v>1.157467724479718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8"/>
  <sheetViews>
    <sheetView view="pageBreakPreview" zoomScaleNormal="100" zoomScaleSheetLayoutView="100" workbookViewId="0">
      <selection activeCell="G35" sqref="G35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4" width="9.28515625" style="3" bestFit="1" customWidth="1"/>
    <col min="5" max="7" width="9.28515625" style="3" customWidth="1"/>
    <col min="8" max="8" width="9.28515625" style="3" bestFit="1" customWidth="1"/>
    <col min="9" max="11" width="9.28515625" style="3" customWidth="1"/>
    <col min="12" max="14" width="9.28515625" style="3" bestFit="1" customWidth="1"/>
    <col min="15" max="15" width="9.140625" style="3"/>
    <col min="16" max="17" width="9.28515625" style="3" hidden="1" customWidth="1"/>
    <col min="18" max="18" width="14.7109375" style="3" hidden="1" customWidth="1"/>
    <col min="19" max="23" width="9.28515625" style="3" hidden="1" customWidth="1"/>
    <col min="24" max="26" width="0" style="3" hidden="1" customWidth="1"/>
    <col min="27" max="16384" width="9.140625" style="3"/>
  </cols>
  <sheetData>
    <row r="1" spans="1:23" ht="45" customHeight="1">
      <c r="A1" s="460" t="s">
        <v>172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23" ht="135">
      <c r="A2" s="19"/>
      <c r="B2" s="19" t="s">
        <v>2</v>
      </c>
      <c r="C2" s="19" t="s">
        <v>8</v>
      </c>
      <c r="D2" s="19" t="s">
        <v>20</v>
      </c>
      <c r="E2" s="54" t="s">
        <v>63</v>
      </c>
      <c r="F2" s="54" t="s">
        <v>64</v>
      </c>
      <c r="G2" s="54" t="s">
        <v>65</v>
      </c>
      <c r="H2" s="19" t="s">
        <v>4</v>
      </c>
      <c r="I2" s="21" t="s">
        <v>36</v>
      </c>
      <c r="J2" s="21" t="s">
        <v>37</v>
      </c>
      <c r="K2" s="21" t="s">
        <v>38</v>
      </c>
      <c r="L2" s="19" t="s">
        <v>5</v>
      </c>
      <c r="M2" s="19" t="s">
        <v>6</v>
      </c>
      <c r="N2" s="19" t="s">
        <v>7</v>
      </c>
    </row>
    <row r="3" spans="1:23">
      <c r="A3" s="19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23">
      <c r="A4" s="20">
        <v>1997</v>
      </c>
      <c r="B4" s="15">
        <v>3174.5</v>
      </c>
      <c r="C4" s="8">
        <f>((D4+H4+L4))</f>
        <v>96.6</v>
      </c>
      <c r="D4" s="15">
        <v>21.6</v>
      </c>
      <c r="E4" s="37">
        <v>0</v>
      </c>
      <c r="F4" s="37">
        <v>0</v>
      </c>
      <c r="G4" s="37">
        <v>21.2</v>
      </c>
      <c r="H4" s="15">
        <v>41.9</v>
      </c>
      <c r="I4" s="37">
        <v>23.7</v>
      </c>
      <c r="J4" s="37">
        <v>4.7</v>
      </c>
      <c r="K4" s="37">
        <v>13.5</v>
      </c>
      <c r="L4" s="15">
        <v>33.1</v>
      </c>
      <c r="M4" s="15">
        <v>27.4</v>
      </c>
      <c r="N4" s="15">
        <v>5.7</v>
      </c>
      <c r="Q4" s="3" t="s">
        <v>24</v>
      </c>
    </row>
    <row r="5" spans="1:23">
      <c r="A5" s="20">
        <v>1998</v>
      </c>
      <c r="B5" s="15">
        <v>3257.7</v>
      </c>
      <c r="C5" s="8">
        <f t="shared" ref="C5:C18" si="0">((D5+H5+L5))</f>
        <v>103.19999999999999</v>
      </c>
      <c r="D5" s="15">
        <v>20.9</v>
      </c>
      <c r="E5" s="37">
        <v>0</v>
      </c>
      <c r="F5" s="37">
        <v>0</v>
      </c>
      <c r="G5" s="37">
        <v>20.7</v>
      </c>
      <c r="H5" s="15">
        <v>45.2</v>
      </c>
      <c r="I5" s="37">
        <v>24.6</v>
      </c>
      <c r="J5" s="37">
        <v>5.8</v>
      </c>
      <c r="K5" s="37">
        <v>14.9</v>
      </c>
      <c r="L5" s="15">
        <v>37.1</v>
      </c>
      <c r="M5" s="15">
        <v>27.8</v>
      </c>
      <c r="N5" s="15">
        <v>9.1999999999999993</v>
      </c>
      <c r="Q5" s="3" t="s">
        <v>2</v>
      </c>
      <c r="R5" s="3" t="s">
        <v>8</v>
      </c>
      <c r="S5" s="3" t="s">
        <v>20</v>
      </c>
      <c r="T5" s="3" t="s">
        <v>4</v>
      </c>
      <c r="U5" s="3" t="s">
        <v>5</v>
      </c>
      <c r="V5" s="3" t="s">
        <v>6</v>
      </c>
      <c r="W5" s="3" t="s">
        <v>7</v>
      </c>
    </row>
    <row r="6" spans="1:23">
      <c r="A6" s="20">
        <v>1999</v>
      </c>
      <c r="B6" s="15">
        <v>3326.6</v>
      </c>
      <c r="C6" s="8">
        <f t="shared" si="0"/>
        <v>108</v>
      </c>
      <c r="D6" s="15">
        <v>21.2</v>
      </c>
      <c r="E6" s="37">
        <v>0</v>
      </c>
      <c r="F6" s="37">
        <v>0</v>
      </c>
      <c r="G6" s="37">
        <v>20.8</v>
      </c>
      <c r="H6" s="15">
        <v>49.3</v>
      </c>
      <c r="I6" s="37">
        <v>26</v>
      </c>
      <c r="J6" s="37">
        <v>6.9</v>
      </c>
      <c r="K6" s="37">
        <v>16.399999999999999</v>
      </c>
      <c r="L6" s="15">
        <v>37.5</v>
      </c>
      <c r="M6" s="15">
        <v>27.7</v>
      </c>
      <c r="N6" s="15">
        <v>9.8000000000000007</v>
      </c>
      <c r="P6" s="3">
        <v>1998</v>
      </c>
      <c r="Q6" s="3">
        <f>((B5/B4)-1)*100</f>
        <v>2.6208851787683063</v>
      </c>
      <c r="R6" s="3">
        <f>((C5/C4)-1)*100</f>
        <v>6.8322981366459645</v>
      </c>
      <c r="S6" s="3">
        <f>((D5/D4)-1)*100</f>
        <v>-3.2407407407407551</v>
      </c>
      <c r="T6" s="3">
        <f t="shared" ref="T6:T20" si="1">((H5/H4)-1)*100</f>
        <v>7.875894988066845</v>
      </c>
      <c r="U6" s="3">
        <f t="shared" ref="U6:W20" si="2">((L5/L4)-1)*100</f>
        <v>12.084592145015115</v>
      </c>
      <c r="V6" s="3">
        <f t="shared" si="2"/>
        <v>1.4598540145985384</v>
      </c>
      <c r="W6" s="3">
        <f t="shared" si="2"/>
        <v>61.403508771929815</v>
      </c>
    </row>
    <row r="7" spans="1:23">
      <c r="A7" s="20">
        <v>2000</v>
      </c>
      <c r="B7" s="15">
        <v>3401.5</v>
      </c>
      <c r="C7" s="8">
        <f t="shared" si="0"/>
        <v>104.7</v>
      </c>
      <c r="D7" s="15">
        <v>17.8</v>
      </c>
      <c r="E7" s="37">
        <v>0</v>
      </c>
      <c r="F7" s="37">
        <v>0</v>
      </c>
      <c r="G7" s="37">
        <v>17.8</v>
      </c>
      <c r="H7" s="15">
        <v>51.4</v>
      </c>
      <c r="I7" s="37">
        <v>24.8</v>
      </c>
      <c r="J7" s="37">
        <v>8.1999999999999993</v>
      </c>
      <c r="K7" s="37">
        <v>18.399999999999999</v>
      </c>
      <c r="L7" s="15">
        <v>35.5</v>
      </c>
      <c r="M7" s="15">
        <v>26.5</v>
      </c>
      <c r="N7" s="15">
        <v>9</v>
      </c>
      <c r="P7" s="3">
        <v>1999</v>
      </c>
      <c r="Q7" s="3">
        <f t="shared" ref="Q7:Q20" si="3">((B6/B5)-1)*100</f>
        <v>2.1149891027411938</v>
      </c>
      <c r="R7" s="3">
        <f t="shared" ref="R7:R20" si="4">((C6/C5)-1)*100</f>
        <v>4.6511627906976827</v>
      </c>
      <c r="S7" s="3">
        <f t="shared" ref="S7:S20" si="5">((D6/D5)-1)*100</f>
        <v>1.4354066985645897</v>
      </c>
      <c r="T7" s="3">
        <f t="shared" si="1"/>
        <v>9.0707964601769895</v>
      </c>
      <c r="U7" s="3">
        <f t="shared" si="2"/>
        <v>1.0781671159029615</v>
      </c>
      <c r="V7" s="3">
        <f t="shared" si="2"/>
        <v>-0.3597122302158362</v>
      </c>
      <c r="W7" s="3">
        <f t="shared" si="2"/>
        <v>6.5217391304347894</v>
      </c>
    </row>
    <row r="8" spans="1:23">
      <c r="A8" s="20">
        <v>2001</v>
      </c>
      <c r="B8" s="15">
        <v>3440.4</v>
      </c>
      <c r="C8" s="8">
        <f t="shared" si="0"/>
        <v>103.8</v>
      </c>
      <c r="D8" s="15">
        <v>18.399999999999999</v>
      </c>
      <c r="E8" s="37">
        <v>0</v>
      </c>
      <c r="F8" s="37">
        <v>0</v>
      </c>
      <c r="G8" s="37">
        <v>18.3</v>
      </c>
      <c r="H8" s="15">
        <v>51.9</v>
      </c>
      <c r="I8" s="37">
        <v>25.5</v>
      </c>
      <c r="J8" s="37">
        <v>7.2</v>
      </c>
      <c r="K8" s="37">
        <v>19.3</v>
      </c>
      <c r="L8" s="15">
        <v>33.5</v>
      </c>
      <c r="M8" s="15">
        <v>23.6</v>
      </c>
      <c r="N8" s="15">
        <v>9.9</v>
      </c>
      <c r="P8" s="3">
        <v>2000</v>
      </c>
      <c r="Q8" s="3">
        <f t="shared" si="3"/>
        <v>2.2515481272169735</v>
      </c>
      <c r="R8" s="3">
        <f t="shared" si="4"/>
        <v>-3.0555555555555558</v>
      </c>
      <c r="S8" s="3">
        <f t="shared" si="5"/>
        <v>-16.037735849056599</v>
      </c>
      <c r="T8" s="3">
        <f t="shared" si="1"/>
        <v>4.2596348884381463</v>
      </c>
      <c r="U8" s="3">
        <f t="shared" si="2"/>
        <v>-5.3333333333333339</v>
      </c>
      <c r="V8" s="3">
        <f t="shared" si="2"/>
        <v>-4.3321299638989119</v>
      </c>
      <c r="W8" s="3">
        <f t="shared" si="2"/>
        <v>-8.163265306122458</v>
      </c>
    </row>
    <row r="9" spans="1:23">
      <c r="A9" s="20">
        <v>2002</v>
      </c>
      <c r="B9" s="15">
        <v>3564.7</v>
      </c>
      <c r="C9" s="8">
        <f t="shared" si="0"/>
        <v>117.50000000000001</v>
      </c>
      <c r="D9" s="15">
        <v>19.600000000000001</v>
      </c>
      <c r="E9" s="37">
        <v>0</v>
      </c>
      <c r="F9" s="37">
        <v>0</v>
      </c>
      <c r="G9" s="37">
        <v>19.3</v>
      </c>
      <c r="H9" s="15">
        <v>65.7</v>
      </c>
      <c r="I9" s="37">
        <v>29.2</v>
      </c>
      <c r="J9" s="37">
        <v>9.1999999999999993</v>
      </c>
      <c r="K9" s="37">
        <v>27.3</v>
      </c>
      <c r="L9" s="15">
        <v>32.200000000000003</v>
      </c>
      <c r="M9" s="15">
        <v>24</v>
      </c>
      <c r="N9" s="15">
        <v>8.1</v>
      </c>
      <c r="P9" s="3">
        <v>2001</v>
      </c>
      <c r="Q9" s="3">
        <f t="shared" si="3"/>
        <v>1.1436131118624182</v>
      </c>
      <c r="R9" s="3">
        <f t="shared" si="4"/>
        <v>-0.85959885386820423</v>
      </c>
      <c r="S9" s="3">
        <f t="shared" si="5"/>
        <v>3.3707865168539186</v>
      </c>
      <c r="T9" s="3">
        <f t="shared" si="1"/>
        <v>0.97276264591439343</v>
      </c>
      <c r="U9" s="3">
        <f t="shared" si="2"/>
        <v>-5.6338028169014116</v>
      </c>
      <c r="V9" s="3">
        <f t="shared" si="2"/>
        <v>-10.943396226415093</v>
      </c>
      <c r="W9" s="3">
        <f t="shared" si="2"/>
        <v>10.000000000000009</v>
      </c>
    </row>
    <row r="10" spans="1:23">
      <c r="A10" s="20">
        <v>2003</v>
      </c>
      <c r="B10" s="15">
        <v>3619.9</v>
      </c>
      <c r="C10" s="8">
        <f t="shared" si="0"/>
        <v>112.1</v>
      </c>
      <c r="D10" s="15">
        <v>17.7</v>
      </c>
      <c r="E10" s="37">
        <v>0</v>
      </c>
      <c r="F10" s="37">
        <v>0</v>
      </c>
      <c r="G10" s="37">
        <v>17.2</v>
      </c>
      <c r="H10" s="15">
        <v>59.9</v>
      </c>
      <c r="I10" s="37">
        <v>25.7</v>
      </c>
      <c r="J10" s="37">
        <v>8.1</v>
      </c>
      <c r="K10" s="37">
        <v>26.1</v>
      </c>
      <c r="L10" s="15">
        <v>34.5</v>
      </c>
      <c r="M10" s="15">
        <v>27.7</v>
      </c>
      <c r="N10" s="15">
        <v>6.8</v>
      </c>
      <c r="P10" s="3">
        <v>2002</v>
      </c>
      <c r="Q10" s="3">
        <f t="shared" si="3"/>
        <v>3.6129519823276279</v>
      </c>
      <c r="R10" s="3">
        <f t="shared" si="4"/>
        <v>13.198458574181139</v>
      </c>
      <c r="S10" s="3">
        <f t="shared" si="5"/>
        <v>6.5217391304347894</v>
      </c>
      <c r="T10" s="3">
        <f t="shared" si="1"/>
        <v>26.589595375722563</v>
      </c>
      <c r="U10" s="3">
        <f t="shared" si="2"/>
        <v>-3.8805970149253688</v>
      </c>
      <c r="V10" s="3">
        <f t="shared" si="2"/>
        <v>1.6949152542372836</v>
      </c>
      <c r="W10" s="3">
        <f t="shared" si="2"/>
        <v>-18.181818181818187</v>
      </c>
    </row>
    <row r="11" spans="1:23">
      <c r="A11" s="20">
        <v>2004</v>
      </c>
      <c r="B11" s="15">
        <v>3673.3</v>
      </c>
      <c r="C11" s="8">
        <f t="shared" si="0"/>
        <v>111.30000000000001</v>
      </c>
      <c r="D11" s="15">
        <v>15.7</v>
      </c>
      <c r="E11" s="37">
        <v>0</v>
      </c>
      <c r="F11" s="37">
        <v>0</v>
      </c>
      <c r="G11" s="37">
        <v>15</v>
      </c>
      <c r="H11" s="15">
        <v>59.7</v>
      </c>
      <c r="I11" s="37">
        <v>26.9</v>
      </c>
      <c r="J11" s="37">
        <v>9</v>
      </c>
      <c r="K11" s="37">
        <v>23.8</v>
      </c>
      <c r="L11" s="15">
        <v>35.9</v>
      </c>
      <c r="M11" s="15">
        <v>27.6</v>
      </c>
      <c r="N11" s="15">
        <v>8.3000000000000007</v>
      </c>
      <c r="P11" s="3">
        <v>2003</v>
      </c>
      <c r="Q11" s="3">
        <f t="shared" si="3"/>
        <v>1.548517406794403</v>
      </c>
      <c r="R11" s="3">
        <f t="shared" si="4"/>
        <v>-4.5957446808510767</v>
      </c>
      <c r="S11" s="3">
        <f t="shared" si="5"/>
        <v>-9.6938775510204138</v>
      </c>
      <c r="T11" s="3">
        <f t="shared" si="1"/>
        <v>-8.8280060882800715</v>
      </c>
      <c r="U11" s="3">
        <f t="shared" si="2"/>
        <v>7.1428571428571397</v>
      </c>
      <c r="V11" s="3">
        <f t="shared" si="2"/>
        <v>15.416666666666657</v>
      </c>
      <c r="W11" s="3">
        <f t="shared" si="2"/>
        <v>-16.049382716049376</v>
      </c>
    </row>
    <row r="12" spans="1:23">
      <c r="A12" s="20">
        <v>2005</v>
      </c>
      <c r="B12" s="15">
        <v>3701.4</v>
      </c>
      <c r="C12" s="8">
        <f t="shared" si="0"/>
        <v>108.9</v>
      </c>
      <c r="D12" s="15">
        <v>14.8</v>
      </c>
      <c r="E12" s="37">
        <v>0</v>
      </c>
      <c r="F12" s="37">
        <v>0</v>
      </c>
      <c r="G12" s="37">
        <v>14.7</v>
      </c>
      <c r="H12" s="15">
        <v>54.2</v>
      </c>
      <c r="I12" s="37">
        <v>22.6</v>
      </c>
      <c r="J12" s="37">
        <v>8</v>
      </c>
      <c r="K12" s="37">
        <v>23.6</v>
      </c>
      <c r="L12" s="15">
        <v>39.9</v>
      </c>
      <c r="M12" s="15">
        <v>26.7</v>
      </c>
      <c r="N12" s="15">
        <v>13.2</v>
      </c>
      <c r="P12" s="3">
        <v>2004</v>
      </c>
      <c r="Q12" s="3">
        <f t="shared" si="3"/>
        <v>1.4751788723445403</v>
      </c>
      <c r="R12" s="3">
        <f t="shared" si="4"/>
        <v>-0.71364852809989721</v>
      </c>
      <c r="S12" s="3">
        <f t="shared" si="5"/>
        <v>-11.299435028248583</v>
      </c>
      <c r="T12" s="3">
        <f t="shared" si="1"/>
        <v>-0.33388981636058856</v>
      </c>
      <c r="U12" s="3">
        <f t="shared" si="2"/>
        <v>4.057971014492745</v>
      </c>
      <c r="V12" s="3">
        <f t="shared" si="2"/>
        <v>-0.36101083032490378</v>
      </c>
      <c r="W12" s="3">
        <f t="shared" si="2"/>
        <v>22.058823529411775</v>
      </c>
    </row>
    <row r="13" spans="1:23">
      <c r="A13" s="20">
        <v>2006</v>
      </c>
      <c r="B13" s="15">
        <v>3742.5</v>
      </c>
      <c r="C13" s="8">
        <f t="shared" si="0"/>
        <v>99.7</v>
      </c>
      <c r="D13" s="15">
        <v>13.5</v>
      </c>
      <c r="E13" s="37">
        <v>0</v>
      </c>
      <c r="F13" s="37">
        <v>0</v>
      </c>
      <c r="G13" s="37">
        <v>13.2</v>
      </c>
      <c r="H13" s="15">
        <v>52.7</v>
      </c>
      <c r="I13" s="37">
        <v>19.100000000000001</v>
      </c>
      <c r="J13" s="37">
        <v>5.9</v>
      </c>
      <c r="K13" s="37">
        <v>27.7</v>
      </c>
      <c r="L13" s="15">
        <v>33.5</v>
      </c>
      <c r="M13" s="15">
        <v>24.7</v>
      </c>
      <c r="N13" s="15">
        <v>8.8000000000000007</v>
      </c>
      <c r="P13" s="3">
        <v>2005</v>
      </c>
      <c r="Q13" s="3">
        <f t="shared" si="3"/>
        <v>0.76497971850923996</v>
      </c>
      <c r="R13" s="3">
        <f t="shared" si="4"/>
        <v>-2.1563342318059342</v>
      </c>
      <c r="S13" s="3">
        <f t="shared" si="5"/>
        <v>-5.7324840764331082</v>
      </c>
      <c r="T13" s="3">
        <f t="shared" si="1"/>
        <v>-9.2127303182579556</v>
      </c>
      <c r="U13" s="3">
        <f t="shared" si="2"/>
        <v>11.142061281337057</v>
      </c>
      <c r="V13" s="3">
        <f t="shared" si="2"/>
        <v>-3.2608695652173947</v>
      </c>
      <c r="W13" s="3">
        <f t="shared" si="2"/>
        <v>59.036144578313234</v>
      </c>
    </row>
    <row r="14" spans="1:23">
      <c r="A14" s="20">
        <v>2007</v>
      </c>
      <c r="B14" s="15">
        <v>3834.1</v>
      </c>
      <c r="C14" s="8">
        <f t="shared" si="0"/>
        <v>78</v>
      </c>
      <c r="D14" s="15">
        <v>10.4</v>
      </c>
      <c r="E14" s="37">
        <v>0</v>
      </c>
      <c r="F14" s="37">
        <v>0</v>
      </c>
      <c r="G14" s="37">
        <v>9.8000000000000007</v>
      </c>
      <c r="H14" s="15">
        <v>40</v>
      </c>
      <c r="I14" s="37">
        <v>13.8</v>
      </c>
      <c r="J14" s="37">
        <v>6.2</v>
      </c>
      <c r="K14" s="37">
        <v>20</v>
      </c>
      <c r="L14" s="15">
        <v>27.6</v>
      </c>
      <c r="M14" s="15">
        <v>18.100000000000001</v>
      </c>
      <c r="N14" s="15">
        <v>9.4</v>
      </c>
      <c r="P14" s="3">
        <v>2006</v>
      </c>
      <c r="Q14" s="3">
        <f t="shared" si="3"/>
        <v>1.1103906629923888</v>
      </c>
      <c r="R14" s="3">
        <f t="shared" si="4"/>
        <v>-8.448117539026633</v>
      </c>
      <c r="S14" s="3">
        <f t="shared" si="5"/>
        <v>-8.7837837837837824</v>
      </c>
      <c r="T14" s="3">
        <f t="shared" si="1"/>
        <v>-2.7675276752767486</v>
      </c>
      <c r="U14" s="3">
        <f t="shared" si="2"/>
        <v>-16.040100250626566</v>
      </c>
      <c r="V14" s="3">
        <f t="shared" si="2"/>
        <v>-7.4906367041198463</v>
      </c>
      <c r="W14" s="3">
        <f t="shared" si="2"/>
        <v>-33.333333333333329</v>
      </c>
    </row>
    <row r="15" spans="1:23">
      <c r="A15" s="20">
        <v>2008</v>
      </c>
      <c r="B15" s="15">
        <v>3880.4</v>
      </c>
      <c r="C15" s="8">
        <f t="shared" si="0"/>
        <v>81.099999999999994</v>
      </c>
      <c r="D15" s="15">
        <v>10.199999999999999</v>
      </c>
      <c r="E15" s="37">
        <v>0</v>
      </c>
      <c r="F15" s="37">
        <v>0</v>
      </c>
      <c r="G15" s="37">
        <v>10.1</v>
      </c>
      <c r="H15" s="15">
        <v>39.799999999999997</v>
      </c>
      <c r="I15" s="37">
        <v>11.5</v>
      </c>
      <c r="J15" s="37">
        <v>5.2</v>
      </c>
      <c r="K15" s="37">
        <v>23.1</v>
      </c>
      <c r="L15" s="15">
        <v>31.1</v>
      </c>
      <c r="M15" s="15">
        <v>21.7</v>
      </c>
      <c r="N15" s="15">
        <v>9.4</v>
      </c>
      <c r="P15" s="3">
        <v>2007</v>
      </c>
      <c r="Q15" s="3">
        <f t="shared" si="3"/>
        <v>2.4475617902471658</v>
      </c>
      <c r="R15" s="3">
        <f t="shared" si="4"/>
        <v>-21.765295887662994</v>
      </c>
      <c r="S15" s="3">
        <f t="shared" si="5"/>
        <v>-22.962962962962962</v>
      </c>
      <c r="T15" s="3">
        <f t="shared" si="1"/>
        <v>-24.098671726755228</v>
      </c>
      <c r="U15" s="3">
        <f t="shared" si="2"/>
        <v>-17.611940298507456</v>
      </c>
      <c r="V15" s="3">
        <f t="shared" si="2"/>
        <v>-26.720647773279349</v>
      </c>
      <c r="W15" s="3">
        <f t="shared" si="2"/>
        <v>6.8181818181818121</v>
      </c>
    </row>
    <row r="16" spans="1:23">
      <c r="A16" s="20">
        <v>2009</v>
      </c>
      <c r="B16" s="15">
        <v>3848.4</v>
      </c>
      <c r="C16" s="8">
        <f t="shared" si="0"/>
        <v>75.3</v>
      </c>
      <c r="D16" s="15">
        <v>7.5</v>
      </c>
      <c r="E16" s="37">
        <v>0</v>
      </c>
      <c r="F16" s="37">
        <v>0</v>
      </c>
      <c r="G16" s="37">
        <v>7.4</v>
      </c>
      <c r="H16" s="15">
        <v>41.5</v>
      </c>
      <c r="I16" s="37">
        <v>10.9</v>
      </c>
      <c r="J16" s="37">
        <v>5.3</v>
      </c>
      <c r="K16" s="37">
        <v>25.3</v>
      </c>
      <c r="L16" s="15">
        <v>26.3</v>
      </c>
      <c r="M16" s="15">
        <v>21.4</v>
      </c>
      <c r="N16" s="15">
        <v>4.8</v>
      </c>
      <c r="P16" s="3">
        <v>2008</v>
      </c>
      <c r="Q16" s="3">
        <f t="shared" si="3"/>
        <v>1.2075845700425081</v>
      </c>
      <c r="R16" s="3">
        <f t="shared" si="4"/>
        <v>3.9743589743589602</v>
      </c>
      <c r="S16" s="3">
        <f t="shared" si="5"/>
        <v>-1.9230769230769384</v>
      </c>
      <c r="T16" s="3">
        <f t="shared" si="1"/>
        <v>-0.50000000000001155</v>
      </c>
      <c r="U16" s="3">
        <f t="shared" si="2"/>
        <v>12.681159420289845</v>
      </c>
      <c r="V16" s="3">
        <f t="shared" si="2"/>
        <v>19.889502762430933</v>
      </c>
      <c r="W16" s="3">
        <f t="shared" si="2"/>
        <v>0</v>
      </c>
    </row>
    <row r="17" spans="1:23">
      <c r="A17" s="20">
        <v>2010</v>
      </c>
      <c r="B17" s="15">
        <v>3915.1</v>
      </c>
      <c r="C17" s="8">
        <f t="shared" si="0"/>
        <v>74.8</v>
      </c>
      <c r="D17" s="15">
        <v>10.1</v>
      </c>
      <c r="E17" s="37">
        <v>0</v>
      </c>
      <c r="F17" s="37">
        <v>0</v>
      </c>
      <c r="G17" s="37">
        <v>9.9</v>
      </c>
      <c r="H17" s="15">
        <v>39.299999999999997</v>
      </c>
      <c r="I17" s="37">
        <v>12.7</v>
      </c>
      <c r="J17" s="37">
        <v>6.2</v>
      </c>
      <c r="K17" s="37">
        <v>20.399999999999999</v>
      </c>
      <c r="L17" s="15">
        <v>25.4</v>
      </c>
      <c r="M17" s="15">
        <v>18.100000000000001</v>
      </c>
      <c r="N17" s="15">
        <v>7.3</v>
      </c>
      <c r="P17" s="3">
        <v>2009</v>
      </c>
      <c r="Q17" s="3">
        <f t="shared" si="3"/>
        <v>-0.82465725182970795</v>
      </c>
      <c r="R17" s="3">
        <f t="shared" si="4"/>
        <v>-7.1516646115906246</v>
      </c>
      <c r="S17" s="3">
        <f t="shared" si="5"/>
        <v>-26.470588235294112</v>
      </c>
      <c r="T17" s="3">
        <f t="shared" si="1"/>
        <v>4.2713567839196109</v>
      </c>
      <c r="U17" s="3">
        <f t="shared" si="2"/>
        <v>-15.434083601286176</v>
      </c>
      <c r="V17" s="3">
        <f t="shared" si="2"/>
        <v>-1.3824884792626779</v>
      </c>
      <c r="W17" s="3">
        <f t="shared" si="2"/>
        <v>-48.936170212765958</v>
      </c>
    </row>
    <row r="18" spans="1:23">
      <c r="A18" s="20">
        <v>2011</v>
      </c>
      <c r="B18" s="15">
        <v>3953.6</v>
      </c>
      <c r="C18" s="8">
        <f t="shared" si="0"/>
        <v>71.699999999999989</v>
      </c>
      <c r="D18" s="15">
        <v>9.1999999999999993</v>
      </c>
      <c r="E18" s="37">
        <v>0</v>
      </c>
      <c r="F18" s="37">
        <v>0</v>
      </c>
      <c r="G18" s="37">
        <v>9.1</v>
      </c>
      <c r="H18" s="15">
        <v>34.4</v>
      </c>
      <c r="I18" s="37">
        <v>11.1</v>
      </c>
      <c r="J18" s="37">
        <v>5.6</v>
      </c>
      <c r="K18" s="37">
        <v>17.7</v>
      </c>
      <c r="L18" s="15">
        <v>28.1</v>
      </c>
      <c r="M18" s="15">
        <v>19.100000000000001</v>
      </c>
      <c r="N18" s="15">
        <v>9</v>
      </c>
      <c r="P18" s="3">
        <v>2010</v>
      </c>
      <c r="Q18" s="3">
        <f t="shared" si="3"/>
        <v>1.7331878183141081</v>
      </c>
      <c r="R18" s="3">
        <f t="shared" si="4"/>
        <v>-0.66401062416998613</v>
      </c>
      <c r="S18" s="3">
        <f t="shared" si="5"/>
        <v>34.666666666666671</v>
      </c>
      <c r="T18" s="3">
        <f t="shared" si="1"/>
        <v>-5.3012048192771166</v>
      </c>
      <c r="U18" s="3">
        <f t="shared" si="2"/>
        <v>-3.4220532319391705</v>
      </c>
      <c r="V18" s="3">
        <f t="shared" si="2"/>
        <v>-15.420560747663536</v>
      </c>
      <c r="W18" s="3">
        <f t="shared" si="2"/>
        <v>52.083333333333329</v>
      </c>
    </row>
    <row r="19" spans="1:23">
      <c r="A19" s="20">
        <v>2012</v>
      </c>
      <c r="B19" s="15">
        <v>3984.4</v>
      </c>
      <c r="C19" s="8">
        <f>((D19+H19+L19))</f>
        <v>71.7</v>
      </c>
      <c r="D19" s="15">
        <v>8.5</v>
      </c>
      <c r="E19" s="37">
        <v>0</v>
      </c>
      <c r="F19" s="37">
        <v>0</v>
      </c>
      <c r="G19" s="37">
        <v>8.4</v>
      </c>
      <c r="H19" s="15">
        <v>37.5</v>
      </c>
      <c r="I19" s="37">
        <v>9.1</v>
      </c>
      <c r="J19" s="37">
        <v>5.3</v>
      </c>
      <c r="K19" s="37">
        <v>23</v>
      </c>
      <c r="L19" s="15">
        <v>25.7</v>
      </c>
      <c r="M19" s="15">
        <v>17.8</v>
      </c>
      <c r="N19" s="15">
        <v>7.9</v>
      </c>
      <c r="P19" s="3">
        <v>2011</v>
      </c>
      <c r="Q19" s="3">
        <f t="shared" si="3"/>
        <v>0.98337207223315737</v>
      </c>
      <c r="R19" s="3">
        <f t="shared" si="4"/>
        <v>-4.144385026737984</v>
      </c>
      <c r="S19" s="3">
        <f t="shared" si="5"/>
        <v>-8.9108910891089188</v>
      </c>
      <c r="T19" s="3">
        <f t="shared" si="1"/>
        <v>-12.468193384223913</v>
      </c>
      <c r="U19" s="3">
        <f t="shared" si="2"/>
        <v>10.629921259842522</v>
      </c>
      <c r="V19" s="3">
        <f t="shared" si="2"/>
        <v>5.5248618784530468</v>
      </c>
      <c r="W19" s="3">
        <f t="shared" si="2"/>
        <v>23.287671232876718</v>
      </c>
    </row>
    <row r="20" spans="1:23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3">
        <v>2012</v>
      </c>
      <c r="Q20" s="3">
        <f t="shared" si="3"/>
        <v>0.7790368271954673</v>
      </c>
      <c r="R20" s="3">
        <f t="shared" si="4"/>
        <v>2.2204460492503131E-14</v>
      </c>
      <c r="S20" s="3">
        <f t="shared" si="5"/>
        <v>-7.6086956521739024</v>
      </c>
      <c r="T20" s="3">
        <f t="shared" si="1"/>
        <v>9.011627906976738</v>
      </c>
      <c r="U20" s="3">
        <f t="shared" si="2"/>
        <v>-8.5409252669039208</v>
      </c>
      <c r="V20" s="3">
        <f t="shared" si="2"/>
        <v>-6.8062827225130906</v>
      </c>
      <c r="W20" s="3">
        <f t="shared" si="2"/>
        <v>-12.222222222222223</v>
      </c>
    </row>
    <row r="21" spans="1:23">
      <c r="A21" s="13"/>
      <c r="B21" s="13"/>
      <c r="C21" s="13"/>
      <c r="D21" s="14"/>
      <c r="E21" s="14"/>
      <c r="F21" s="14"/>
      <c r="G21" s="14"/>
      <c r="H21" s="13"/>
      <c r="I21" s="13"/>
      <c r="J21" s="13"/>
      <c r="K21" s="13"/>
      <c r="L21" s="13"/>
      <c r="M21" s="13"/>
      <c r="N21" s="13"/>
    </row>
    <row r="22" spans="1:2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23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Q23" s="3" t="s">
        <v>27</v>
      </c>
    </row>
    <row r="24" spans="1:23" ht="30">
      <c r="A24" s="19" t="s">
        <v>19</v>
      </c>
      <c r="B24" s="13">
        <f>((B7/B4)^(1/3)-1)*100</f>
        <v>2.328917826503285</v>
      </c>
      <c r="C24" s="13">
        <f>((C7/C4)^(1/3)-1)*100</f>
        <v>2.7203566032799165</v>
      </c>
      <c r="D24" s="13">
        <f t="shared" ref="D24" si="6">((D7/D4)^(1/3)-1)*100</f>
        <v>-6.2462278609690554</v>
      </c>
      <c r="E24" s="62" t="s">
        <v>10</v>
      </c>
      <c r="F24" s="62" t="s">
        <v>10</v>
      </c>
      <c r="G24" s="13">
        <f t="shared" ref="G24:N24" si="7">((G7/G4)^(1/3)-1)*100</f>
        <v>-5.6602515724947562</v>
      </c>
      <c r="H24" s="13">
        <f t="shared" si="7"/>
        <v>7.0491028673171252</v>
      </c>
      <c r="I24" s="13">
        <f t="shared" si="7"/>
        <v>1.523779753892085</v>
      </c>
      <c r="J24" s="13">
        <f t="shared" si="7"/>
        <v>20.384894957355336</v>
      </c>
      <c r="K24" s="13">
        <f t="shared" si="7"/>
        <v>10.873566589384387</v>
      </c>
      <c r="L24" s="13">
        <f t="shared" si="7"/>
        <v>2.3607485337067802</v>
      </c>
      <c r="M24" s="13">
        <f t="shared" si="7"/>
        <v>-1.1071020283892286</v>
      </c>
      <c r="N24" s="13">
        <f t="shared" si="7"/>
        <v>16.445457431121579</v>
      </c>
      <c r="P24" s="3">
        <v>1998</v>
      </c>
      <c r="Q24" s="3">
        <f t="shared" ref="Q24:Q25" si="8">B5/$B$7</f>
        <v>0.95772453329413487</v>
      </c>
      <c r="R24" s="3">
        <f>C5/$C$7</f>
        <v>0.98567335243553</v>
      </c>
      <c r="S24" s="3">
        <f t="shared" ref="S24:S38" si="9">D5/$D$7</f>
        <v>1.1741573033707864</v>
      </c>
      <c r="T24" s="3">
        <f t="shared" ref="T24:T25" si="10">H5/$H$7</f>
        <v>0.87937743190661488</v>
      </c>
      <c r="U24" s="3">
        <f t="shared" ref="U24:U25" si="11">L5/$L$7</f>
        <v>1.0450704225352112</v>
      </c>
      <c r="V24" s="3">
        <f t="shared" ref="V24:V25" si="12">M5/$M$7</f>
        <v>1.0490566037735849</v>
      </c>
      <c r="W24" s="3">
        <f t="shared" ref="W24:W25" si="13">N5/$N$7</f>
        <v>1.0222222222222221</v>
      </c>
    </row>
    <row r="25" spans="1:23" ht="30">
      <c r="A25" s="65" t="s">
        <v>68</v>
      </c>
      <c r="B25" s="13">
        <f>((B14/B7)^(1/7)-1)*100</f>
        <v>1.7249689099840371</v>
      </c>
      <c r="C25" s="13">
        <f t="shared" ref="C25:N25" si="14">((C14/C7)^(1/7)-1)*100</f>
        <v>-4.1183680569220948</v>
      </c>
      <c r="D25" s="13">
        <f t="shared" si="14"/>
        <v>-7.389751798375654</v>
      </c>
      <c r="E25" s="62" t="s">
        <v>10</v>
      </c>
      <c r="F25" s="62" t="s">
        <v>10</v>
      </c>
      <c r="G25" s="13">
        <f t="shared" si="14"/>
        <v>-8.1725982417050318</v>
      </c>
      <c r="H25" s="13">
        <f t="shared" si="14"/>
        <v>-3.5188635592829809</v>
      </c>
      <c r="I25" s="13">
        <f t="shared" si="14"/>
        <v>-8.0329011806498425</v>
      </c>
      <c r="J25" s="13">
        <f t="shared" si="14"/>
        <v>-3.9153579158657914</v>
      </c>
      <c r="K25" s="13">
        <f t="shared" si="14"/>
        <v>1.1982884749976552</v>
      </c>
      <c r="L25" s="13">
        <f t="shared" si="14"/>
        <v>-3.5320696192546186</v>
      </c>
      <c r="M25" s="13">
        <f t="shared" si="14"/>
        <v>-5.3005342978947549</v>
      </c>
      <c r="N25" s="13">
        <f t="shared" si="14"/>
        <v>0.62314943249284216</v>
      </c>
      <c r="P25" s="3">
        <v>1999</v>
      </c>
      <c r="Q25" s="3">
        <f t="shared" si="8"/>
        <v>0.97798030280758486</v>
      </c>
      <c r="R25" s="3">
        <f t="shared" ref="R25:R38" si="15">C6/$C$7</f>
        <v>1.0315186246418337</v>
      </c>
      <c r="S25" s="3">
        <f t="shared" si="9"/>
        <v>1.1910112359550562</v>
      </c>
      <c r="T25" s="3">
        <f t="shared" si="10"/>
        <v>0.95914396887159525</v>
      </c>
      <c r="U25" s="3">
        <f t="shared" si="11"/>
        <v>1.056338028169014</v>
      </c>
      <c r="V25" s="3">
        <f t="shared" si="12"/>
        <v>1.0452830188679245</v>
      </c>
      <c r="W25" s="3">
        <f t="shared" si="13"/>
        <v>1.088888888888889</v>
      </c>
    </row>
    <row r="26" spans="1:23" ht="30">
      <c r="A26" s="65" t="s">
        <v>70</v>
      </c>
      <c r="B26" s="13">
        <f>((B19/B14)^(1/5)-1)*100</f>
        <v>0.77200490084643469</v>
      </c>
      <c r="C26" s="13">
        <f t="shared" ref="C26:N26" si="16">((C19/C14)^(1/5)-1)*100</f>
        <v>-1.6702555220489912</v>
      </c>
      <c r="D26" s="13">
        <f t="shared" si="16"/>
        <v>-3.9544788757999161</v>
      </c>
      <c r="E26" s="62" t="s">
        <v>10</v>
      </c>
      <c r="F26" s="62" t="s">
        <v>10</v>
      </c>
      <c r="G26" s="13">
        <f t="shared" si="16"/>
        <v>-3.0359733904420927</v>
      </c>
      <c r="H26" s="13">
        <f t="shared" si="16"/>
        <v>-1.2824757082590121</v>
      </c>
      <c r="I26" s="13">
        <f t="shared" si="16"/>
        <v>-7.9905443787058772</v>
      </c>
      <c r="J26" s="13">
        <f t="shared" si="16"/>
        <v>-3.0881607331765037</v>
      </c>
      <c r="K26" s="13">
        <f t="shared" si="16"/>
        <v>2.8346722100213606</v>
      </c>
      <c r="L26" s="13">
        <f t="shared" si="16"/>
        <v>-1.4163693750337214</v>
      </c>
      <c r="M26" s="13">
        <f t="shared" si="16"/>
        <v>-0.33371156056259954</v>
      </c>
      <c r="N26" s="13">
        <f t="shared" si="16"/>
        <v>-3.4171875898129644</v>
      </c>
      <c r="P26" s="3">
        <v>2000</v>
      </c>
      <c r="Q26" s="3">
        <f>B7/$B$7</f>
        <v>1</v>
      </c>
      <c r="R26" s="3">
        <f t="shared" si="15"/>
        <v>1</v>
      </c>
      <c r="S26" s="3">
        <f t="shared" si="9"/>
        <v>1</v>
      </c>
      <c r="T26" s="3">
        <f>H7/$H$7</f>
        <v>1</v>
      </c>
      <c r="U26" s="3">
        <f>L7/$L$7</f>
        <v>1</v>
      </c>
      <c r="V26" s="3">
        <f>M7/$M$7</f>
        <v>1</v>
      </c>
      <c r="W26" s="3">
        <f>N7/$N$7</f>
        <v>1</v>
      </c>
    </row>
    <row r="27" spans="1:23" ht="30">
      <c r="A27" s="19" t="s">
        <v>33</v>
      </c>
      <c r="B27" s="13">
        <f>((B19/B4)^(1/15)-1)*100</f>
        <v>1.5264435800005138</v>
      </c>
      <c r="C27" s="13">
        <f t="shared" ref="C27:D27" si="17">((C19/C4)^(1/15)-1)*100</f>
        <v>-1.9676375654908318</v>
      </c>
      <c r="D27" s="13">
        <f t="shared" si="17"/>
        <v>-6.0281713090738487</v>
      </c>
      <c r="E27" s="62" t="s">
        <v>10</v>
      </c>
      <c r="F27" s="62" t="s">
        <v>10</v>
      </c>
      <c r="G27" s="13">
        <f t="shared" ref="G27:N27" si="18">((G19/G4)^(1/15)-1)*100</f>
        <v>-5.9851996006459851</v>
      </c>
      <c r="H27" s="13">
        <f t="shared" si="18"/>
        <v>-0.7369040754635181</v>
      </c>
      <c r="I27" s="13">
        <f t="shared" si="18"/>
        <v>-6.1819929551958808</v>
      </c>
      <c r="J27" s="13">
        <f t="shared" si="18"/>
        <v>0.80417836153996447</v>
      </c>
      <c r="K27" s="13">
        <f t="shared" si="18"/>
        <v>3.6158684041617928</v>
      </c>
      <c r="L27" s="13">
        <f t="shared" si="18"/>
        <v>-1.6727993008067488</v>
      </c>
      <c r="M27" s="13">
        <f t="shared" si="18"/>
        <v>-2.8346776126322859</v>
      </c>
      <c r="N27" s="13">
        <f t="shared" si="18"/>
        <v>2.1998242700430604</v>
      </c>
      <c r="P27" s="3">
        <v>2001</v>
      </c>
      <c r="Q27" s="3">
        <f t="shared" ref="Q27:Q38" si="19">B8/$B$7</f>
        <v>1.0114361311186242</v>
      </c>
      <c r="R27" s="3">
        <f t="shared" si="15"/>
        <v>0.99140401146131796</v>
      </c>
      <c r="S27" s="3">
        <f t="shared" si="9"/>
        <v>1.0337078651685392</v>
      </c>
      <c r="T27" s="3">
        <f t="shared" ref="T27:T38" si="20">H8/$H$7</f>
        <v>1.0097276264591439</v>
      </c>
      <c r="U27" s="3">
        <f t="shared" ref="U27:U38" si="21">L8/$L$7</f>
        <v>0.94366197183098588</v>
      </c>
      <c r="V27" s="3">
        <f t="shared" ref="V27:V38" si="22">M8/$M$7</f>
        <v>0.89056603773584908</v>
      </c>
      <c r="W27" s="3">
        <f t="shared" ref="W27:W38" si="23">N8/$N$7</f>
        <v>1.1000000000000001</v>
      </c>
    </row>
    <row r="28" spans="1:23">
      <c r="P28" s="3">
        <v>2002</v>
      </c>
      <c r="Q28" s="3">
        <f t="shared" si="19"/>
        <v>1.0479788328678523</v>
      </c>
      <c r="R28" s="3">
        <f t="shared" si="15"/>
        <v>1.12225405921681</v>
      </c>
      <c r="S28" s="3">
        <f t="shared" si="9"/>
        <v>1.101123595505618</v>
      </c>
      <c r="T28" s="3">
        <f t="shared" si="20"/>
        <v>1.2782101167315176</v>
      </c>
      <c r="U28" s="3">
        <f t="shared" si="21"/>
        <v>0.90704225352112688</v>
      </c>
      <c r="V28" s="3">
        <f t="shared" si="22"/>
        <v>0.90566037735849059</v>
      </c>
      <c r="W28" s="3">
        <f t="shared" si="23"/>
        <v>0.89999999999999991</v>
      </c>
    </row>
    <row r="29" spans="1:23">
      <c r="A29" s="55" t="s">
        <v>67</v>
      </c>
      <c r="L29" s="58"/>
      <c r="P29" s="3">
        <v>2003</v>
      </c>
      <c r="Q29" s="3">
        <f t="shared" si="19"/>
        <v>1.064206967514332</v>
      </c>
      <c r="R29" s="3">
        <f t="shared" si="15"/>
        <v>1.0706781279847182</v>
      </c>
      <c r="S29" s="3">
        <f t="shared" si="9"/>
        <v>0.99438202247190999</v>
      </c>
      <c r="T29" s="3">
        <f t="shared" si="20"/>
        <v>1.1653696498054475</v>
      </c>
      <c r="U29" s="3">
        <f t="shared" si="21"/>
        <v>0.971830985915493</v>
      </c>
      <c r="V29" s="3">
        <f t="shared" si="22"/>
        <v>1.0452830188679245</v>
      </c>
      <c r="W29" s="3">
        <f t="shared" si="23"/>
        <v>0.75555555555555554</v>
      </c>
    </row>
    <row r="30" spans="1:23">
      <c r="A30" s="59" t="s">
        <v>66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P30" s="3">
        <v>2004</v>
      </c>
      <c r="Q30" s="3">
        <f t="shared" si="19"/>
        <v>1.0799059238571218</v>
      </c>
      <c r="R30" s="3">
        <f t="shared" si="15"/>
        <v>1.0630372492836677</v>
      </c>
      <c r="S30" s="3">
        <f t="shared" si="9"/>
        <v>0.88202247191011229</v>
      </c>
      <c r="T30" s="3">
        <f t="shared" si="20"/>
        <v>1.16147859922179</v>
      </c>
      <c r="U30" s="3">
        <f t="shared" si="21"/>
        <v>1.0112676056338028</v>
      </c>
      <c r="V30" s="3">
        <f t="shared" si="22"/>
        <v>1.0415094339622641</v>
      </c>
      <c r="W30" s="3">
        <f t="shared" si="23"/>
        <v>0.92222222222222228</v>
      </c>
    </row>
    <row r="31" spans="1:23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P31" s="3">
        <v>2005</v>
      </c>
      <c r="Q31" s="3">
        <f t="shared" si="19"/>
        <v>1.0881669851536087</v>
      </c>
      <c r="R31" s="3">
        <f t="shared" si="15"/>
        <v>1.0401146131805157</v>
      </c>
      <c r="S31" s="3">
        <f t="shared" si="9"/>
        <v>0.8314606741573034</v>
      </c>
      <c r="T31" s="3">
        <f t="shared" si="20"/>
        <v>1.0544747081712063</v>
      </c>
      <c r="U31" s="3">
        <f t="shared" si="21"/>
        <v>1.123943661971831</v>
      </c>
      <c r="V31" s="3">
        <f t="shared" si="22"/>
        <v>1.0075471698113208</v>
      </c>
      <c r="W31" s="3">
        <f t="shared" si="23"/>
        <v>1.4666666666666666</v>
      </c>
    </row>
    <row r="32" spans="1:23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P32" s="3">
        <v>2006</v>
      </c>
      <c r="Q32" s="3">
        <f t="shared" si="19"/>
        <v>1.1002498897545201</v>
      </c>
      <c r="R32" s="3">
        <f t="shared" si="15"/>
        <v>0.95224450811843364</v>
      </c>
      <c r="S32" s="3">
        <f t="shared" si="9"/>
        <v>0.7584269662921348</v>
      </c>
      <c r="T32" s="3">
        <f t="shared" si="20"/>
        <v>1.0252918287937745</v>
      </c>
      <c r="U32" s="3">
        <f t="shared" si="21"/>
        <v>0.94366197183098588</v>
      </c>
      <c r="V32" s="3">
        <f t="shared" si="22"/>
        <v>0.93207547169811322</v>
      </c>
      <c r="W32" s="3">
        <f t="shared" si="23"/>
        <v>0.97777777777777786</v>
      </c>
    </row>
    <row r="33" spans="1:23">
      <c r="A33" s="56"/>
      <c r="B33" s="57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  <c r="P33" s="3">
        <v>2007</v>
      </c>
      <c r="Q33" s="3">
        <f t="shared" si="19"/>
        <v>1.1271791856533881</v>
      </c>
      <c r="R33" s="3">
        <f t="shared" si="15"/>
        <v>0.74498567335243548</v>
      </c>
      <c r="S33" s="3">
        <f t="shared" si="9"/>
        <v>0.5842696629213483</v>
      </c>
      <c r="T33" s="3">
        <f t="shared" si="20"/>
        <v>0.77821011673151752</v>
      </c>
      <c r="U33" s="3">
        <f t="shared" si="21"/>
        <v>0.77746478873239444</v>
      </c>
      <c r="V33" s="3">
        <f t="shared" si="22"/>
        <v>0.68301886792452837</v>
      </c>
      <c r="W33" s="3">
        <f t="shared" si="23"/>
        <v>1.0444444444444445</v>
      </c>
    </row>
    <row r="34" spans="1:23">
      <c r="P34" s="3">
        <v>2008</v>
      </c>
      <c r="Q34" s="3">
        <f t="shared" si="19"/>
        <v>1.1407908275760694</v>
      </c>
      <c r="R34" s="3">
        <f t="shared" si="15"/>
        <v>0.77459407831900662</v>
      </c>
      <c r="S34" s="3">
        <f t="shared" si="9"/>
        <v>0.5730337078651685</v>
      </c>
      <c r="T34" s="3">
        <f t="shared" si="20"/>
        <v>0.77431906614785984</v>
      </c>
      <c r="U34" s="3">
        <f t="shared" si="21"/>
        <v>0.87605633802816907</v>
      </c>
      <c r="V34" s="3">
        <f t="shared" si="22"/>
        <v>0.81886792452830182</v>
      </c>
      <c r="W34" s="3">
        <f t="shared" si="23"/>
        <v>1.0444444444444445</v>
      </c>
    </row>
    <row r="35" spans="1:23">
      <c r="P35" s="3">
        <v>2009</v>
      </c>
      <c r="Q35" s="3">
        <f t="shared" si="19"/>
        <v>1.1313832132882553</v>
      </c>
      <c r="R35" s="3">
        <f t="shared" si="15"/>
        <v>0.71919770773638969</v>
      </c>
      <c r="S35" s="3">
        <f t="shared" si="9"/>
        <v>0.42134831460674155</v>
      </c>
      <c r="T35" s="3">
        <f t="shared" si="20"/>
        <v>0.80739299610894943</v>
      </c>
      <c r="U35" s="3">
        <f t="shared" si="21"/>
        <v>0.74084507042253522</v>
      </c>
      <c r="V35" s="3">
        <f t="shared" si="22"/>
        <v>0.80754716981132069</v>
      </c>
      <c r="W35" s="3">
        <f t="shared" si="23"/>
        <v>0.53333333333333333</v>
      </c>
    </row>
    <row r="36" spans="1:23">
      <c r="P36" s="3">
        <v>2010</v>
      </c>
      <c r="Q36" s="3">
        <f t="shared" si="19"/>
        <v>1.1509922093194178</v>
      </c>
      <c r="R36" s="3">
        <f t="shared" si="15"/>
        <v>0.71442215854823299</v>
      </c>
      <c r="S36" s="3">
        <f t="shared" si="9"/>
        <v>0.56741573033707859</v>
      </c>
      <c r="T36" s="3">
        <f t="shared" si="20"/>
        <v>0.7645914396887159</v>
      </c>
      <c r="U36" s="3">
        <f t="shared" si="21"/>
        <v>0.71549295774647881</v>
      </c>
      <c r="V36" s="3">
        <f t="shared" si="22"/>
        <v>0.68301886792452837</v>
      </c>
      <c r="W36" s="3">
        <f t="shared" si="23"/>
        <v>0.81111111111111112</v>
      </c>
    </row>
    <row r="37" spans="1:23">
      <c r="P37" s="3">
        <v>2011</v>
      </c>
      <c r="Q37" s="3">
        <f t="shared" si="19"/>
        <v>1.1623107452594443</v>
      </c>
      <c r="R37" s="3">
        <f t="shared" si="15"/>
        <v>0.68481375358166174</v>
      </c>
      <c r="S37" s="3">
        <f t="shared" si="9"/>
        <v>0.51685393258426959</v>
      </c>
      <c r="T37" s="3">
        <f t="shared" si="20"/>
        <v>0.66926070038910501</v>
      </c>
      <c r="U37" s="3">
        <f t="shared" si="21"/>
        <v>0.79154929577464794</v>
      </c>
      <c r="V37" s="3">
        <f t="shared" si="22"/>
        <v>0.72075471698113214</v>
      </c>
      <c r="W37" s="3">
        <f t="shared" si="23"/>
        <v>1</v>
      </c>
    </row>
    <row r="38" spans="1:23">
      <c r="P38" s="3">
        <v>2012</v>
      </c>
      <c r="Q38" s="3">
        <f t="shared" si="19"/>
        <v>1.1713655740114655</v>
      </c>
      <c r="R38" s="3">
        <f t="shared" si="15"/>
        <v>0.68481375358166185</v>
      </c>
      <c r="S38" s="3">
        <f t="shared" si="9"/>
        <v>0.47752808988764045</v>
      </c>
      <c r="T38" s="3">
        <f t="shared" si="20"/>
        <v>0.72957198443579774</v>
      </c>
      <c r="U38" s="3">
        <f t="shared" si="21"/>
        <v>0.72394366197183102</v>
      </c>
      <c r="V38" s="3">
        <f t="shared" si="22"/>
        <v>0.67169811320754724</v>
      </c>
      <c r="W38" s="3">
        <f t="shared" si="23"/>
        <v>0.87777777777777777</v>
      </c>
    </row>
  </sheetData>
  <mergeCells count="2">
    <mergeCell ref="A1:N1"/>
    <mergeCell ref="A23:N23"/>
  </mergeCells>
  <printOptions gridLines="1"/>
  <pageMargins left="0.7" right="0.7" top="0.75" bottom="0.75" header="0.3" footer="0.3"/>
  <pageSetup scale="65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8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5" width="9.140625" style="3"/>
    <col min="16" max="25" width="0" style="3" hidden="1" customWidth="1"/>
    <col min="26" max="16384" width="9.140625" style="3"/>
  </cols>
  <sheetData>
    <row r="1" spans="1:23">
      <c r="A1" s="454" t="s">
        <v>173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23" ht="135">
      <c r="A2" s="18"/>
      <c r="B2" s="18" t="s">
        <v>2</v>
      </c>
      <c r="C2" s="18" t="s">
        <v>8</v>
      </c>
      <c r="D2" s="18" t="s">
        <v>20</v>
      </c>
      <c r="E2" s="54" t="s">
        <v>63</v>
      </c>
      <c r="F2" s="54" t="s">
        <v>64</v>
      </c>
      <c r="G2" s="54" t="s">
        <v>65</v>
      </c>
      <c r="H2" s="18" t="s">
        <v>4</v>
      </c>
      <c r="I2" s="21" t="s">
        <v>36</v>
      </c>
      <c r="J2" s="21" t="s">
        <v>37</v>
      </c>
      <c r="K2" s="21" t="s">
        <v>38</v>
      </c>
      <c r="L2" s="18" t="s">
        <v>5</v>
      </c>
      <c r="M2" s="18" t="s">
        <v>6</v>
      </c>
      <c r="N2" s="18" t="s">
        <v>7</v>
      </c>
    </row>
    <row r="3" spans="1:23">
      <c r="A3" s="18"/>
      <c r="B3" s="6"/>
      <c r="C3" s="6"/>
      <c r="D3" s="6"/>
      <c r="E3" s="52"/>
      <c r="F3" s="52"/>
      <c r="G3" s="52"/>
      <c r="H3" s="6"/>
      <c r="I3" s="36"/>
      <c r="J3" s="36"/>
      <c r="K3" s="36"/>
      <c r="L3" s="6"/>
      <c r="M3" s="6"/>
      <c r="N3" s="6"/>
    </row>
    <row r="4" spans="1:23">
      <c r="A4" s="18">
        <v>1997</v>
      </c>
      <c r="B4" s="15">
        <f>(5290.7*(1000))/1000</f>
        <v>5290.7</v>
      </c>
      <c r="C4" s="8">
        <f>(D4+H4+L4)</f>
        <v>72.5</v>
      </c>
      <c r="D4" s="15">
        <f>(5.4*(1000))/1000</f>
        <v>5.4</v>
      </c>
      <c r="E4" s="61">
        <v>0</v>
      </c>
      <c r="F4" s="61">
        <v>0</v>
      </c>
      <c r="G4" s="61">
        <v>5.4</v>
      </c>
      <c r="H4" s="15">
        <f>(27.3*(1000))/1000</f>
        <v>27.3</v>
      </c>
      <c r="I4" s="61">
        <v>7</v>
      </c>
      <c r="J4" s="61">
        <v>4.3</v>
      </c>
      <c r="K4" s="61">
        <v>16</v>
      </c>
      <c r="L4" s="15">
        <f>(39.8*(1000))/1000</f>
        <v>39.799999999999997</v>
      </c>
      <c r="M4" s="15">
        <f>(24.3*(1000))/1000</f>
        <v>24.3</v>
      </c>
      <c r="N4" s="15">
        <f>(15.5*(1000))/1000</f>
        <v>15.5</v>
      </c>
      <c r="Q4" s="3" t="s">
        <v>24</v>
      </c>
    </row>
    <row r="5" spans="1:23">
      <c r="A5" s="18">
        <v>1998</v>
      </c>
      <c r="B5" s="15">
        <f>(5453.9*(1000))/1000</f>
        <v>5453.9</v>
      </c>
      <c r="C5" s="8">
        <f t="shared" ref="C5:C19" si="0">(D5+H5+L5)</f>
        <v>79.599999999999994</v>
      </c>
      <c r="D5" s="15">
        <f>(5.8*(1000))/1000</f>
        <v>5.8</v>
      </c>
      <c r="E5" s="61">
        <v>0</v>
      </c>
      <c r="F5" s="61">
        <v>0</v>
      </c>
      <c r="G5" s="61">
        <v>5.8</v>
      </c>
      <c r="H5" s="15">
        <f>(32.1*(1000))/1000</f>
        <v>32.1</v>
      </c>
      <c r="I5" s="61">
        <v>9.8000000000000007</v>
      </c>
      <c r="J5" s="61">
        <v>3.2</v>
      </c>
      <c r="K5" s="61">
        <v>19</v>
      </c>
      <c r="L5" s="15">
        <f>(41.7*(1000))/1000</f>
        <v>41.7</v>
      </c>
      <c r="M5" s="15">
        <f>(22.4*(1000))/1000</f>
        <v>22.4</v>
      </c>
      <c r="N5" s="15">
        <f>(19.3*(1000))/1000</f>
        <v>19.3</v>
      </c>
      <c r="Q5" s="3" t="s">
        <v>2</v>
      </c>
      <c r="R5" s="3" t="s">
        <v>8</v>
      </c>
      <c r="S5" s="3" t="s">
        <v>20</v>
      </c>
      <c r="T5" s="3" t="s">
        <v>4</v>
      </c>
      <c r="U5" s="3" t="s">
        <v>5</v>
      </c>
      <c r="V5" s="3" t="s">
        <v>6</v>
      </c>
      <c r="W5" s="3" t="s">
        <v>7</v>
      </c>
    </row>
    <row r="6" spans="1:23">
      <c r="A6" s="18">
        <v>1999</v>
      </c>
      <c r="B6" s="15">
        <f>(5635.3*(1000))/1000</f>
        <v>5635.3</v>
      </c>
      <c r="C6" s="8">
        <f t="shared" si="0"/>
        <v>71.900000000000006</v>
      </c>
      <c r="D6" s="15">
        <f>(5.2*(1000))/1000</f>
        <v>5.2</v>
      </c>
      <c r="E6" s="61">
        <v>0</v>
      </c>
      <c r="F6" s="61">
        <v>0</v>
      </c>
      <c r="G6" s="61">
        <v>4.9000000000000004</v>
      </c>
      <c r="H6" s="15">
        <f>(29.9*(1000))/1000</f>
        <v>29.9</v>
      </c>
      <c r="I6" s="61">
        <v>7.7</v>
      </c>
      <c r="J6" s="61">
        <v>3.8</v>
      </c>
      <c r="K6" s="61">
        <v>18.3</v>
      </c>
      <c r="L6" s="15">
        <f>(36.8*(1000))/1000</f>
        <v>36.799999999999997</v>
      </c>
      <c r="M6" s="15">
        <f>(16*(1000))/1000</f>
        <v>16</v>
      </c>
      <c r="N6" s="15">
        <f>(20.8*(1000))/1000</f>
        <v>20.8</v>
      </c>
      <c r="P6" s="3">
        <v>1998</v>
      </c>
      <c r="Q6" s="3">
        <f>((B5/B4)-1)*100</f>
        <v>3.0846579847657152</v>
      </c>
      <c r="R6" s="3">
        <f>((C5/C4)-1)*100</f>
        <v>9.7931034482758648</v>
      </c>
      <c r="S6" s="3">
        <f>((D5/D4)-1)*100</f>
        <v>7.4074074074073959</v>
      </c>
      <c r="T6" s="3">
        <f t="shared" ref="T6:T20" si="1">((H5/H4)-1)*100</f>
        <v>17.582417582417587</v>
      </c>
      <c r="U6" s="3">
        <f t="shared" ref="U6:W20" si="2">((L5/L4)-1)*100</f>
        <v>4.7738693467336724</v>
      </c>
      <c r="V6" s="3">
        <f t="shared" si="2"/>
        <v>-7.8189300411522726</v>
      </c>
      <c r="W6" s="3">
        <f t="shared" si="2"/>
        <v>24.516129032258061</v>
      </c>
    </row>
    <row r="7" spans="1:23">
      <c r="A7" s="18">
        <v>2000</v>
      </c>
      <c r="B7" s="15">
        <f>(5814.9*(1000))/1000</f>
        <v>5814.9</v>
      </c>
      <c r="C7" s="8">
        <f t="shared" si="0"/>
        <v>82.4</v>
      </c>
      <c r="D7" s="15">
        <f>(5.6*(1000))/1000</f>
        <v>5.6</v>
      </c>
      <c r="E7" s="61">
        <v>0</v>
      </c>
      <c r="F7" s="61">
        <v>0</v>
      </c>
      <c r="G7" s="61">
        <v>5.3</v>
      </c>
      <c r="H7" s="15">
        <f>(34.6*(1000))/1000</f>
        <v>34.6</v>
      </c>
      <c r="I7" s="61">
        <v>8.1999999999999993</v>
      </c>
      <c r="J7" s="61">
        <v>6.6</v>
      </c>
      <c r="K7" s="61">
        <v>19.8</v>
      </c>
      <c r="L7" s="15">
        <f>(42.2*(1000))/1000</f>
        <v>42.2</v>
      </c>
      <c r="M7" s="15">
        <f>(17.8*(1000))/1000</f>
        <v>17.8</v>
      </c>
      <c r="N7" s="15">
        <f>(24.4*(1000))/1000</f>
        <v>24.4</v>
      </c>
      <c r="P7" s="3">
        <v>1999</v>
      </c>
      <c r="Q7" s="3">
        <f t="shared" ref="Q7:Q20" si="3">((B6/B5)-1)*100</f>
        <v>3.326060250462981</v>
      </c>
      <c r="R7" s="3">
        <f t="shared" ref="R7:R20" si="4">((C6/C5)-1)*100</f>
        <v>-9.6733668341708388</v>
      </c>
      <c r="S7" s="3">
        <f t="shared" ref="S7:S20" si="5">((D6/D5)-1)*100</f>
        <v>-10.344827586206895</v>
      </c>
      <c r="T7" s="3">
        <f t="shared" si="1"/>
        <v>-6.8535825545171463</v>
      </c>
      <c r="U7" s="3">
        <f t="shared" si="2"/>
        <v>-11.750599520383709</v>
      </c>
      <c r="V7" s="3">
        <f t="shared" si="2"/>
        <v>-28.571428571428569</v>
      </c>
      <c r="W7" s="3">
        <f t="shared" si="2"/>
        <v>7.7720207253886064</v>
      </c>
    </row>
    <row r="8" spans="1:23">
      <c r="A8" s="18">
        <v>2001</v>
      </c>
      <c r="B8" s="15">
        <f>(5920.5*(1000))/1000</f>
        <v>5920.5</v>
      </c>
      <c r="C8" s="8">
        <f t="shared" si="0"/>
        <v>76.900000000000006</v>
      </c>
      <c r="D8" s="15">
        <f>(5.5*(1000))/1000</f>
        <v>5.5</v>
      </c>
      <c r="E8" s="61">
        <v>0</v>
      </c>
      <c r="F8" s="61">
        <v>0</v>
      </c>
      <c r="G8" s="61">
        <v>5.3</v>
      </c>
      <c r="H8" s="15">
        <f>(32*(1000))/1000</f>
        <v>32</v>
      </c>
      <c r="I8" s="61">
        <v>7.2</v>
      </c>
      <c r="J8" s="61">
        <v>6.7</v>
      </c>
      <c r="K8" s="61">
        <v>18.100000000000001</v>
      </c>
      <c r="L8" s="15">
        <f>(39.4*(1000))/1000</f>
        <v>39.4</v>
      </c>
      <c r="M8" s="15">
        <f>(21.4*(1000))/1000</f>
        <v>21.4</v>
      </c>
      <c r="N8" s="15">
        <f>(18*(1000))/1000</f>
        <v>18</v>
      </c>
      <c r="P8" s="3">
        <v>2000</v>
      </c>
      <c r="Q8" s="3">
        <f t="shared" si="3"/>
        <v>3.1870530406544306</v>
      </c>
      <c r="R8" s="3">
        <f t="shared" si="4"/>
        <v>14.60361613351877</v>
      </c>
      <c r="S8" s="3">
        <f t="shared" si="5"/>
        <v>7.6923076923076872</v>
      </c>
      <c r="T8" s="3">
        <f t="shared" si="1"/>
        <v>15.719063545150513</v>
      </c>
      <c r="U8" s="3">
        <f t="shared" si="2"/>
        <v>14.673913043478271</v>
      </c>
      <c r="V8" s="3">
        <f t="shared" si="2"/>
        <v>11.250000000000004</v>
      </c>
      <c r="W8" s="3">
        <f t="shared" si="2"/>
        <v>17.307692307692292</v>
      </c>
    </row>
    <row r="9" spans="1:23">
      <c r="A9" s="18">
        <v>2002</v>
      </c>
      <c r="B9" s="15">
        <f>(6028.8*(1000))/1000</f>
        <v>6028.8</v>
      </c>
      <c r="C9" s="8">
        <f t="shared" si="0"/>
        <v>81</v>
      </c>
      <c r="D9" s="15">
        <f>(5.5*(1000))/1000</f>
        <v>5.5</v>
      </c>
      <c r="E9" s="61">
        <v>0</v>
      </c>
      <c r="F9" s="61">
        <v>0</v>
      </c>
      <c r="G9" s="61">
        <v>5.4</v>
      </c>
      <c r="H9" s="15">
        <f>(36.5*(1000))/1000</f>
        <v>36.5</v>
      </c>
      <c r="I9" s="61">
        <v>8.4</v>
      </c>
      <c r="J9" s="61">
        <v>6</v>
      </c>
      <c r="K9" s="61">
        <v>22.1</v>
      </c>
      <c r="L9" s="15">
        <f>(39*(1000))/1000</f>
        <v>39</v>
      </c>
      <c r="M9" s="15">
        <f>(21.2*(1000))/1000</f>
        <v>21.2</v>
      </c>
      <c r="N9" s="15">
        <f>(17.9*(1000))/1000</f>
        <v>17.899999999999999</v>
      </c>
      <c r="P9" s="3">
        <v>2001</v>
      </c>
      <c r="Q9" s="3">
        <f t="shared" si="3"/>
        <v>1.8160243512356233</v>
      </c>
      <c r="R9" s="3">
        <f t="shared" si="4"/>
        <v>-6.6747572815534006</v>
      </c>
      <c r="S9" s="3">
        <f t="shared" si="5"/>
        <v>-1.7857142857142794</v>
      </c>
      <c r="T9" s="3">
        <f t="shared" si="1"/>
        <v>-7.5144508670520249</v>
      </c>
      <c r="U9" s="3">
        <f t="shared" si="2"/>
        <v>-6.6350710900474059</v>
      </c>
      <c r="V9" s="3">
        <f t="shared" si="2"/>
        <v>20.224719101123579</v>
      </c>
      <c r="W9" s="3">
        <f t="shared" si="2"/>
        <v>-26.229508196721309</v>
      </c>
    </row>
    <row r="10" spans="1:23">
      <c r="A10" s="18">
        <v>2003</v>
      </c>
      <c r="B10" s="15">
        <f>(6212.2*(1000))/1000</f>
        <v>6212.2</v>
      </c>
      <c r="C10" s="8">
        <f t="shared" si="0"/>
        <v>85.4</v>
      </c>
      <c r="D10" s="15">
        <f>(5.6*(1000))/1000</f>
        <v>5.6</v>
      </c>
      <c r="E10" s="61">
        <v>0</v>
      </c>
      <c r="F10" s="61">
        <v>0</v>
      </c>
      <c r="G10" s="61">
        <v>5.6</v>
      </c>
      <c r="H10" s="15">
        <f>(38*(1000))/1000</f>
        <v>38</v>
      </c>
      <c r="I10" s="61">
        <v>6.5</v>
      </c>
      <c r="J10" s="61">
        <v>9.5</v>
      </c>
      <c r="K10" s="61">
        <v>22</v>
      </c>
      <c r="L10" s="15">
        <f>(41.8*(1000))/1000</f>
        <v>41.8</v>
      </c>
      <c r="M10" s="15">
        <f>(23.1*(1000))/1000</f>
        <v>23.1</v>
      </c>
      <c r="N10" s="15">
        <f>(18.7*(1000))/1000</f>
        <v>18.7</v>
      </c>
      <c r="P10" s="3">
        <v>2002</v>
      </c>
      <c r="Q10" s="3">
        <f t="shared" si="3"/>
        <v>1.8292373954902574</v>
      </c>
      <c r="R10" s="3">
        <f t="shared" si="4"/>
        <v>5.3315994798439403</v>
      </c>
      <c r="S10" s="3">
        <f t="shared" si="5"/>
        <v>0</v>
      </c>
      <c r="T10" s="3">
        <f t="shared" si="1"/>
        <v>14.0625</v>
      </c>
      <c r="U10" s="3">
        <f t="shared" si="2"/>
        <v>-1.015228426395931</v>
      </c>
      <c r="V10" s="3">
        <f t="shared" si="2"/>
        <v>-0.93457943925233655</v>
      </c>
      <c r="W10" s="3">
        <f t="shared" si="2"/>
        <v>-0.55555555555556468</v>
      </c>
    </row>
    <row r="11" spans="1:23">
      <c r="A11" s="18">
        <v>2004</v>
      </c>
      <c r="B11" s="15">
        <f>(6307.7*(1000))/1000</f>
        <v>6307.7</v>
      </c>
      <c r="C11" s="8">
        <f t="shared" si="0"/>
        <v>90</v>
      </c>
      <c r="D11" s="15">
        <f>(8*(1000))/1000</f>
        <v>8</v>
      </c>
      <c r="E11" s="61">
        <v>0</v>
      </c>
      <c r="F11" s="61">
        <v>0</v>
      </c>
      <c r="G11" s="61">
        <v>8</v>
      </c>
      <c r="H11" s="15">
        <f>(43.5*(1000))/1000</f>
        <v>43.5</v>
      </c>
      <c r="I11" s="61">
        <v>7.8</v>
      </c>
      <c r="J11" s="61">
        <v>9.3000000000000007</v>
      </c>
      <c r="K11" s="61">
        <v>26.5</v>
      </c>
      <c r="L11" s="15">
        <f>(38.5*(1000))/1000</f>
        <v>38.5</v>
      </c>
      <c r="M11" s="15">
        <f>(16.9*(1000))/1000</f>
        <v>16.899999999999999</v>
      </c>
      <c r="N11" s="15">
        <f>(21.6*(1000))/1000</f>
        <v>21.6</v>
      </c>
      <c r="P11" s="3">
        <v>2003</v>
      </c>
      <c r="Q11" s="3">
        <f t="shared" si="3"/>
        <v>3.042064755838636</v>
      </c>
      <c r="R11" s="3">
        <f t="shared" si="4"/>
        <v>5.432098765432114</v>
      </c>
      <c r="S11" s="3">
        <f t="shared" si="5"/>
        <v>1.8181818181818077</v>
      </c>
      <c r="T11" s="3">
        <f t="shared" si="1"/>
        <v>4.1095890410958846</v>
      </c>
      <c r="U11" s="3">
        <f t="shared" si="2"/>
        <v>7.1794871794871762</v>
      </c>
      <c r="V11" s="3">
        <f t="shared" si="2"/>
        <v>8.9622641509434118</v>
      </c>
      <c r="W11" s="3">
        <f t="shared" si="2"/>
        <v>4.4692737430167551</v>
      </c>
    </row>
    <row r="12" spans="1:23">
      <c r="A12" s="18">
        <v>2005</v>
      </c>
      <c r="B12" s="15">
        <f>(6371.1*(1000))/1000</f>
        <v>6371.1</v>
      </c>
      <c r="C12" s="8">
        <f t="shared" si="0"/>
        <v>82.1</v>
      </c>
      <c r="D12" s="15">
        <f>(8.2*(1000))/1000</f>
        <v>8.1999999999999993</v>
      </c>
      <c r="E12" s="61">
        <v>0</v>
      </c>
      <c r="F12" s="61">
        <v>0</v>
      </c>
      <c r="G12" s="61">
        <v>8.1999999999999993</v>
      </c>
      <c r="H12" s="15">
        <f>(39.3*(1000))/1000</f>
        <v>39.299999999999997</v>
      </c>
      <c r="I12" s="61">
        <v>8.1</v>
      </c>
      <c r="J12" s="61">
        <v>10.3</v>
      </c>
      <c r="K12" s="61">
        <v>20.9</v>
      </c>
      <c r="L12" s="15">
        <f>(34.6*(1000))/1000</f>
        <v>34.6</v>
      </c>
      <c r="M12" s="15">
        <f>(14.9*(1000))/1000</f>
        <v>14.9</v>
      </c>
      <c r="N12" s="15">
        <f>(19.8*(1000))/1000</f>
        <v>19.8</v>
      </c>
      <c r="P12" s="3">
        <v>2004</v>
      </c>
      <c r="Q12" s="3">
        <f t="shared" si="3"/>
        <v>1.5372975757380614</v>
      </c>
      <c r="R12" s="3">
        <f t="shared" si="4"/>
        <v>5.3864168618266817</v>
      </c>
      <c r="S12" s="3">
        <f t="shared" si="5"/>
        <v>42.857142857142861</v>
      </c>
      <c r="T12" s="3">
        <f t="shared" si="1"/>
        <v>14.473684210526304</v>
      </c>
      <c r="U12" s="3">
        <f t="shared" si="2"/>
        <v>-7.8947368421052548</v>
      </c>
      <c r="V12" s="3">
        <f t="shared" si="2"/>
        <v>-26.839826839826852</v>
      </c>
      <c r="W12" s="3">
        <f t="shared" si="2"/>
        <v>15.508021390374349</v>
      </c>
    </row>
    <row r="13" spans="1:23">
      <c r="A13" s="18">
        <v>2006</v>
      </c>
      <c r="B13" s="15">
        <f>(6448.7*(1000))/1000</f>
        <v>6448.7</v>
      </c>
      <c r="C13" s="8">
        <f t="shared" si="0"/>
        <v>76.699999999999989</v>
      </c>
      <c r="D13" s="15">
        <f>(6.4*(1000))/1000</f>
        <v>6.4</v>
      </c>
      <c r="E13" s="61">
        <v>0</v>
      </c>
      <c r="F13" s="61">
        <v>0</v>
      </c>
      <c r="G13" s="61">
        <v>6.3</v>
      </c>
      <c r="H13" s="15">
        <f>(39.9*(1000))/1000</f>
        <v>39.9</v>
      </c>
      <c r="I13" s="61">
        <v>7.6</v>
      </c>
      <c r="J13" s="61">
        <v>7.9</v>
      </c>
      <c r="K13" s="61">
        <v>24.4</v>
      </c>
      <c r="L13" s="15">
        <f>(30.4*(1000))/1000</f>
        <v>30.4</v>
      </c>
      <c r="M13" s="15">
        <f>(13.1*(1000))/1000</f>
        <v>13.1</v>
      </c>
      <c r="N13" s="15">
        <f>(17.3*(1000))/1000</f>
        <v>17.3</v>
      </c>
      <c r="P13" s="3">
        <v>2005</v>
      </c>
      <c r="Q13" s="3">
        <f t="shared" si="3"/>
        <v>1.0051207254625494</v>
      </c>
      <c r="R13" s="3">
        <f t="shared" si="4"/>
        <v>-8.7777777777777839</v>
      </c>
      <c r="S13" s="3">
        <f t="shared" si="5"/>
        <v>2.4999999999999911</v>
      </c>
      <c r="T13" s="3">
        <f t="shared" si="1"/>
        <v>-9.6551724137931121</v>
      </c>
      <c r="U13" s="3">
        <f t="shared" si="2"/>
        <v>-10.129870129870122</v>
      </c>
      <c r="V13" s="3">
        <f t="shared" si="2"/>
        <v>-11.834319526627212</v>
      </c>
      <c r="W13" s="3">
        <f t="shared" si="2"/>
        <v>-8.3333333333333375</v>
      </c>
    </row>
    <row r="14" spans="1:23">
      <c r="A14" s="18">
        <v>2007</v>
      </c>
      <c r="B14" s="15">
        <f>(6564.3*(1000))/1000</f>
        <v>6564.3</v>
      </c>
      <c r="C14" s="8">
        <f t="shared" si="0"/>
        <v>64.2</v>
      </c>
      <c r="D14" s="15">
        <f>(5.3*(1000))/1000</f>
        <v>5.3</v>
      </c>
      <c r="E14" s="61">
        <v>0</v>
      </c>
      <c r="F14" s="61">
        <v>0</v>
      </c>
      <c r="G14" s="61">
        <v>5.3</v>
      </c>
      <c r="H14" s="15">
        <f>(31.2*(1000))/1000</f>
        <v>31.2</v>
      </c>
      <c r="I14" s="61">
        <v>9.8000000000000007</v>
      </c>
      <c r="J14" s="61">
        <v>5.9</v>
      </c>
      <c r="K14" s="61">
        <v>15.6</v>
      </c>
      <c r="L14" s="15">
        <f>(27.7*(1000))/1000</f>
        <v>27.7</v>
      </c>
      <c r="M14" s="15">
        <f>(10.5*(1000))/1000</f>
        <v>10.5</v>
      </c>
      <c r="N14" s="15">
        <f>(17.2*(1000))/1000</f>
        <v>17.2</v>
      </c>
      <c r="P14" s="3">
        <v>2006</v>
      </c>
      <c r="Q14" s="3">
        <f t="shared" si="3"/>
        <v>1.2180000313917416</v>
      </c>
      <c r="R14" s="3">
        <f t="shared" si="4"/>
        <v>-6.577344701583443</v>
      </c>
      <c r="S14" s="3">
        <f t="shared" si="5"/>
        <v>-21.951219512195109</v>
      </c>
      <c r="T14" s="3">
        <f t="shared" si="1"/>
        <v>1.5267175572519109</v>
      </c>
      <c r="U14" s="3">
        <f t="shared" si="2"/>
        <v>-12.138728323699432</v>
      </c>
      <c r="V14" s="3">
        <f t="shared" si="2"/>
        <v>-12.080536912751683</v>
      </c>
      <c r="W14" s="3">
        <f t="shared" si="2"/>
        <v>-12.62626262626263</v>
      </c>
    </row>
    <row r="15" spans="1:23">
      <c r="A15" s="18">
        <v>2008</v>
      </c>
      <c r="B15" s="15">
        <f>(6666.3*(1000))/1000</f>
        <v>6666.3</v>
      </c>
      <c r="C15" s="8">
        <f t="shared" si="0"/>
        <v>59.8</v>
      </c>
      <c r="D15" s="15">
        <f>(4.6*(1000))/1000</f>
        <v>4.5999999999999996</v>
      </c>
      <c r="E15" s="61">
        <v>0</v>
      </c>
      <c r="F15" s="61">
        <v>0</v>
      </c>
      <c r="G15" s="61">
        <v>4.5999999999999996</v>
      </c>
      <c r="H15" s="15">
        <f>(24.8*(1000))/1000</f>
        <v>24.8</v>
      </c>
      <c r="I15" s="61">
        <v>5.5</v>
      </c>
      <c r="J15" s="61">
        <v>3.7</v>
      </c>
      <c r="K15" s="61">
        <v>15.6</v>
      </c>
      <c r="L15" s="15">
        <f>(30.4*(1000))/1000</f>
        <v>30.4</v>
      </c>
      <c r="M15" s="15">
        <f>(15.4*(1000))/1000</f>
        <v>15.4</v>
      </c>
      <c r="N15" s="15">
        <f>(15*(1000))/1000</f>
        <v>15</v>
      </c>
      <c r="P15" s="3">
        <v>2007</v>
      </c>
      <c r="Q15" s="3">
        <f t="shared" si="3"/>
        <v>1.792609363127462</v>
      </c>
      <c r="R15" s="3">
        <f t="shared" si="4"/>
        <v>-16.297262059973903</v>
      </c>
      <c r="S15" s="3">
        <f t="shared" si="5"/>
        <v>-17.187500000000011</v>
      </c>
      <c r="T15" s="3">
        <f t="shared" si="1"/>
        <v>-21.804511278195491</v>
      </c>
      <c r="U15" s="3">
        <f t="shared" si="2"/>
        <v>-8.8815789473684177</v>
      </c>
      <c r="V15" s="3">
        <f t="shared" si="2"/>
        <v>-19.847328244274809</v>
      </c>
      <c r="W15" s="3">
        <f t="shared" si="2"/>
        <v>-0.57803468208093012</v>
      </c>
    </row>
    <row r="16" spans="1:23">
      <c r="A16" s="18">
        <v>2009</v>
      </c>
      <c r="B16" s="15">
        <f>(6502*(1000))/1000</f>
        <v>6502</v>
      </c>
      <c r="C16" s="8">
        <f t="shared" si="0"/>
        <v>54.2</v>
      </c>
      <c r="D16" s="15">
        <f>(4.3*(1000))/1000</f>
        <v>4.3</v>
      </c>
      <c r="E16" s="61">
        <v>0</v>
      </c>
      <c r="F16" s="61">
        <v>0</v>
      </c>
      <c r="G16" s="61">
        <v>4.2</v>
      </c>
      <c r="H16" s="15">
        <f>(25.6*(1000))/1000</f>
        <v>25.6</v>
      </c>
      <c r="I16" s="61">
        <v>2.7</v>
      </c>
      <c r="J16" s="61">
        <v>5.8</v>
      </c>
      <c r="K16" s="61">
        <v>17</v>
      </c>
      <c r="L16" s="15">
        <f>(24.3*(1000))/1000</f>
        <v>24.3</v>
      </c>
      <c r="M16" s="15">
        <f>(11*(1000))/1000</f>
        <v>11</v>
      </c>
      <c r="N16" s="15">
        <f>(13.3*(1000))/1000</f>
        <v>13.3</v>
      </c>
      <c r="P16" s="3">
        <v>2008</v>
      </c>
      <c r="Q16" s="3">
        <f t="shared" si="3"/>
        <v>1.5538595128193444</v>
      </c>
      <c r="R16" s="3">
        <f t="shared" si="4"/>
        <v>-6.8535825545171463</v>
      </c>
      <c r="S16" s="3">
        <f t="shared" si="5"/>
        <v>-13.207547169811329</v>
      </c>
      <c r="T16" s="3">
        <f t="shared" si="1"/>
        <v>-20.512820512820507</v>
      </c>
      <c r="U16" s="3">
        <f t="shared" si="2"/>
        <v>9.7472924187725685</v>
      </c>
      <c r="V16" s="3">
        <f t="shared" si="2"/>
        <v>46.666666666666679</v>
      </c>
      <c r="W16" s="3">
        <f t="shared" si="2"/>
        <v>-12.790697674418606</v>
      </c>
    </row>
    <row r="17" spans="1:23">
      <c r="A17" s="18">
        <v>2010</v>
      </c>
      <c r="B17" s="15">
        <f>(6610*(1000))/1000</f>
        <v>6610</v>
      </c>
      <c r="C17" s="8">
        <f t="shared" si="0"/>
        <v>53.7</v>
      </c>
      <c r="D17" s="15">
        <f>(5.4*(1000))/1000</f>
        <v>5.4</v>
      </c>
      <c r="E17" s="61">
        <v>0</v>
      </c>
      <c r="F17" s="61">
        <v>0</v>
      </c>
      <c r="G17" s="61">
        <v>5.3</v>
      </c>
      <c r="H17" s="15">
        <f>(22*(1000))/1000</f>
        <v>22</v>
      </c>
      <c r="I17" s="61">
        <v>4</v>
      </c>
      <c r="J17" s="61">
        <v>3.7</v>
      </c>
      <c r="K17" s="61">
        <v>14.3</v>
      </c>
      <c r="L17" s="15">
        <f>(26.3*(1000))/1000</f>
        <v>26.3</v>
      </c>
      <c r="M17" s="15">
        <f>(10.1*(1000))/1000</f>
        <v>10.1</v>
      </c>
      <c r="N17" s="15">
        <f>(16.2*(1000))/1000</f>
        <v>16.2</v>
      </c>
      <c r="P17" s="3">
        <v>2009</v>
      </c>
      <c r="Q17" s="3">
        <f t="shared" si="3"/>
        <v>-2.4646355549555299</v>
      </c>
      <c r="R17" s="3">
        <f t="shared" si="4"/>
        <v>-9.3645484949832714</v>
      </c>
      <c r="S17" s="3">
        <f t="shared" si="5"/>
        <v>-6.5217391304347778</v>
      </c>
      <c r="T17" s="3">
        <f t="shared" si="1"/>
        <v>3.2258064516129004</v>
      </c>
      <c r="U17" s="3">
        <f t="shared" si="2"/>
        <v>-20.065789473684205</v>
      </c>
      <c r="V17" s="3">
        <f t="shared" si="2"/>
        <v>-28.571428571428569</v>
      </c>
      <c r="W17" s="3">
        <f t="shared" si="2"/>
        <v>-11.333333333333329</v>
      </c>
    </row>
    <row r="18" spans="1:23">
      <c r="A18" s="18">
        <v>2011</v>
      </c>
      <c r="B18" s="15">
        <f>(6731.3*(1000))/1000</f>
        <v>6731.3</v>
      </c>
      <c r="C18" s="8">
        <f t="shared" si="0"/>
        <v>50</v>
      </c>
      <c r="D18" s="15">
        <f>(3.9*(1000))/1000</f>
        <v>3.9</v>
      </c>
      <c r="E18" s="61">
        <v>0</v>
      </c>
      <c r="F18" s="61">
        <v>0</v>
      </c>
      <c r="G18" s="61">
        <v>3.9</v>
      </c>
      <c r="H18" s="15">
        <f>(22.3*(1000))/1000</f>
        <v>22.3</v>
      </c>
      <c r="I18" s="61">
        <v>5.7</v>
      </c>
      <c r="J18" s="61">
        <v>2</v>
      </c>
      <c r="K18" s="61">
        <v>14.6</v>
      </c>
      <c r="L18" s="15">
        <f>(23.8*(1000))/1000</f>
        <v>23.8</v>
      </c>
      <c r="M18" s="15">
        <f>(10.4*(1000))/1000</f>
        <v>10.4</v>
      </c>
      <c r="N18" s="15">
        <f>(13.4*(1000))/1000</f>
        <v>13.4</v>
      </c>
      <c r="P18" s="3">
        <v>2010</v>
      </c>
      <c r="Q18" s="3">
        <f t="shared" si="3"/>
        <v>1.661027376191937</v>
      </c>
      <c r="R18" s="3">
        <f t="shared" si="4"/>
        <v>-0.92250922509224953</v>
      </c>
      <c r="S18" s="3">
        <f t="shared" si="5"/>
        <v>25.581395348837233</v>
      </c>
      <c r="T18" s="3">
        <f t="shared" si="1"/>
        <v>-14.0625</v>
      </c>
      <c r="U18" s="3">
        <f t="shared" si="2"/>
        <v>8.2304526748971263</v>
      </c>
      <c r="V18" s="3">
        <f t="shared" si="2"/>
        <v>-8.1818181818181905</v>
      </c>
      <c r="W18" s="3">
        <f t="shared" si="2"/>
        <v>21.80451127819547</v>
      </c>
    </row>
    <row r="19" spans="1:23">
      <c r="A19" s="18">
        <v>2012</v>
      </c>
      <c r="B19" s="15">
        <f>(6783.7*(1000))/1000</f>
        <v>6783.7</v>
      </c>
      <c r="C19" s="8">
        <f t="shared" si="0"/>
        <v>51</v>
      </c>
      <c r="D19" s="15">
        <f>(3.5*(1000))/1000</f>
        <v>3.5</v>
      </c>
      <c r="E19" s="61">
        <v>0</v>
      </c>
      <c r="F19" s="61">
        <v>0</v>
      </c>
      <c r="G19" s="61">
        <v>3.2</v>
      </c>
      <c r="H19" s="15">
        <f>(25.5*(1000))/1000</f>
        <v>25.5</v>
      </c>
      <c r="I19" s="61">
        <v>5.4</v>
      </c>
      <c r="J19" s="61">
        <v>2.9</v>
      </c>
      <c r="K19" s="61">
        <v>17.100000000000001</v>
      </c>
      <c r="L19" s="15">
        <f>(22*(1000))/1000</f>
        <v>22</v>
      </c>
      <c r="M19" s="15">
        <f>(8.5*(1000))/1000</f>
        <v>8.5</v>
      </c>
      <c r="N19" s="15">
        <f>(13.5*(1000))/1000</f>
        <v>13.5</v>
      </c>
      <c r="P19" s="3">
        <v>2011</v>
      </c>
      <c r="Q19" s="3">
        <f t="shared" si="3"/>
        <v>1.835098335854779</v>
      </c>
      <c r="R19" s="3">
        <f t="shared" si="4"/>
        <v>-6.890130353817514</v>
      </c>
      <c r="S19" s="3">
        <f t="shared" si="5"/>
        <v>-27.777777777777779</v>
      </c>
      <c r="T19" s="3">
        <f t="shared" si="1"/>
        <v>1.3636363636363669</v>
      </c>
      <c r="U19" s="3">
        <f t="shared" si="2"/>
        <v>-9.5057034220532355</v>
      </c>
      <c r="V19" s="3">
        <f t="shared" si="2"/>
        <v>2.9702970297029729</v>
      </c>
      <c r="W19" s="3">
        <f t="shared" si="2"/>
        <v>-17.283950617283949</v>
      </c>
    </row>
    <row r="20" spans="1:23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3">
        <v>2012</v>
      </c>
      <c r="Q20" s="3">
        <f t="shared" si="3"/>
        <v>0.7784528991428008</v>
      </c>
      <c r="R20" s="3">
        <f t="shared" si="4"/>
        <v>2.0000000000000018</v>
      </c>
      <c r="S20" s="3">
        <f t="shared" si="5"/>
        <v>-10.256410256410254</v>
      </c>
      <c r="T20" s="3">
        <f t="shared" si="1"/>
        <v>14.34977578475336</v>
      </c>
      <c r="U20" s="3">
        <f t="shared" si="2"/>
        <v>-7.5630252100840405</v>
      </c>
      <c r="V20" s="3">
        <f t="shared" si="2"/>
        <v>-18.26923076923077</v>
      </c>
      <c r="W20" s="3">
        <f t="shared" si="2"/>
        <v>0.74626865671640896</v>
      </c>
    </row>
    <row r="21" spans="1:23">
      <c r="A21" s="6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23">
      <c r="A22" s="6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23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Q23" s="3" t="s">
        <v>27</v>
      </c>
    </row>
    <row r="24" spans="1:23" ht="30">
      <c r="A24" s="18" t="s">
        <v>19</v>
      </c>
      <c r="B24" s="13">
        <f>((B7/B4)^(1/3)-1)*100</f>
        <v>3.199209679617443</v>
      </c>
      <c r="C24" s="13">
        <f t="shared" ref="C24:D24" si="6">((C7/C4)^(1/3)-1)*100</f>
        <v>4.3589582215330269</v>
      </c>
      <c r="D24" s="13">
        <f t="shared" si="6"/>
        <v>1.2196323958554078</v>
      </c>
      <c r="E24" s="62" t="s">
        <v>10</v>
      </c>
      <c r="F24" s="62" t="s">
        <v>10</v>
      </c>
      <c r="G24" s="13">
        <f t="shared" ref="G24:N24" si="7">((G7/G4)^(1/3)-1)*100</f>
        <v>-0.62113403760515329</v>
      </c>
      <c r="H24" s="13">
        <f t="shared" si="7"/>
        <v>8.2192410627731185</v>
      </c>
      <c r="I24" s="13">
        <f t="shared" si="7"/>
        <v>5.4156936422339541</v>
      </c>
      <c r="J24" s="13">
        <f t="shared" si="7"/>
        <v>15.352008277817465</v>
      </c>
      <c r="K24" s="13">
        <f t="shared" si="7"/>
        <v>7.3614584509470671</v>
      </c>
      <c r="L24" s="13">
        <f t="shared" si="7"/>
        <v>1.9709486512899943</v>
      </c>
      <c r="M24" s="13">
        <f t="shared" si="7"/>
        <v>-9.8557749451892995</v>
      </c>
      <c r="N24" s="13">
        <f t="shared" si="7"/>
        <v>16.328477128206977</v>
      </c>
      <c r="P24" s="3">
        <v>1998</v>
      </c>
      <c r="Q24" s="3">
        <f t="shared" ref="Q24:Q25" si="8">B5/$B$7</f>
        <v>0.93791810693219146</v>
      </c>
      <c r="R24" s="3">
        <f>C5/$C$7</f>
        <v>0.96601941747572806</v>
      </c>
      <c r="S24" s="3">
        <f t="shared" ref="S24:S38" si="9">D5/$D$7</f>
        <v>1.0357142857142858</v>
      </c>
      <c r="T24" s="3">
        <f t="shared" ref="T24:T25" si="10">H5/$H$7</f>
        <v>0.9277456647398844</v>
      </c>
      <c r="U24" s="3">
        <f t="shared" ref="U24:U25" si="11">L5/$L$7</f>
        <v>0.98815165876777256</v>
      </c>
      <c r="V24" s="3">
        <f t="shared" ref="V24:V25" si="12">M5/$M$7</f>
        <v>1.2584269662921348</v>
      </c>
      <c r="W24" s="3">
        <f t="shared" ref="W24:W25" si="13">N5/$N$7</f>
        <v>0.79098360655737709</v>
      </c>
    </row>
    <row r="25" spans="1:23" ht="30">
      <c r="A25" s="63" t="s">
        <v>68</v>
      </c>
      <c r="B25" s="13">
        <f>((B14/B7)^(1/7)-1)*100</f>
        <v>1.7468286292872559</v>
      </c>
      <c r="C25" s="13">
        <f t="shared" ref="C25:N25" si="14">((C14/C7)^(1/7)-1)*100</f>
        <v>-3.5026465825977127</v>
      </c>
      <c r="D25" s="13">
        <f t="shared" si="14"/>
        <v>-0.78348289221720213</v>
      </c>
      <c r="E25" s="62" t="s">
        <v>10</v>
      </c>
      <c r="F25" s="62" t="s">
        <v>10</v>
      </c>
      <c r="G25" s="13">
        <f t="shared" si="14"/>
        <v>0</v>
      </c>
      <c r="H25" s="13">
        <f t="shared" si="14"/>
        <v>-1.4667875553537768</v>
      </c>
      <c r="I25" s="13">
        <f t="shared" si="14"/>
        <v>2.5791011041192746</v>
      </c>
      <c r="J25" s="13">
        <f t="shared" si="14"/>
        <v>-1.58891707044303</v>
      </c>
      <c r="K25" s="13">
        <f t="shared" si="14"/>
        <v>-3.3485248489082853</v>
      </c>
      <c r="L25" s="13">
        <f t="shared" si="14"/>
        <v>-5.8368354524661932</v>
      </c>
      <c r="M25" s="13">
        <f t="shared" si="14"/>
        <v>-7.2630610446434591</v>
      </c>
      <c r="N25" s="13">
        <f t="shared" si="14"/>
        <v>-4.8726240173853297</v>
      </c>
      <c r="P25" s="3">
        <v>1999</v>
      </c>
      <c r="Q25" s="3">
        <f t="shared" si="8"/>
        <v>0.96911382826875792</v>
      </c>
      <c r="R25" s="3">
        <f t="shared" ref="R25:R38" si="15">C6/$C$7</f>
        <v>0.87257281553398058</v>
      </c>
      <c r="S25" s="3">
        <f t="shared" si="9"/>
        <v>0.92857142857142871</v>
      </c>
      <c r="T25" s="3">
        <f t="shared" si="10"/>
        <v>0.86416184971098253</v>
      </c>
      <c r="U25" s="3">
        <f t="shared" si="11"/>
        <v>0.87203791469194303</v>
      </c>
      <c r="V25" s="3">
        <f t="shared" si="12"/>
        <v>0.898876404494382</v>
      </c>
      <c r="W25" s="3">
        <f t="shared" si="13"/>
        <v>0.85245901639344268</v>
      </c>
    </row>
    <row r="26" spans="1:23" ht="30">
      <c r="A26" s="63" t="s">
        <v>70</v>
      </c>
      <c r="B26" s="13">
        <f>((B19/B14)^(1/5)-1)*100</f>
        <v>0.65970250968414579</v>
      </c>
      <c r="C26" s="13">
        <f t="shared" ref="C26:N26" si="16">((C19/C14)^(1/5)-1)*100</f>
        <v>-4.499195608985362</v>
      </c>
      <c r="D26" s="13">
        <f t="shared" si="16"/>
        <v>-7.9638517558145105</v>
      </c>
      <c r="E26" s="62" t="s">
        <v>10</v>
      </c>
      <c r="F26" s="62" t="s">
        <v>10</v>
      </c>
      <c r="G26" s="13">
        <f t="shared" si="16"/>
        <v>-9.5986696240816904</v>
      </c>
      <c r="H26" s="13">
        <f t="shared" si="16"/>
        <v>-3.9544788757999161</v>
      </c>
      <c r="I26" s="13">
        <f t="shared" si="16"/>
        <v>-11.236680180560811</v>
      </c>
      <c r="J26" s="13">
        <f t="shared" si="16"/>
        <v>-13.242066837555488</v>
      </c>
      <c r="K26" s="13">
        <f t="shared" si="16"/>
        <v>1.8531118874858032</v>
      </c>
      <c r="L26" s="13">
        <f t="shared" si="16"/>
        <v>-4.5032520505916001</v>
      </c>
      <c r="M26" s="13">
        <f t="shared" si="16"/>
        <v>-4.138123663706228</v>
      </c>
      <c r="N26" s="13">
        <f t="shared" si="16"/>
        <v>-4.7289252917099738</v>
      </c>
      <c r="P26" s="3">
        <v>2000</v>
      </c>
      <c r="Q26" s="3">
        <f>B7/$B$7</f>
        <v>1</v>
      </c>
      <c r="R26" s="3">
        <f t="shared" si="15"/>
        <v>1</v>
      </c>
      <c r="S26" s="3">
        <f t="shared" si="9"/>
        <v>1</v>
      </c>
      <c r="T26" s="3">
        <f>H7/$H$7</f>
        <v>1</v>
      </c>
      <c r="U26" s="3">
        <f>L7/$L$7</f>
        <v>1</v>
      </c>
      <c r="V26" s="3">
        <f>M7/$M$7</f>
        <v>1</v>
      </c>
      <c r="W26" s="3">
        <f>N7/$N$7</f>
        <v>1</v>
      </c>
    </row>
    <row r="27" spans="1:23" ht="30">
      <c r="A27" s="18" t="s">
        <v>33</v>
      </c>
      <c r="B27" s="13">
        <f>((B19/B4)^(1/15)-1)*100</f>
        <v>1.6709542728031046</v>
      </c>
      <c r="C27" s="13">
        <f t="shared" ref="C27:D27" si="17">((C19/C4)^(1/15)-1)*100</f>
        <v>-2.3177897133154657</v>
      </c>
      <c r="D27" s="13">
        <f t="shared" si="17"/>
        <v>-2.8495196413189539</v>
      </c>
      <c r="E27" s="62" t="s">
        <v>10</v>
      </c>
      <c r="F27" s="62" t="s">
        <v>10</v>
      </c>
      <c r="G27" s="13">
        <f t="shared" ref="G27:N27" si="18">((G19/G4)^(1/15)-1)*100</f>
        <v>-3.4281803698783864</v>
      </c>
      <c r="H27" s="13">
        <f t="shared" si="18"/>
        <v>-0.45368937315249935</v>
      </c>
      <c r="I27" s="13">
        <f t="shared" si="18"/>
        <v>-1.7151947797759859</v>
      </c>
      <c r="J27" s="13">
        <f t="shared" si="18"/>
        <v>-2.5918482893454109</v>
      </c>
      <c r="K27" s="13">
        <f t="shared" si="18"/>
        <v>0.44424881401841088</v>
      </c>
      <c r="L27" s="13">
        <f t="shared" si="18"/>
        <v>-3.8750838626036566</v>
      </c>
      <c r="M27" s="13">
        <f t="shared" si="18"/>
        <v>-6.7631676791047424</v>
      </c>
      <c r="N27" s="13">
        <f t="shared" si="18"/>
        <v>-0.91677402142623654</v>
      </c>
      <c r="P27" s="3">
        <v>2001</v>
      </c>
      <c r="Q27" s="3">
        <f t="shared" ref="Q27:Q38" si="19">B8/$B$7</f>
        <v>1.0181602435123562</v>
      </c>
      <c r="R27" s="3">
        <f t="shared" si="15"/>
        <v>0.93325242718446599</v>
      </c>
      <c r="S27" s="3">
        <f t="shared" si="9"/>
        <v>0.98214285714285721</v>
      </c>
      <c r="T27" s="3">
        <f t="shared" ref="T27:T38" si="20">H8/$H$7</f>
        <v>0.92485549132947975</v>
      </c>
      <c r="U27" s="3">
        <f t="shared" ref="U27:U38" si="21">L8/$L$7</f>
        <v>0.93364928909952594</v>
      </c>
      <c r="V27" s="3">
        <f t="shared" ref="V27:V38" si="22">M8/$M$7</f>
        <v>1.2022471910112358</v>
      </c>
      <c r="W27" s="3">
        <f t="shared" ref="W27:W38" si="23">N8/$N$7</f>
        <v>0.73770491803278693</v>
      </c>
    </row>
    <row r="28" spans="1:23">
      <c r="P28" s="3">
        <v>2002</v>
      </c>
      <c r="Q28" s="3">
        <f t="shared" si="19"/>
        <v>1.036784811432699</v>
      </c>
      <c r="R28" s="3">
        <f t="shared" si="15"/>
        <v>0.98300970873786397</v>
      </c>
      <c r="S28" s="3">
        <f t="shared" si="9"/>
        <v>0.98214285714285721</v>
      </c>
      <c r="T28" s="3">
        <f t="shared" si="20"/>
        <v>1.0549132947976878</v>
      </c>
      <c r="U28" s="3">
        <f t="shared" si="21"/>
        <v>0.92417061611374396</v>
      </c>
      <c r="V28" s="3">
        <f t="shared" si="22"/>
        <v>1.1910112359550562</v>
      </c>
      <c r="W28" s="3">
        <f t="shared" si="23"/>
        <v>0.73360655737704916</v>
      </c>
    </row>
    <row r="29" spans="1:23">
      <c r="A29" s="55" t="s">
        <v>67</v>
      </c>
      <c r="P29" s="3">
        <v>2003</v>
      </c>
      <c r="Q29" s="3">
        <f t="shared" si="19"/>
        <v>1.0683244767751809</v>
      </c>
      <c r="R29" s="3">
        <f t="shared" si="15"/>
        <v>1.0364077669902914</v>
      </c>
      <c r="S29" s="3">
        <f t="shared" si="9"/>
        <v>1</v>
      </c>
      <c r="T29" s="3">
        <f t="shared" si="20"/>
        <v>1.0982658959537572</v>
      </c>
      <c r="U29" s="3">
        <f t="shared" si="21"/>
        <v>0.99052132701421791</v>
      </c>
      <c r="V29" s="3">
        <f t="shared" si="22"/>
        <v>1.297752808988764</v>
      </c>
      <c r="W29" s="3">
        <f t="shared" si="23"/>
        <v>0.76639344262295084</v>
      </c>
    </row>
    <row r="30" spans="1:23">
      <c r="A30" s="59" t="s">
        <v>66</v>
      </c>
      <c r="P30" s="3">
        <v>2004</v>
      </c>
      <c r="Q30" s="3">
        <f t="shared" si="19"/>
        <v>1.0847478030576623</v>
      </c>
      <c r="R30" s="3">
        <f t="shared" si="15"/>
        <v>1.0922330097087378</v>
      </c>
      <c r="S30" s="3">
        <f t="shared" si="9"/>
        <v>1.4285714285714286</v>
      </c>
      <c r="T30" s="3">
        <f t="shared" si="20"/>
        <v>1.2572254335260116</v>
      </c>
      <c r="U30" s="3">
        <f t="shared" si="21"/>
        <v>0.91232227488151652</v>
      </c>
      <c r="V30" s="3">
        <f t="shared" si="22"/>
        <v>0.94943820224719089</v>
      </c>
      <c r="W30" s="3">
        <f t="shared" si="23"/>
        <v>0.88524590163934436</v>
      </c>
    </row>
    <row r="31" spans="1:23">
      <c r="P31" s="3">
        <v>2005</v>
      </c>
      <c r="Q31" s="3">
        <f t="shared" si="19"/>
        <v>1.0956508280451944</v>
      </c>
      <c r="R31" s="3">
        <f t="shared" si="15"/>
        <v>0.99635922330097071</v>
      </c>
      <c r="S31" s="3">
        <f t="shared" si="9"/>
        <v>1.4642857142857142</v>
      </c>
      <c r="T31" s="3">
        <f t="shared" si="20"/>
        <v>1.1358381502890171</v>
      </c>
      <c r="U31" s="3">
        <f t="shared" si="21"/>
        <v>0.81990521327014221</v>
      </c>
      <c r="V31" s="3">
        <f t="shared" si="22"/>
        <v>0.83707865168539319</v>
      </c>
      <c r="W31" s="3">
        <f t="shared" si="23"/>
        <v>0.8114754098360657</v>
      </c>
    </row>
    <row r="32" spans="1:23">
      <c r="P32" s="3">
        <v>2006</v>
      </c>
      <c r="Q32" s="3">
        <f t="shared" si="19"/>
        <v>1.1089958554747288</v>
      </c>
      <c r="R32" s="3">
        <f t="shared" si="15"/>
        <v>0.93082524271844636</v>
      </c>
      <c r="S32" s="3">
        <f t="shared" si="9"/>
        <v>1.142857142857143</v>
      </c>
      <c r="T32" s="3">
        <f t="shared" si="20"/>
        <v>1.153179190751445</v>
      </c>
      <c r="U32" s="3">
        <f t="shared" si="21"/>
        <v>0.72037914691943117</v>
      </c>
      <c r="V32" s="3">
        <f t="shared" si="22"/>
        <v>0.73595505617977519</v>
      </c>
      <c r="W32" s="3">
        <f t="shared" si="23"/>
        <v>0.70901639344262302</v>
      </c>
    </row>
    <row r="33" spans="16:23">
      <c r="P33" s="3">
        <v>2007</v>
      </c>
      <c r="Q33" s="3">
        <f t="shared" si="19"/>
        <v>1.1288758190166641</v>
      </c>
      <c r="R33" s="3">
        <f t="shared" si="15"/>
        <v>0.779126213592233</v>
      </c>
      <c r="S33" s="3">
        <f t="shared" si="9"/>
        <v>0.94642857142857151</v>
      </c>
      <c r="T33" s="3">
        <f t="shared" si="20"/>
        <v>0.90173410404624277</v>
      </c>
      <c r="U33" s="3">
        <f t="shared" si="21"/>
        <v>0.65639810426540279</v>
      </c>
      <c r="V33" s="3">
        <f t="shared" si="22"/>
        <v>0.5898876404494382</v>
      </c>
      <c r="W33" s="3">
        <f t="shared" si="23"/>
        <v>0.70491803278688525</v>
      </c>
    </row>
    <row r="34" spans="16:23">
      <c r="P34" s="3">
        <v>2008</v>
      </c>
      <c r="Q34" s="3">
        <f t="shared" si="19"/>
        <v>1.1464169633183718</v>
      </c>
      <c r="R34" s="3">
        <f t="shared" si="15"/>
        <v>0.72572815533980572</v>
      </c>
      <c r="S34" s="3">
        <f t="shared" si="9"/>
        <v>0.8214285714285714</v>
      </c>
      <c r="T34" s="3">
        <f t="shared" si="20"/>
        <v>0.7167630057803468</v>
      </c>
      <c r="U34" s="3">
        <f t="shared" si="21"/>
        <v>0.72037914691943117</v>
      </c>
      <c r="V34" s="3">
        <f t="shared" si="22"/>
        <v>0.8651685393258427</v>
      </c>
      <c r="W34" s="3">
        <f t="shared" si="23"/>
        <v>0.61475409836065575</v>
      </c>
    </row>
    <row r="35" spans="16:23">
      <c r="P35" s="3">
        <v>2009</v>
      </c>
      <c r="Q35" s="3">
        <f t="shared" si="19"/>
        <v>1.1181619632323858</v>
      </c>
      <c r="R35" s="3">
        <f t="shared" si="15"/>
        <v>0.65776699029126218</v>
      </c>
      <c r="S35" s="3">
        <f t="shared" si="9"/>
        <v>0.7678571428571429</v>
      </c>
      <c r="T35" s="3">
        <f t="shared" si="20"/>
        <v>0.73988439306358378</v>
      </c>
      <c r="U35" s="3">
        <f t="shared" si="21"/>
        <v>0.57582938388625593</v>
      </c>
      <c r="V35" s="3">
        <f t="shared" si="22"/>
        <v>0.6179775280898876</v>
      </c>
      <c r="W35" s="3">
        <f t="shared" si="23"/>
        <v>0.54508196721311486</v>
      </c>
    </row>
    <row r="36" spans="16:23">
      <c r="P36" s="3">
        <v>2010</v>
      </c>
      <c r="Q36" s="3">
        <f t="shared" si="19"/>
        <v>1.1367349395518411</v>
      </c>
      <c r="R36" s="3">
        <f t="shared" si="15"/>
        <v>0.65169902912621358</v>
      </c>
      <c r="S36" s="3">
        <f t="shared" si="9"/>
        <v>0.96428571428571441</v>
      </c>
      <c r="T36" s="3">
        <f t="shared" si="20"/>
        <v>0.63583815028901736</v>
      </c>
      <c r="U36" s="3">
        <f t="shared" si="21"/>
        <v>0.62322274881516582</v>
      </c>
      <c r="V36" s="3">
        <f t="shared" si="22"/>
        <v>0.56741573033707859</v>
      </c>
      <c r="W36" s="3">
        <f t="shared" si="23"/>
        <v>0.66393442622950816</v>
      </c>
    </row>
    <row r="37" spans="16:23">
      <c r="P37" s="3">
        <v>2011</v>
      </c>
      <c r="Q37" s="3">
        <f t="shared" si="19"/>
        <v>1.1575951435106366</v>
      </c>
      <c r="R37" s="3">
        <f t="shared" si="15"/>
        <v>0.60679611650485432</v>
      </c>
      <c r="S37" s="3">
        <f t="shared" si="9"/>
        <v>0.69642857142857151</v>
      </c>
      <c r="T37" s="3">
        <f t="shared" si="20"/>
        <v>0.6445086705202312</v>
      </c>
      <c r="U37" s="3">
        <f t="shared" si="21"/>
        <v>0.56398104265402837</v>
      </c>
      <c r="V37" s="3">
        <f t="shared" si="22"/>
        <v>0.5842696629213483</v>
      </c>
      <c r="W37" s="3">
        <f t="shared" si="23"/>
        <v>0.54918032786885251</v>
      </c>
    </row>
    <row r="38" spans="16:23">
      <c r="P38" s="3">
        <v>2012</v>
      </c>
      <c r="Q38" s="3">
        <f t="shared" si="19"/>
        <v>1.1666064764656314</v>
      </c>
      <c r="R38" s="3">
        <f t="shared" si="15"/>
        <v>0.6189320388349514</v>
      </c>
      <c r="S38" s="3">
        <f t="shared" si="9"/>
        <v>0.625</v>
      </c>
      <c r="T38" s="3">
        <f t="shared" si="20"/>
        <v>0.73699421965317913</v>
      </c>
      <c r="U38" s="3">
        <f t="shared" si="21"/>
        <v>0.52132701421800942</v>
      </c>
      <c r="V38" s="3">
        <f t="shared" si="22"/>
        <v>0.47752808988764045</v>
      </c>
      <c r="W38" s="3">
        <f t="shared" si="23"/>
        <v>0.55327868852459017</v>
      </c>
    </row>
  </sheetData>
  <mergeCells count="2">
    <mergeCell ref="A1:N1"/>
    <mergeCell ref="A23:N23"/>
  </mergeCells>
  <printOptions gridLines="1"/>
  <pageMargins left="0.7" right="0.7" top="0.75" bottom="0.75" header="0.3" footer="0.3"/>
  <pageSetup scale="67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4" width="9.28515625" style="3" bestFit="1" customWidth="1"/>
    <col min="5" max="7" width="9.28515625" style="3" customWidth="1"/>
    <col min="8" max="8" width="9.28515625" style="3" bestFit="1" customWidth="1"/>
    <col min="9" max="11" width="9.28515625" style="3" customWidth="1"/>
    <col min="12" max="14" width="9.28515625" style="3" bestFit="1" customWidth="1"/>
    <col min="15" max="15" width="9.140625" style="3"/>
    <col min="16" max="17" width="9.28515625" style="3" hidden="1" customWidth="1"/>
    <col min="18" max="18" width="14.7109375" style="3" hidden="1" customWidth="1"/>
    <col min="19" max="23" width="9.28515625" style="3" hidden="1" customWidth="1"/>
    <col min="24" max="26" width="0" style="3" hidden="1" customWidth="1"/>
    <col min="27" max="16384" width="9.140625" style="3"/>
  </cols>
  <sheetData>
    <row r="1" spans="1:23" ht="45" customHeight="1">
      <c r="A1" s="460" t="s">
        <v>174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23" ht="135">
      <c r="A2" s="23"/>
      <c r="B2" s="23" t="s">
        <v>2</v>
      </c>
      <c r="C2" s="23" t="s">
        <v>8</v>
      </c>
      <c r="D2" s="23" t="s">
        <v>20</v>
      </c>
      <c r="E2" s="54" t="s">
        <v>63</v>
      </c>
      <c r="F2" s="54" t="s">
        <v>64</v>
      </c>
      <c r="G2" s="54" t="s">
        <v>65</v>
      </c>
      <c r="H2" s="23" t="s">
        <v>4</v>
      </c>
      <c r="I2" s="22" t="s">
        <v>36</v>
      </c>
      <c r="J2" s="22" t="s">
        <v>37</v>
      </c>
      <c r="K2" s="22" t="s">
        <v>38</v>
      </c>
      <c r="L2" s="23" t="s">
        <v>5</v>
      </c>
      <c r="M2" s="23" t="s">
        <v>6</v>
      </c>
      <c r="N2" s="23" t="s">
        <v>7</v>
      </c>
    </row>
    <row r="3" spans="1:23">
      <c r="A3" s="23"/>
      <c r="B3" s="13"/>
      <c r="C3" s="13"/>
    </row>
    <row r="4" spans="1:23">
      <c r="A4" s="20">
        <v>2001</v>
      </c>
      <c r="B4" s="25">
        <v>3059149</v>
      </c>
      <c r="C4" s="8">
        <f>D4+H4+L4</f>
        <v>88347</v>
      </c>
      <c r="D4" s="25">
        <v>14179</v>
      </c>
      <c r="E4" s="25" t="s">
        <v>9</v>
      </c>
      <c r="F4" s="25" t="s">
        <v>9</v>
      </c>
      <c r="G4" s="25">
        <v>13035</v>
      </c>
      <c r="H4" s="25">
        <v>40324</v>
      </c>
      <c r="I4" s="25">
        <v>20061</v>
      </c>
      <c r="J4" s="25">
        <v>6535</v>
      </c>
      <c r="K4" s="25">
        <v>13728</v>
      </c>
      <c r="L4" s="25">
        <v>33844</v>
      </c>
      <c r="M4" s="25">
        <v>20102</v>
      </c>
      <c r="N4" s="25">
        <v>13742</v>
      </c>
      <c r="P4" s="3">
        <v>2000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  <c r="W4" s="3" t="e">
        <f>((#REF!/#REF!)-1)*100</f>
        <v>#REF!</v>
      </c>
    </row>
    <row r="5" spans="1:23">
      <c r="A5" s="20">
        <v>2002</v>
      </c>
      <c r="B5" s="25">
        <v>3104776</v>
      </c>
      <c r="C5" s="8">
        <f t="shared" ref="C5:C16" si="0">D5+H5+L5</f>
        <v>84962</v>
      </c>
      <c r="D5" s="25">
        <v>13461</v>
      </c>
      <c r="E5" s="25">
        <v>372</v>
      </c>
      <c r="F5" s="25" t="s">
        <v>9</v>
      </c>
      <c r="G5" s="25">
        <v>12809</v>
      </c>
      <c r="H5" s="25">
        <v>39755</v>
      </c>
      <c r="I5" s="25">
        <v>18502</v>
      </c>
      <c r="J5" s="25">
        <v>7021</v>
      </c>
      <c r="K5" s="25">
        <v>14232</v>
      </c>
      <c r="L5" s="25">
        <v>31746</v>
      </c>
      <c r="M5" s="25">
        <v>18252</v>
      </c>
      <c r="N5" s="25">
        <v>13494</v>
      </c>
      <c r="P5" s="3">
        <v>2001</v>
      </c>
      <c r="Q5" s="3" t="e">
        <f>((B4/#REF!)-1)*100</f>
        <v>#REF!</v>
      </c>
      <c r="R5" s="3" t="e">
        <f>((C4/#REF!)-1)*100</f>
        <v>#REF!</v>
      </c>
      <c r="S5" s="3" t="e">
        <f>((D5/#REF!)-1)*100</f>
        <v>#REF!</v>
      </c>
      <c r="T5" s="3" t="e">
        <f>((I5/#REF!)-1)*100</f>
        <v>#REF!</v>
      </c>
      <c r="U5" s="3" t="e">
        <f>((M5/#REF!)-1)*100</f>
        <v>#REF!</v>
      </c>
      <c r="V5" s="3" t="e">
        <f>((N5/#REF!)-1)*100</f>
        <v>#REF!</v>
      </c>
      <c r="W5" s="3" t="e">
        <f>((#REF!/#REF!)-1)*100</f>
        <v>#REF!</v>
      </c>
    </row>
    <row r="6" spans="1:23">
      <c r="A6" s="20">
        <v>2003</v>
      </c>
      <c r="B6" s="25">
        <v>3165586</v>
      </c>
      <c r="C6" s="8">
        <f t="shared" si="0"/>
        <v>88115</v>
      </c>
      <c r="D6" s="25">
        <v>14257</v>
      </c>
      <c r="E6" s="25">
        <v>226</v>
      </c>
      <c r="F6" s="25" t="s">
        <v>9</v>
      </c>
      <c r="G6" s="25">
        <v>12218</v>
      </c>
      <c r="H6" s="25">
        <v>42168</v>
      </c>
      <c r="I6" s="25">
        <v>17726</v>
      </c>
      <c r="J6" s="25">
        <v>7504</v>
      </c>
      <c r="K6" s="25">
        <v>16939</v>
      </c>
      <c r="L6" s="25">
        <v>31690</v>
      </c>
      <c r="M6" s="25">
        <v>18339</v>
      </c>
      <c r="N6" s="25">
        <v>13350</v>
      </c>
      <c r="P6" s="3">
        <v>2002</v>
      </c>
      <c r="Q6" s="3">
        <f t="shared" ref="Q6:R16" si="1">((B5/B4)-1)*100</f>
        <v>1.4914932224615374</v>
      </c>
      <c r="R6" s="3">
        <f t="shared" si="1"/>
        <v>-3.8314826762651855</v>
      </c>
      <c r="S6" s="3">
        <f t="shared" ref="S6:S16" si="2">((D6/D5)-1)*100</f>
        <v>5.9133793923185518</v>
      </c>
      <c r="T6" s="3">
        <f t="shared" ref="T6:T16" si="3">((I6/I5)-1)*100</f>
        <v>-4.1941411739271466</v>
      </c>
      <c r="U6" s="3">
        <f t="shared" ref="U6:U16" si="4">((M6/M5)-1)*100</f>
        <v>0.47666009204470061</v>
      </c>
      <c r="V6" s="3">
        <f t="shared" ref="V6:V16" si="5">((N6/N5)-1)*100</f>
        <v>-1.067140951534018</v>
      </c>
      <c r="W6" s="3" t="e">
        <f>((#REF!/#REF!)-1)*100</f>
        <v>#REF!</v>
      </c>
    </row>
    <row r="7" spans="1:23">
      <c r="A7" s="20">
        <v>2004</v>
      </c>
      <c r="B7" s="25">
        <v>3203929</v>
      </c>
      <c r="C7" s="8">
        <f t="shared" si="0"/>
        <v>88759</v>
      </c>
      <c r="D7" s="25">
        <v>14140</v>
      </c>
      <c r="E7" s="25">
        <v>210</v>
      </c>
      <c r="F7" s="25" t="s">
        <v>9</v>
      </c>
      <c r="G7" s="25">
        <v>11860</v>
      </c>
      <c r="H7" s="25">
        <v>44406</v>
      </c>
      <c r="I7" s="25">
        <v>18483</v>
      </c>
      <c r="J7" s="25">
        <v>8281</v>
      </c>
      <c r="K7" s="25">
        <v>17642</v>
      </c>
      <c r="L7" s="25">
        <v>30213</v>
      </c>
      <c r="M7" s="25">
        <v>17898</v>
      </c>
      <c r="N7" s="25">
        <v>12315</v>
      </c>
      <c r="P7" s="3">
        <v>2003</v>
      </c>
      <c r="Q7" s="3">
        <f t="shared" si="1"/>
        <v>1.9585954026957175</v>
      </c>
      <c r="R7" s="3">
        <f t="shared" si="1"/>
        <v>3.7110708316659302</v>
      </c>
      <c r="S7" s="3">
        <f t="shared" si="2"/>
        <v>-0.82064950550606586</v>
      </c>
      <c r="T7" s="3">
        <f t="shared" si="3"/>
        <v>4.2705630147805484</v>
      </c>
      <c r="U7" s="3">
        <f t="shared" si="4"/>
        <v>-2.4047112710616769</v>
      </c>
      <c r="V7" s="3">
        <f t="shared" si="5"/>
        <v>-7.7528089887640483</v>
      </c>
      <c r="W7" s="3" t="e">
        <f>((#REF!/#REF!)-1)*100</f>
        <v>#REF!</v>
      </c>
    </row>
    <row r="8" spans="1:23">
      <c r="A8" s="20">
        <v>2005</v>
      </c>
      <c r="B8" s="25">
        <v>3242760</v>
      </c>
      <c r="C8" s="8">
        <f t="shared" si="0"/>
        <v>86647</v>
      </c>
      <c r="D8" s="25">
        <v>13644</v>
      </c>
      <c r="E8" s="25">
        <v>218</v>
      </c>
      <c r="F8" s="25" t="s">
        <v>9</v>
      </c>
      <c r="G8" s="25">
        <v>11380</v>
      </c>
      <c r="H8" s="25">
        <v>43297</v>
      </c>
      <c r="I8" s="25">
        <v>17882</v>
      </c>
      <c r="J8" s="25">
        <v>8214</v>
      </c>
      <c r="K8" s="25">
        <v>17201</v>
      </c>
      <c r="L8" s="25">
        <v>29706</v>
      </c>
      <c r="M8" s="25">
        <v>17206</v>
      </c>
      <c r="N8" s="25">
        <v>12500</v>
      </c>
      <c r="P8" s="3">
        <v>2004</v>
      </c>
      <c r="Q8" s="3">
        <f t="shared" si="1"/>
        <v>1.2112449322179142</v>
      </c>
      <c r="R8" s="3">
        <f t="shared" si="1"/>
        <v>0.73086307666119232</v>
      </c>
      <c r="S8" s="3">
        <f t="shared" si="2"/>
        <v>-3.5077793493635046</v>
      </c>
      <c r="T8" s="3">
        <f t="shared" si="3"/>
        <v>-3.2516366390737406</v>
      </c>
      <c r="U8" s="3">
        <f t="shared" si="4"/>
        <v>-3.8663537825455396</v>
      </c>
      <c r="V8" s="3">
        <f t="shared" si="5"/>
        <v>1.5022330491270885</v>
      </c>
      <c r="W8" s="3" t="e">
        <f>((#REF!/#REF!)-1)*100</f>
        <v>#REF!</v>
      </c>
    </row>
    <row r="9" spans="1:23">
      <c r="A9" s="20">
        <v>2006</v>
      </c>
      <c r="B9" s="25">
        <v>3302532</v>
      </c>
      <c r="C9" s="8">
        <f t="shared" si="0"/>
        <v>82439</v>
      </c>
      <c r="D9" s="25">
        <v>13216</v>
      </c>
      <c r="E9" s="25">
        <v>215</v>
      </c>
      <c r="F9" s="25" t="s">
        <v>9</v>
      </c>
      <c r="G9" s="25">
        <v>10612</v>
      </c>
      <c r="H9" s="25">
        <v>41261</v>
      </c>
      <c r="I9" s="25">
        <v>16548</v>
      </c>
      <c r="J9" s="25">
        <v>8100</v>
      </c>
      <c r="K9" s="25">
        <v>16614</v>
      </c>
      <c r="L9" s="25">
        <v>27962</v>
      </c>
      <c r="M9" s="25">
        <v>16474</v>
      </c>
      <c r="N9" s="25">
        <v>11488</v>
      </c>
      <c r="P9" s="3">
        <v>2005</v>
      </c>
      <c r="Q9" s="3">
        <f t="shared" si="1"/>
        <v>1.2119806649897757</v>
      </c>
      <c r="R9" s="3">
        <f t="shared" si="1"/>
        <v>-2.3794770107820051</v>
      </c>
      <c r="S9" s="3">
        <f t="shared" si="2"/>
        <v>-3.1369099970683045</v>
      </c>
      <c r="T9" s="3">
        <f t="shared" si="3"/>
        <v>-7.460015658203778</v>
      </c>
      <c r="U9" s="3">
        <f t="shared" si="4"/>
        <v>-4.2543298849238687</v>
      </c>
      <c r="V9" s="3">
        <f t="shared" si="5"/>
        <v>-8.0960000000000036</v>
      </c>
      <c r="W9" s="3" t="e">
        <f>((#REF!/#REF!)-1)*100</f>
        <v>#REF!</v>
      </c>
    </row>
    <row r="10" spans="1:23">
      <c r="A10" s="20">
        <v>2007</v>
      </c>
      <c r="B10" s="25">
        <v>3354311</v>
      </c>
      <c r="C10" s="8">
        <f t="shared" si="0"/>
        <v>75917</v>
      </c>
      <c r="D10" s="25">
        <v>11885</v>
      </c>
      <c r="E10" s="25">
        <v>186</v>
      </c>
      <c r="F10" s="25" t="s">
        <v>9</v>
      </c>
      <c r="G10" s="25">
        <v>9541</v>
      </c>
      <c r="H10" s="25">
        <v>36662</v>
      </c>
      <c r="I10" s="25">
        <v>13621</v>
      </c>
      <c r="J10" s="25">
        <v>7062</v>
      </c>
      <c r="K10" s="25">
        <v>15979</v>
      </c>
      <c r="L10" s="25">
        <v>27370</v>
      </c>
      <c r="M10" s="25">
        <v>16227</v>
      </c>
      <c r="N10" s="25">
        <v>11142</v>
      </c>
      <c r="P10" s="3">
        <v>2006</v>
      </c>
      <c r="Q10" s="3">
        <f t="shared" si="1"/>
        <v>1.843244643451869</v>
      </c>
      <c r="R10" s="3">
        <f t="shared" si="1"/>
        <v>-4.8564866642815119</v>
      </c>
      <c r="S10" s="3">
        <f t="shared" si="2"/>
        <v>-10.07112590799032</v>
      </c>
      <c r="T10" s="3">
        <f t="shared" si="3"/>
        <v>-17.687938119410195</v>
      </c>
      <c r="U10" s="3">
        <f t="shared" si="4"/>
        <v>-1.4993322811703291</v>
      </c>
      <c r="V10" s="3">
        <f t="shared" si="5"/>
        <v>-3.0118384401114251</v>
      </c>
      <c r="W10" s="3" t="e">
        <f>((#REF!/#REF!)-1)*100</f>
        <v>#REF!</v>
      </c>
    </row>
    <row r="11" spans="1:23">
      <c r="A11" s="20">
        <v>2008</v>
      </c>
      <c r="B11" s="25">
        <v>3390824</v>
      </c>
      <c r="C11" s="8">
        <f t="shared" si="0"/>
        <v>69310</v>
      </c>
      <c r="D11" s="25">
        <v>10142</v>
      </c>
      <c r="E11" s="25">
        <v>171</v>
      </c>
      <c r="F11" s="25" t="s">
        <v>9</v>
      </c>
      <c r="G11" s="25">
        <v>8583</v>
      </c>
      <c r="H11" s="25">
        <v>32713</v>
      </c>
      <c r="I11" s="25">
        <v>11633</v>
      </c>
      <c r="J11" s="25">
        <v>5941</v>
      </c>
      <c r="K11" s="25">
        <v>15139</v>
      </c>
      <c r="L11" s="25">
        <v>26455</v>
      </c>
      <c r="M11" s="25">
        <v>15663</v>
      </c>
      <c r="N11" s="25">
        <v>10792</v>
      </c>
      <c r="P11" s="3">
        <v>2007</v>
      </c>
      <c r="Q11" s="3">
        <f t="shared" si="1"/>
        <v>1.567857631659586</v>
      </c>
      <c r="R11" s="3">
        <f t="shared" si="1"/>
        <v>-7.9113041157704451</v>
      </c>
      <c r="S11" s="3">
        <f t="shared" si="2"/>
        <v>-14.665544804375264</v>
      </c>
      <c r="T11" s="3">
        <f t="shared" si="3"/>
        <v>-14.595110491153363</v>
      </c>
      <c r="U11" s="3">
        <f t="shared" si="4"/>
        <v>-3.4756886670364251</v>
      </c>
      <c r="V11" s="3">
        <f t="shared" si="5"/>
        <v>-3.1412672769700278</v>
      </c>
      <c r="W11" s="3" t="e">
        <f>((#REF!/#REF!)-1)*100</f>
        <v>#REF!</v>
      </c>
    </row>
    <row r="12" spans="1:23">
      <c r="A12" s="20">
        <v>2009</v>
      </c>
      <c r="B12" s="25">
        <v>3359573</v>
      </c>
      <c r="C12" s="8">
        <f t="shared" si="0"/>
        <v>64832</v>
      </c>
      <c r="D12" s="25">
        <v>9037</v>
      </c>
      <c r="E12" s="25">
        <v>185</v>
      </c>
      <c r="F12" s="25" t="s">
        <v>9</v>
      </c>
      <c r="G12" s="25">
        <v>7588</v>
      </c>
      <c r="H12" s="25">
        <v>28441</v>
      </c>
      <c r="I12" s="25">
        <v>9975</v>
      </c>
      <c r="J12" s="25">
        <v>4976</v>
      </c>
      <c r="K12" s="25">
        <v>13490</v>
      </c>
      <c r="L12" s="25">
        <v>27354</v>
      </c>
      <c r="M12" s="25">
        <v>13800</v>
      </c>
      <c r="N12" s="25">
        <v>13553</v>
      </c>
      <c r="P12" s="3">
        <v>2008</v>
      </c>
      <c r="Q12" s="3">
        <f t="shared" si="1"/>
        <v>1.0885394943998872</v>
      </c>
      <c r="R12" s="3">
        <f t="shared" si="1"/>
        <v>-8.7029255634442855</v>
      </c>
      <c r="S12" s="3">
        <f t="shared" si="2"/>
        <v>-10.895286925655689</v>
      </c>
      <c r="T12" s="3">
        <f t="shared" si="3"/>
        <v>-14.252557379867614</v>
      </c>
      <c r="U12" s="3">
        <f t="shared" si="4"/>
        <v>-11.894273127753308</v>
      </c>
      <c r="V12" s="3">
        <f t="shared" si="5"/>
        <v>25.583765752409192</v>
      </c>
      <c r="W12" s="3" t="e">
        <f>((#REF!/#REF!)-1)*100</f>
        <v>#REF!</v>
      </c>
    </row>
    <row r="13" spans="1:23">
      <c r="A13" s="20">
        <v>2010</v>
      </c>
      <c r="B13" s="25">
        <v>3389661</v>
      </c>
      <c r="C13" s="8">
        <f t="shared" si="0"/>
        <v>61022</v>
      </c>
      <c r="D13" s="25">
        <v>8061</v>
      </c>
      <c r="E13" s="25">
        <v>174</v>
      </c>
      <c r="F13" s="25" t="s">
        <v>9</v>
      </c>
      <c r="G13" s="25">
        <v>7609</v>
      </c>
      <c r="H13" s="25">
        <v>28327</v>
      </c>
      <c r="I13" s="25">
        <v>9749</v>
      </c>
      <c r="J13" s="25">
        <v>5086</v>
      </c>
      <c r="K13" s="25">
        <v>13492</v>
      </c>
      <c r="L13" s="25">
        <v>24634</v>
      </c>
      <c r="M13" s="25">
        <v>11455</v>
      </c>
      <c r="N13" s="25">
        <v>13179</v>
      </c>
      <c r="P13" s="3">
        <v>2009</v>
      </c>
      <c r="Q13" s="3">
        <f t="shared" si="1"/>
        <v>-0.92163438739374381</v>
      </c>
      <c r="R13" s="3">
        <f t="shared" si="1"/>
        <v>-6.4608281633241944</v>
      </c>
      <c r="S13" s="3">
        <f t="shared" si="2"/>
        <v>-10.800044262476483</v>
      </c>
      <c r="T13" s="3">
        <f t="shared" si="3"/>
        <v>-2.2656641604010042</v>
      </c>
      <c r="U13" s="3">
        <f t="shared" si="4"/>
        <v>-16.992753623188406</v>
      </c>
      <c r="V13" s="3">
        <f t="shared" si="5"/>
        <v>-2.7595366339555838</v>
      </c>
      <c r="W13" s="3" t="e">
        <f>((#REF!/#REF!)-1)*100</f>
        <v>#REF!</v>
      </c>
    </row>
    <row r="14" spans="1:23">
      <c r="A14" s="20">
        <v>2011</v>
      </c>
      <c r="B14" s="25">
        <v>3425871</v>
      </c>
      <c r="C14" s="8">
        <f t="shared" si="0"/>
        <v>60006</v>
      </c>
      <c r="D14" s="25">
        <v>7823</v>
      </c>
      <c r="E14" s="25">
        <v>159</v>
      </c>
      <c r="F14" s="25" t="s">
        <v>9</v>
      </c>
      <c r="G14" s="25">
        <v>7386</v>
      </c>
      <c r="H14" s="25">
        <v>27108</v>
      </c>
      <c r="I14" s="25">
        <v>9364</v>
      </c>
      <c r="J14" s="25">
        <v>4613</v>
      </c>
      <c r="K14" s="25">
        <v>13131</v>
      </c>
      <c r="L14" s="25">
        <v>25075</v>
      </c>
      <c r="M14" s="25">
        <v>11531</v>
      </c>
      <c r="N14" s="25">
        <v>13544</v>
      </c>
      <c r="P14" s="3">
        <v>2010</v>
      </c>
      <c r="Q14" s="3">
        <f t="shared" si="1"/>
        <v>0.89559000503933728</v>
      </c>
      <c r="R14" s="3">
        <f t="shared" si="1"/>
        <v>-5.876727541954585</v>
      </c>
      <c r="S14" s="3">
        <f t="shared" si="2"/>
        <v>-2.9524872844560179</v>
      </c>
      <c r="T14" s="3">
        <f t="shared" si="3"/>
        <v>-3.9491229869730193</v>
      </c>
      <c r="U14" s="3">
        <f t="shared" si="4"/>
        <v>0.66346573548667909</v>
      </c>
      <c r="V14" s="3">
        <f t="shared" si="5"/>
        <v>2.7695576295621915</v>
      </c>
      <c r="W14" s="3" t="e">
        <f>((#REF!/#REF!)-1)*100</f>
        <v>#REF!</v>
      </c>
    </row>
    <row r="15" spans="1:23">
      <c r="A15" s="20">
        <v>2012</v>
      </c>
      <c r="B15" s="25">
        <v>3465453</v>
      </c>
      <c r="C15" s="8">
        <f t="shared" si="0"/>
        <v>58264</v>
      </c>
      <c r="D15" s="25">
        <v>7525</v>
      </c>
      <c r="E15" s="25">
        <v>135</v>
      </c>
      <c r="F15" s="25" t="s">
        <v>9</v>
      </c>
      <c r="G15" s="25">
        <v>7183</v>
      </c>
      <c r="H15" s="25">
        <v>27006</v>
      </c>
      <c r="I15" s="25">
        <v>9261</v>
      </c>
      <c r="J15" s="25">
        <v>4654</v>
      </c>
      <c r="K15" s="25">
        <v>13091</v>
      </c>
      <c r="L15" s="25">
        <v>23733</v>
      </c>
      <c r="M15" s="25">
        <v>10511</v>
      </c>
      <c r="N15" s="25">
        <v>13223</v>
      </c>
      <c r="P15" s="3">
        <v>2011</v>
      </c>
      <c r="Q15" s="3">
        <f t="shared" si="1"/>
        <v>1.068248417762141</v>
      </c>
      <c r="R15" s="3">
        <f t="shared" si="1"/>
        <v>-1.6649732883222468</v>
      </c>
      <c r="S15" s="3">
        <f t="shared" si="2"/>
        <v>-3.8092803272401943</v>
      </c>
      <c r="T15" s="3">
        <f t="shared" si="3"/>
        <v>-1.099957283212305</v>
      </c>
      <c r="U15" s="3">
        <f t="shared" si="4"/>
        <v>-8.8457202324169657</v>
      </c>
      <c r="V15" s="3">
        <f t="shared" si="5"/>
        <v>-2.3700531600708841</v>
      </c>
      <c r="W15" s="3" t="e">
        <f>((#REF!/#REF!)-1)*100</f>
        <v>#REF!</v>
      </c>
    </row>
    <row r="16" spans="1:23">
      <c r="A16" s="20">
        <v>2013</v>
      </c>
      <c r="B16" s="25">
        <v>3474011</v>
      </c>
      <c r="C16" s="8">
        <f t="shared" si="0"/>
        <v>57116</v>
      </c>
      <c r="D16" s="25">
        <v>6560</v>
      </c>
      <c r="E16" s="25">
        <v>104</v>
      </c>
      <c r="F16" s="25" t="s">
        <v>9</v>
      </c>
      <c r="G16" s="25">
        <v>6387</v>
      </c>
      <c r="H16" s="25">
        <v>26587</v>
      </c>
      <c r="I16" s="25">
        <v>8870</v>
      </c>
      <c r="J16" s="25">
        <v>4816</v>
      </c>
      <c r="K16" s="25">
        <v>12901</v>
      </c>
      <c r="L16" s="25">
        <v>23969</v>
      </c>
      <c r="M16" s="25">
        <v>8878</v>
      </c>
      <c r="N16" s="25">
        <v>15091</v>
      </c>
      <c r="P16" s="3">
        <v>2012</v>
      </c>
      <c r="Q16" s="3">
        <f t="shared" si="1"/>
        <v>1.1553850101186036</v>
      </c>
      <c r="R16" s="3">
        <f t="shared" si="1"/>
        <v>-2.9030430290304277</v>
      </c>
      <c r="S16" s="3">
        <f t="shared" si="2"/>
        <v>-12.82392026578073</v>
      </c>
      <c r="T16" s="3">
        <f t="shared" si="3"/>
        <v>-4.2220062628225863</v>
      </c>
      <c r="U16" s="3">
        <f t="shared" si="4"/>
        <v>-15.536105032822755</v>
      </c>
      <c r="V16" s="3">
        <f t="shared" si="5"/>
        <v>14.126900098313545</v>
      </c>
      <c r="W16" s="3" t="e">
        <f>((#REF!/#REF!)-1)*100</f>
        <v>#REF!</v>
      </c>
    </row>
    <row r="17" spans="1:23">
      <c r="A17" s="13"/>
      <c r="B17" s="13"/>
      <c r="C17" s="13"/>
      <c r="D17" s="14"/>
      <c r="E17" s="14"/>
      <c r="F17" s="14"/>
      <c r="G17" s="14"/>
      <c r="H17" s="13"/>
      <c r="I17" s="13"/>
      <c r="J17" s="13"/>
      <c r="K17" s="13"/>
      <c r="L17" s="13"/>
      <c r="M17" s="13"/>
      <c r="N17" s="13"/>
    </row>
    <row r="18" spans="1:2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23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N19" s="460"/>
      <c r="Q19" s="3" t="s">
        <v>27</v>
      </c>
    </row>
    <row r="20" spans="1:23" ht="30">
      <c r="A20" s="65" t="s">
        <v>71</v>
      </c>
      <c r="B20" s="13">
        <f>((B10/B4)^(1/6)-1)*100</f>
        <v>1.5470043067634442</v>
      </c>
      <c r="C20" s="13">
        <f t="shared" ref="C20:N20" si="6">((C10/C4)^(1/6)-1)*100</f>
        <v>-2.4955271854041672</v>
      </c>
      <c r="D20" s="13">
        <f t="shared" si="6"/>
        <v>-2.8985763708344714</v>
      </c>
      <c r="E20" s="62" t="s">
        <v>10</v>
      </c>
      <c r="F20" s="62" t="s">
        <v>10</v>
      </c>
      <c r="G20" s="13">
        <f t="shared" si="6"/>
        <v>-5.0677421746343043</v>
      </c>
      <c r="H20" s="13">
        <f t="shared" si="6"/>
        <v>-1.5742443218515922</v>
      </c>
      <c r="I20" s="13">
        <f t="shared" si="6"/>
        <v>-6.2489653919367889</v>
      </c>
      <c r="J20" s="13">
        <f t="shared" si="6"/>
        <v>1.3009893484233981</v>
      </c>
      <c r="K20" s="13">
        <f t="shared" si="6"/>
        <v>2.5629225624445251</v>
      </c>
      <c r="L20" s="13">
        <f t="shared" si="6"/>
        <v>-3.476694722535123</v>
      </c>
      <c r="M20" s="13">
        <f t="shared" si="6"/>
        <v>-3.5061070534931793</v>
      </c>
      <c r="N20" s="13">
        <f t="shared" si="6"/>
        <v>-3.4351948909733254</v>
      </c>
      <c r="P20" s="3">
        <v>1999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  <c r="W20" s="3" t="e">
        <f>#REF!/#REF!</f>
        <v>#REF!</v>
      </c>
    </row>
    <row r="21" spans="1:23" ht="30">
      <c r="A21" s="65" t="s">
        <v>69</v>
      </c>
      <c r="B21" s="13">
        <f>((B16/B10)^(1/6)-1)*100</f>
        <v>0.58610172747621814</v>
      </c>
      <c r="C21" s="13">
        <f t="shared" ref="C21:N21" si="7">((C16/C10)^(1/6)-1)*100</f>
        <v>-4.6319012819776351</v>
      </c>
      <c r="D21" s="13">
        <f t="shared" si="7"/>
        <v>-9.430053983458853</v>
      </c>
      <c r="E21" s="13">
        <f t="shared" si="7"/>
        <v>-9.2346543525715248</v>
      </c>
      <c r="F21" s="62" t="s">
        <v>10</v>
      </c>
      <c r="G21" s="13">
        <f t="shared" si="7"/>
        <v>-6.47009281196258</v>
      </c>
      <c r="H21" s="13">
        <f t="shared" si="7"/>
        <v>-5.2144363310451913</v>
      </c>
      <c r="I21" s="13">
        <f t="shared" si="7"/>
        <v>-6.8994090134955721</v>
      </c>
      <c r="J21" s="13">
        <f t="shared" si="7"/>
        <v>-6.1804971035308354</v>
      </c>
      <c r="K21" s="13">
        <f t="shared" si="7"/>
        <v>-3.503336696077064</v>
      </c>
      <c r="L21" s="13">
        <f t="shared" si="7"/>
        <v>-2.1871635695785208</v>
      </c>
      <c r="M21" s="13">
        <f t="shared" si="7"/>
        <v>-9.5629992975360008</v>
      </c>
      <c r="N21" s="13">
        <f t="shared" si="7"/>
        <v>5.1862916175023699</v>
      </c>
      <c r="P21" s="3">
        <v>2000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  <c r="W21" s="3" t="e">
        <f>#REF!/#REF!</f>
        <v>#REF!</v>
      </c>
    </row>
    <row r="22" spans="1:23" ht="30">
      <c r="A22" s="65" t="s">
        <v>72</v>
      </c>
      <c r="B22" s="13">
        <f>((B16/B4)^(1/12)-1)*100</f>
        <v>1.0654110233593972</v>
      </c>
      <c r="C22" s="13">
        <f t="shared" ref="C22:N22" si="8">((C16/C4)^(1/12)-1)*100</f>
        <v>-3.5696303603937052</v>
      </c>
      <c r="D22" s="13">
        <f t="shared" si="8"/>
        <v>-6.2211607225659105</v>
      </c>
      <c r="E22" s="62" t="s">
        <v>10</v>
      </c>
      <c r="F22" s="62" t="s">
        <v>10</v>
      </c>
      <c r="G22" s="13">
        <f t="shared" si="8"/>
        <v>-5.7715262590054888</v>
      </c>
      <c r="H22" s="13">
        <f t="shared" si="8"/>
        <v>-3.4114875800640321</v>
      </c>
      <c r="I22" s="13">
        <f t="shared" si="8"/>
        <v>-6.5747532644044089</v>
      </c>
      <c r="J22" s="13">
        <f t="shared" si="8"/>
        <v>-2.5114957362171841</v>
      </c>
      <c r="K22" s="13">
        <f t="shared" si="8"/>
        <v>-0.51643449305543987</v>
      </c>
      <c r="L22" s="13">
        <f t="shared" si="8"/>
        <v>-2.8340683632976704</v>
      </c>
      <c r="M22" s="13">
        <f t="shared" si="8"/>
        <v>-6.5836295706864671</v>
      </c>
      <c r="N22" s="13">
        <f t="shared" si="8"/>
        <v>0.78340017178109012</v>
      </c>
      <c r="P22" s="3">
        <v>2001</v>
      </c>
      <c r="Q22" s="3" t="e">
        <f>B4/#REF!</f>
        <v>#REF!</v>
      </c>
      <c r="R22" s="3" t="e">
        <f>C4/#REF!</f>
        <v>#REF!</v>
      </c>
      <c r="S22" s="3" t="e">
        <f>D5/#REF!</f>
        <v>#REF!</v>
      </c>
      <c r="T22" s="3" t="e">
        <f>I5/#REF!</f>
        <v>#REF!</v>
      </c>
      <c r="U22" s="3" t="e">
        <f>M5/#REF!</f>
        <v>#REF!</v>
      </c>
      <c r="V22" s="3" t="e">
        <f>N5/#REF!</f>
        <v>#REF!</v>
      </c>
      <c r="W22" s="3" t="e">
        <f>#REF!/#REF!</f>
        <v>#REF!</v>
      </c>
    </row>
    <row r="23" spans="1:23">
      <c r="P23" s="3">
        <v>2002</v>
      </c>
      <c r="Q23" s="3" t="e">
        <f>B5/#REF!</f>
        <v>#REF!</v>
      </c>
      <c r="R23" s="3" t="e">
        <f>C5/#REF!</f>
        <v>#REF!</v>
      </c>
      <c r="S23" s="3" t="e">
        <f>D6/#REF!</f>
        <v>#REF!</v>
      </c>
      <c r="T23" s="3" t="e">
        <f>I6/#REF!</f>
        <v>#REF!</v>
      </c>
      <c r="U23" s="3" t="e">
        <f>M6/#REF!</f>
        <v>#REF!</v>
      </c>
      <c r="V23" s="3" t="e">
        <f>N6/#REF!</f>
        <v>#REF!</v>
      </c>
      <c r="W23" s="3" t="e">
        <f>#REF!/#REF!</f>
        <v>#REF!</v>
      </c>
    </row>
    <row r="24" spans="1:23">
      <c r="A24" s="68" t="s">
        <v>73</v>
      </c>
      <c r="L24" s="58"/>
      <c r="P24" s="3">
        <v>2003</v>
      </c>
      <c r="Q24" s="3" t="e">
        <f>B6/#REF!</f>
        <v>#REF!</v>
      </c>
      <c r="R24" s="3" t="e">
        <f>C6/#REF!</f>
        <v>#REF!</v>
      </c>
      <c r="S24" s="3" t="e">
        <f>D7/#REF!</f>
        <v>#REF!</v>
      </c>
      <c r="T24" s="3" t="e">
        <f>I7/#REF!</f>
        <v>#REF!</v>
      </c>
      <c r="U24" s="3" t="e">
        <f>M7/#REF!</f>
        <v>#REF!</v>
      </c>
      <c r="V24" s="3" t="e">
        <f>N7/#REF!</f>
        <v>#REF!</v>
      </c>
      <c r="W24" s="3" t="e">
        <f>#REF!/#REF!</f>
        <v>#REF!</v>
      </c>
    </row>
    <row r="25" spans="1:23">
      <c r="A25" s="59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P25" s="3">
        <v>2004</v>
      </c>
      <c r="Q25" s="3" t="e">
        <f>B7/#REF!</f>
        <v>#REF!</v>
      </c>
      <c r="R25" s="3" t="e">
        <f>C7/#REF!</f>
        <v>#REF!</v>
      </c>
      <c r="S25" s="3" t="e">
        <f>D8/#REF!</f>
        <v>#REF!</v>
      </c>
      <c r="T25" s="3" t="e">
        <f>I8/#REF!</f>
        <v>#REF!</v>
      </c>
      <c r="U25" s="3" t="e">
        <f>M8/#REF!</f>
        <v>#REF!</v>
      </c>
      <c r="V25" s="3" t="e">
        <f>N8/#REF!</f>
        <v>#REF!</v>
      </c>
      <c r="W25" s="3" t="e">
        <f>#REF!/#REF!</f>
        <v>#REF!</v>
      </c>
    </row>
    <row r="26" spans="1:23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P26" s="3">
        <v>2005</v>
      </c>
      <c r="Q26" s="3" t="e">
        <f>B8/#REF!</f>
        <v>#REF!</v>
      </c>
      <c r="R26" s="3" t="e">
        <f>C8/#REF!</f>
        <v>#REF!</v>
      </c>
      <c r="S26" s="3" t="e">
        <f>D9/#REF!</f>
        <v>#REF!</v>
      </c>
      <c r="T26" s="3" t="e">
        <f>I9/#REF!</f>
        <v>#REF!</v>
      </c>
      <c r="U26" s="3" t="e">
        <f>M9/#REF!</f>
        <v>#REF!</v>
      </c>
      <c r="V26" s="3" t="e">
        <f>N9/#REF!</f>
        <v>#REF!</v>
      </c>
      <c r="W26" s="3" t="e">
        <f>#REF!/#REF!</f>
        <v>#REF!</v>
      </c>
    </row>
    <row r="27" spans="1:23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P27" s="3">
        <v>2006</v>
      </c>
      <c r="Q27" s="3" t="e">
        <f>B9/#REF!</f>
        <v>#REF!</v>
      </c>
      <c r="R27" s="3" t="e">
        <f>C9/#REF!</f>
        <v>#REF!</v>
      </c>
      <c r="S27" s="3" t="e">
        <f>D10/#REF!</f>
        <v>#REF!</v>
      </c>
      <c r="T27" s="3" t="e">
        <f>I10/#REF!</f>
        <v>#REF!</v>
      </c>
      <c r="U27" s="3" t="e">
        <f>M10/#REF!</f>
        <v>#REF!</v>
      </c>
      <c r="V27" s="3" t="e">
        <f>N10/#REF!</f>
        <v>#REF!</v>
      </c>
      <c r="W27" s="3" t="e">
        <f>#REF!/#REF!</f>
        <v>#REF!</v>
      </c>
    </row>
    <row r="28" spans="1:23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P28" s="3">
        <v>2007</v>
      </c>
      <c r="Q28" s="3" t="e">
        <f>B10/#REF!</f>
        <v>#REF!</v>
      </c>
      <c r="R28" s="3" t="e">
        <f>C10/#REF!</f>
        <v>#REF!</v>
      </c>
      <c r="S28" s="3" t="e">
        <f>D11/#REF!</f>
        <v>#REF!</v>
      </c>
      <c r="T28" s="3" t="e">
        <f>I11/#REF!</f>
        <v>#REF!</v>
      </c>
      <c r="U28" s="3" t="e">
        <f>M11/#REF!</f>
        <v>#REF!</v>
      </c>
      <c r="V28" s="3" t="e">
        <f>N11/#REF!</f>
        <v>#REF!</v>
      </c>
      <c r="W28" s="3" t="e">
        <f>#REF!/#REF!</f>
        <v>#REF!</v>
      </c>
    </row>
    <row r="29" spans="1:23">
      <c r="P29" s="3">
        <v>2008</v>
      </c>
      <c r="Q29" s="3" t="e">
        <f>B11/#REF!</f>
        <v>#REF!</v>
      </c>
      <c r="R29" s="3" t="e">
        <f>C11/#REF!</f>
        <v>#REF!</v>
      </c>
      <c r="S29" s="3" t="e">
        <f>D12/#REF!</f>
        <v>#REF!</v>
      </c>
      <c r="T29" s="3" t="e">
        <f>I12/#REF!</f>
        <v>#REF!</v>
      </c>
      <c r="U29" s="3" t="e">
        <f>M12/#REF!</f>
        <v>#REF!</v>
      </c>
      <c r="V29" s="3" t="e">
        <f>N12/#REF!</f>
        <v>#REF!</v>
      </c>
      <c r="W29" s="3" t="e">
        <f>#REF!/#REF!</f>
        <v>#REF!</v>
      </c>
    </row>
    <row r="30" spans="1:23">
      <c r="P30" s="3">
        <v>2009</v>
      </c>
      <c r="Q30" s="3" t="e">
        <f>B12/#REF!</f>
        <v>#REF!</v>
      </c>
      <c r="R30" s="3" t="e">
        <f>C12/#REF!</f>
        <v>#REF!</v>
      </c>
      <c r="S30" s="3" t="e">
        <f>D13/#REF!</f>
        <v>#REF!</v>
      </c>
      <c r="T30" s="3" t="e">
        <f>I13/#REF!</f>
        <v>#REF!</v>
      </c>
      <c r="U30" s="3" t="e">
        <f>M13/#REF!</f>
        <v>#REF!</v>
      </c>
      <c r="V30" s="3" t="e">
        <f>N13/#REF!</f>
        <v>#REF!</v>
      </c>
      <c r="W30" s="3" t="e">
        <f>#REF!/#REF!</f>
        <v>#REF!</v>
      </c>
    </row>
    <row r="31" spans="1:23">
      <c r="P31" s="3">
        <v>2010</v>
      </c>
      <c r="Q31" s="3" t="e">
        <f>B13/#REF!</f>
        <v>#REF!</v>
      </c>
      <c r="R31" s="3" t="e">
        <f>C13/#REF!</f>
        <v>#REF!</v>
      </c>
      <c r="S31" s="3" t="e">
        <f>D14/#REF!</f>
        <v>#REF!</v>
      </c>
      <c r="T31" s="3" t="e">
        <f>I14/#REF!</f>
        <v>#REF!</v>
      </c>
      <c r="U31" s="3" t="e">
        <f>M14/#REF!</f>
        <v>#REF!</v>
      </c>
      <c r="V31" s="3" t="e">
        <f>N14/#REF!</f>
        <v>#REF!</v>
      </c>
      <c r="W31" s="3" t="e">
        <f>#REF!/#REF!</f>
        <v>#REF!</v>
      </c>
    </row>
    <row r="32" spans="1:23">
      <c r="P32" s="3">
        <v>2011</v>
      </c>
      <c r="Q32" s="3" t="e">
        <f>B14/#REF!</f>
        <v>#REF!</v>
      </c>
      <c r="R32" s="3" t="e">
        <f>C14/#REF!</f>
        <v>#REF!</v>
      </c>
      <c r="S32" s="3" t="e">
        <f>D15/#REF!</f>
        <v>#REF!</v>
      </c>
      <c r="T32" s="3" t="e">
        <f>I15/#REF!</f>
        <v>#REF!</v>
      </c>
      <c r="U32" s="3" t="e">
        <f>M15/#REF!</f>
        <v>#REF!</v>
      </c>
      <c r="V32" s="3" t="e">
        <f>N15/#REF!</f>
        <v>#REF!</v>
      </c>
      <c r="W32" s="3" t="e">
        <f>#REF!/#REF!</f>
        <v>#REF!</v>
      </c>
    </row>
    <row r="33" spans="16:23">
      <c r="P33" s="3">
        <v>2012</v>
      </c>
      <c r="Q33" s="3" t="e">
        <f>B15/#REF!</f>
        <v>#REF!</v>
      </c>
      <c r="R33" s="3" t="e">
        <f>C15/#REF!</f>
        <v>#REF!</v>
      </c>
      <c r="S33" s="3" t="e">
        <f>D16/#REF!</f>
        <v>#REF!</v>
      </c>
      <c r="T33" s="3" t="e">
        <f>I16/#REF!</f>
        <v>#REF!</v>
      </c>
      <c r="U33" s="3" t="e">
        <f>M16/#REF!</f>
        <v>#REF!</v>
      </c>
      <c r="V33" s="3" t="e">
        <f>N16/#REF!</f>
        <v>#REF!</v>
      </c>
      <c r="W33" s="3" t="e">
        <f>#REF!/#REF!</f>
        <v>#REF!</v>
      </c>
    </row>
  </sheetData>
  <mergeCells count="2">
    <mergeCell ref="A1:N1"/>
    <mergeCell ref="A19:N19"/>
  </mergeCells>
  <printOptions gridLines="1"/>
  <pageMargins left="0.7" right="0.7" top="0.75" bottom="0.75" header="0.3" footer="0.3"/>
  <pageSetup scale="65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3"/>
  <sheetViews>
    <sheetView view="pageBreakPreview" zoomScaleNormal="100" zoomScaleSheetLayoutView="100" workbookViewId="0">
      <selection activeCell="C27" sqref="C27:N27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5" width="9.140625" style="3"/>
    <col min="16" max="25" width="0" style="3" hidden="1" customWidth="1"/>
    <col min="26" max="16384" width="9.140625" style="3"/>
  </cols>
  <sheetData>
    <row r="1" spans="1:23">
      <c r="A1" s="454" t="s">
        <v>175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23" ht="135">
      <c r="A2" s="22"/>
      <c r="B2" s="22" t="s">
        <v>2</v>
      </c>
      <c r="C2" s="22" t="s">
        <v>8</v>
      </c>
      <c r="D2" s="22" t="s">
        <v>20</v>
      </c>
      <c r="E2" s="54" t="s">
        <v>63</v>
      </c>
      <c r="F2" s="54" t="s">
        <v>64</v>
      </c>
      <c r="G2" s="54" t="s">
        <v>65</v>
      </c>
      <c r="H2" s="22" t="s">
        <v>4</v>
      </c>
      <c r="I2" s="22" t="s">
        <v>36</v>
      </c>
      <c r="J2" s="22" t="s">
        <v>37</v>
      </c>
      <c r="K2" s="22" t="s">
        <v>38</v>
      </c>
      <c r="L2" s="22" t="s">
        <v>5</v>
      </c>
      <c r="M2" s="22" t="s">
        <v>6</v>
      </c>
      <c r="N2" s="22" t="s">
        <v>7</v>
      </c>
    </row>
    <row r="3" spans="1:23">
      <c r="A3" s="2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</row>
    <row r="4" spans="1:23">
      <c r="A4" s="22">
        <v>2001</v>
      </c>
      <c r="B4" s="25">
        <v>5049805</v>
      </c>
      <c r="C4" s="8">
        <f>D4+H4+L4</f>
        <v>71775</v>
      </c>
      <c r="D4" s="25">
        <v>7209</v>
      </c>
      <c r="E4" s="25" t="s">
        <v>9</v>
      </c>
      <c r="F4" s="25">
        <v>74</v>
      </c>
      <c r="G4" s="25">
        <v>7082</v>
      </c>
      <c r="H4" s="25">
        <v>28752</v>
      </c>
      <c r="I4" s="25">
        <v>8950</v>
      </c>
      <c r="J4" s="25">
        <v>5751</v>
      </c>
      <c r="K4" s="25">
        <v>14051</v>
      </c>
      <c r="L4" s="25">
        <v>35814</v>
      </c>
      <c r="M4" s="25">
        <v>15311</v>
      </c>
      <c r="N4" s="25">
        <v>20503</v>
      </c>
      <c r="P4" s="3">
        <v>2000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  <c r="W4" s="3" t="e">
        <f>((#REF!/#REF!)-1)*100</f>
        <v>#REF!</v>
      </c>
    </row>
    <row r="5" spans="1:23">
      <c r="A5" s="22">
        <v>2002</v>
      </c>
      <c r="B5" s="25">
        <v>5146788</v>
      </c>
      <c r="C5" s="8">
        <f t="shared" ref="C5:C16" si="0">D5+H5+L5</f>
        <v>71559</v>
      </c>
      <c r="D5" s="25">
        <v>6936</v>
      </c>
      <c r="E5" s="25" t="s">
        <v>9</v>
      </c>
      <c r="F5" s="25">
        <v>145</v>
      </c>
      <c r="G5" s="25">
        <v>6692</v>
      </c>
      <c r="H5" s="25">
        <v>29295</v>
      </c>
      <c r="I5" s="25">
        <v>8485</v>
      </c>
      <c r="J5" s="25">
        <v>6067</v>
      </c>
      <c r="K5" s="25">
        <v>14743</v>
      </c>
      <c r="L5" s="25">
        <v>35328</v>
      </c>
      <c r="M5" s="25">
        <v>14230</v>
      </c>
      <c r="N5" s="25">
        <v>21098</v>
      </c>
      <c r="P5" s="3">
        <v>2001</v>
      </c>
      <c r="Q5" s="3" t="e">
        <f>((B4/#REF!)-1)*100</f>
        <v>#REF!</v>
      </c>
      <c r="R5" s="3" t="e">
        <f>((C4/#REF!)-1)*100</f>
        <v>#REF!</v>
      </c>
      <c r="S5" s="3" t="e">
        <f>((D4/#REF!)-1)*100</f>
        <v>#REF!</v>
      </c>
      <c r="T5" s="3" t="e">
        <f>((H4/#REF!)-1)*100</f>
        <v>#REF!</v>
      </c>
      <c r="U5" s="3" t="e">
        <f>((L4/#REF!)-1)*100</f>
        <v>#REF!</v>
      </c>
      <c r="V5" s="3" t="e">
        <f>((M4/#REF!)-1)*100</f>
        <v>#REF!</v>
      </c>
      <c r="W5" s="3" t="e">
        <f>((N4/#REF!)-1)*100</f>
        <v>#REF!</v>
      </c>
    </row>
    <row r="6" spans="1:23">
      <c r="A6" s="22">
        <v>2003</v>
      </c>
      <c r="B6" s="25">
        <v>5247830</v>
      </c>
      <c r="C6" s="8">
        <f t="shared" si="0"/>
        <v>70559</v>
      </c>
      <c r="D6" s="25">
        <v>6877</v>
      </c>
      <c r="E6" s="25" t="s">
        <v>9</v>
      </c>
      <c r="F6" s="25" t="s">
        <v>9</v>
      </c>
      <c r="G6" s="25">
        <v>6607</v>
      </c>
      <c r="H6" s="25">
        <v>28439</v>
      </c>
      <c r="I6" s="25">
        <v>7839</v>
      </c>
      <c r="J6" s="25">
        <v>6191</v>
      </c>
      <c r="K6" s="25">
        <v>14410</v>
      </c>
      <c r="L6" s="25">
        <v>35243</v>
      </c>
      <c r="M6" s="25">
        <v>13429</v>
      </c>
      <c r="N6" s="25">
        <v>21814</v>
      </c>
      <c r="P6" s="3">
        <v>2002</v>
      </c>
      <c r="Q6" s="3">
        <f t="shared" ref="Q6:S16" si="1">((B5/B4)-1)*100</f>
        <v>1.9205296046084896</v>
      </c>
      <c r="R6" s="3">
        <f t="shared" si="1"/>
        <v>-0.30094043887147759</v>
      </c>
      <c r="S6" s="3">
        <f t="shared" si="1"/>
        <v>-3.7869330004161483</v>
      </c>
      <c r="T6" s="3">
        <f t="shared" ref="T6:T16" si="2">((H5/H4)-1)*100</f>
        <v>1.8885642737896502</v>
      </c>
      <c r="U6" s="3">
        <f t="shared" ref="U6:W16" si="3">((L5/L4)-1)*100</f>
        <v>-1.3570112246607424</v>
      </c>
      <c r="V6" s="3">
        <f t="shared" si="3"/>
        <v>-7.0602834563385786</v>
      </c>
      <c r="W6" s="3">
        <f t="shared" si="3"/>
        <v>2.9020143393649667</v>
      </c>
    </row>
    <row r="7" spans="1:23">
      <c r="A7" s="22">
        <v>2004</v>
      </c>
      <c r="B7" s="25">
        <v>5327887</v>
      </c>
      <c r="C7" s="8">
        <f t="shared" si="0"/>
        <v>68701</v>
      </c>
      <c r="D7" s="25">
        <v>6805</v>
      </c>
      <c r="E7" s="25" t="s">
        <v>9</v>
      </c>
      <c r="F7" s="25">
        <v>195</v>
      </c>
      <c r="G7" s="25">
        <v>6547</v>
      </c>
      <c r="H7" s="25">
        <v>27883</v>
      </c>
      <c r="I7" s="25">
        <v>7466</v>
      </c>
      <c r="J7" s="25">
        <v>6780</v>
      </c>
      <c r="K7" s="25">
        <v>13637</v>
      </c>
      <c r="L7" s="25">
        <v>34013</v>
      </c>
      <c r="M7" s="25">
        <v>13087</v>
      </c>
      <c r="N7" s="25">
        <v>20926</v>
      </c>
      <c r="P7" s="3">
        <v>2003</v>
      </c>
      <c r="Q7" s="3">
        <f t="shared" si="1"/>
        <v>1.9632050125243161</v>
      </c>
      <c r="R7" s="3">
        <f t="shared" si="1"/>
        <v>-1.3974482594781956</v>
      </c>
      <c r="S7" s="3">
        <f t="shared" si="1"/>
        <v>-0.85063437139561993</v>
      </c>
      <c r="T7" s="3">
        <f t="shared" si="2"/>
        <v>-2.9220003413551798</v>
      </c>
      <c r="U7" s="3">
        <f t="shared" si="3"/>
        <v>-0.24060235507246119</v>
      </c>
      <c r="V7" s="3">
        <f t="shared" si="3"/>
        <v>-5.6289529163738532</v>
      </c>
      <c r="W7" s="3">
        <f t="shared" si="3"/>
        <v>3.3936866053654313</v>
      </c>
    </row>
    <row r="8" spans="1:23">
      <c r="A8" s="22">
        <v>2005</v>
      </c>
      <c r="B8" s="25">
        <v>5422427</v>
      </c>
      <c r="C8" s="8">
        <f t="shared" si="0"/>
        <v>65145</v>
      </c>
      <c r="D8" s="25">
        <v>6459</v>
      </c>
      <c r="E8" s="25" t="s">
        <v>9</v>
      </c>
      <c r="F8" s="25">
        <v>210</v>
      </c>
      <c r="G8" s="25">
        <v>6181</v>
      </c>
      <c r="H8" s="25">
        <v>27446</v>
      </c>
      <c r="I8" s="25">
        <v>7393</v>
      </c>
      <c r="J8" s="25">
        <v>6526</v>
      </c>
      <c r="K8" s="25">
        <v>13527</v>
      </c>
      <c r="L8" s="25">
        <v>31240</v>
      </c>
      <c r="M8" s="25">
        <v>11346</v>
      </c>
      <c r="N8" s="25">
        <v>19894</v>
      </c>
      <c r="P8" s="3">
        <v>2004</v>
      </c>
      <c r="Q8" s="3">
        <f t="shared" si="1"/>
        <v>1.5255257887546003</v>
      </c>
      <c r="R8" s="3">
        <f t="shared" si="1"/>
        <v>-2.6332572740543347</v>
      </c>
      <c r="S8" s="3">
        <f t="shared" si="1"/>
        <v>-1.0469681547186305</v>
      </c>
      <c r="T8" s="3">
        <f t="shared" si="2"/>
        <v>-1.9550617110306256</v>
      </c>
      <c r="U8" s="3">
        <f t="shared" si="3"/>
        <v>-3.4900547626478984</v>
      </c>
      <c r="V8" s="3">
        <f t="shared" si="3"/>
        <v>-2.5467272321096135</v>
      </c>
      <c r="W8" s="3">
        <f t="shared" si="3"/>
        <v>-4.0707802328779685</v>
      </c>
    </row>
    <row r="9" spans="1:23">
      <c r="A9" s="22">
        <v>2006</v>
      </c>
      <c r="B9" s="25">
        <v>5530840</v>
      </c>
      <c r="C9" s="8">
        <f t="shared" si="0"/>
        <v>62631</v>
      </c>
      <c r="D9" s="25">
        <v>6048</v>
      </c>
      <c r="E9" s="25" t="s">
        <v>9</v>
      </c>
      <c r="F9" s="25">
        <v>253</v>
      </c>
      <c r="G9" s="25">
        <v>5669</v>
      </c>
      <c r="H9" s="25">
        <v>26369</v>
      </c>
      <c r="I9" s="25">
        <v>6737</v>
      </c>
      <c r="J9" s="25">
        <v>6280</v>
      </c>
      <c r="K9" s="25">
        <v>13351</v>
      </c>
      <c r="L9" s="25">
        <v>30214</v>
      </c>
      <c r="M9" s="25">
        <v>10941</v>
      </c>
      <c r="N9" s="25">
        <v>19273</v>
      </c>
      <c r="P9" s="3">
        <v>2005</v>
      </c>
      <c r="Q9" s="3">
        <f t="shared" si="1"/>
        <v>1.7744370329175529</v>
      </c>
      <c r="R9" s="3">
        <f t="shared" si="1"/>
        <v>-5.1760527503238674</v>
      </c>
      <c r="S9" s="3">
        <f t="shared" si="1"/>
        <v>-5.084496693607643</v>
      </c>
      <c r="T9" s="3">
        <f t="shared" si="2"/>
        <v>-1.5672632069719916</v>
      </c>
      <c r="U9" s="3">
        <f t="shared" si="3"/>
        <v>-8.1527651192191186</v>
      </c>
      <c r="V9" s="3">
        <f t="shared" si="3"/>
        <v>-13.30327806219913</v>
      </c>
      <c r="W9" s="3">
        <f t="shared" si="3"/>
        <v>-4.9316639587116518</v>
      </c>
    </row>
    <row r="10" spans="1:23">
      <c r="A10" s="22">
        <v>2007</v>
      </c>
      <c r="B10" s="25">
        <v>5619007</v>
      </c>
      <c r="C10" s="8">
        <f t="shared" si="0"/>
        <v>57357</v>
      </c>
      <c r="D10" s="25">
        <v>5327</v>
      </c>
      <c r="E10" s="25" t="s">
        <v>9</v>
      </c>
      <c r="F10" s="25">
        <v>164</v>
      </c>
      <c r="G10" s="25">
        <v>5063</v>
      </c>
      <c r="H10" s="25">
        <v>24572</v>
      </c>
      <c r="I10" s="25">
        <v>5880</v>
      </c>
      <c r="J10" s="25">
        <v>5747</v>
      </c>
      <c r="K10" s="25">
        <v>12944</v>
      </c>
      <c r="L10" s="25">
        <v>27458</v>
      </c>
      <c r="M10" s="25">
        <v>9039</v>
      </c>
      <c r="N10" s="25">
        <v>18419</v>
      </c>
      <c r="P10" s="3">
        <v>2006</v>
      </c>
      <c r="Q10" s="3">
        <f t="shared" si="1"/>
        <v>1.9993445739334037</v>
      </c>
      <c r="R10" s="3">
        <f t="shared" si="1"/>
        <v>-3.8590835827768788</v>
      </c>
      <c r="S10" s="3">
        <f t="shared" si="1"/>
        <v>-6.3632141198327936</v>
      </c>
      <c r="T10" s="3">
        <f t="shared" si="2"/>
        <v>-3.9240690811047196</v>
      </c>
      <c r="U10" s="3">
        <f t="shared" si="3"/>
        <v>-3.2842509603073</v>
      </c>
      <c r="V10" s="3">
        <f t="shared" si="3"/>
        <v>-3.5695399259650928</v>
      </c>
      <c r="W10" s="3">
        <f t="shared" si="3"/>
        <v>-3.1215441841761282</v>
      </c>
    </row>
    <row r="11" spans="1:23">
      <c r="A11" s="22">
        <v>2008</v>
      </c>
      <c r="B11" s="25">
        <v>5712130</v>
      </c>
      <c r="C11" s="8">
        <f t="shared" si="0"/>
        <v>50563</v>
      </c>
      <c r="D11" s="25">
        <v>4527</v>
      </c>
      <c r="E11" s="25" t="s">
        <v>9</v>
      </c>
      <c r="F11" s="25">
        <v>143</v>
      </c>
      <c r="G11" s="25">
        <v>4288</v>
      </c>
      <c r="H11" s="25">
        <v>21088</v>
      </c>
      <c r="I11" s="25">
        <v>4225</v>
      </c>
      <c r="J11" s="25">
        <v>5080</v>
      </c>
      <c r="K11" s="25">
        <v>11783</v>
      </c>
      <c r="L11" s="25">
        <v>24948</v>
      </c>
      <c r="M11" s="25">
        <v>7634</v>
      </c>
      <c r="N11" s="25">
        <v>17313</v>
      </c>
      <c r="P11" s="3">
        <v>2007</v>
      </c>
      <c r="Q11" s="3">
        <f t="shared" si="1"/>
        <v>1.5940978223922597</v>
      </c>
      <c r="R11" s="3">
        <f t="shared" si="1"/>
        <v>-8.4207501077741114</v>
      </c>
      <c r="S11" s="3">
        <f t="shared" si="1"/>
        <v>-11.921296296296291</v>
      </c>
      <c r="T11" s="3">
        <f t="shared" si="2"/>
        <v>-6.814820433084301</v>
      </c>
      <c r="U11" s="3">
        <f t="shared" si="3"/>
        <v>-9.121599258621826</v>
      </c>
      <c r="V11" s="3">
        <f t="shared" si="3"/>
        <v>-17.384151357279954</v>
      </c>
      <c r="W11" s="3">
        <f t="shared" si="3"/>
        <v>-4.4310693716598344</v>
      </c>
    </row>
    <row r="12" spans="1:23">
      <c r="A12" s="22">
        <v>2009</v>
      </c>
      <c r="B12" s="25">
        <v>5581274</v>
      </c>
      <c r="C12" s="8">
        <f t="shared" si="0"/>
        <v>39762</v>
      </c>
      <c r="D12" s="25">
        <v>3422</v>
      </c>
      <c r="E12" s="25" t="s">
        <v>9</v>
      </c>
      <c r="F12" s="25">
        <v>103</v>
      </c>
      <c r="G12" s="25">
        <v>3222</v>
      </c>
      <c r="H12" s="25">
        <v>15930</v>
      </c>
      <c r="I12" s="25">
        <v>3167</v>
      </c>
      <c r="J12" s="25">
        <v>3546</v>
      </c>
      <c r="K12" s="25">
        <v>9218</v>
      </c>
      <c r="L12" s="25">
        <v>20410</v>
      </c>
      <c r="M12" s="25">
        <v>5963</v>
      </c>
      <c r="N12" s="25">
        <v>14447</v>
      </c>
      <c r="P12" s="3">
        <v>2008</v>
      </c>
      <c r="Q12" s="3">
        <f t="shared" si="1"/>
        <v>1.6572857090229709</v>
      </c>
      <c r="R12" s="3">
        <f t="shared" si="1"/>
        <v>-11.845110448593898</v>
      </c>
      <c r="S12" s="3">
        <f t="shared" si="1"/>
        <v>-15.017833677492021</v>
      </c>
      <c r="T12" s="3">
        <f t="shared" si="2"/>
        <v>-14.17874002930164</v>
      </c>
      <c r="U12" s="3">
        <f t="shared" si="3"/>
        <v>-9.1412338844781171</v>
      </c>
      <c r="V12" s="3">
        <f t="shared" si="3"/>
        <v>-15.543754840137181</v>
      </c>
      <c r="W12" s="3">
        <f t="shared" si="3"/>
        <v>-6.0046690916987888</v>
      </c>
    </row>
    <row r="13" spans="1:23">
      <c r="A13" s="22">
        <v>2010</v>
      </c>
      <c r="B13" s="25">
        <v>5639371</v>
      </c>
      <c r="C13" s="8">
        <f t="shared" si="0"/>
        <v>39143</v>
      </c>
      <c r="D13" s="25">
        <v>3410</v>
      </c>
      <c r="E13" s="25" t="s">
        <v>9</v>
      </c>
      <c r="F13" s="25">
        <v>127</v>
      </c>
      <c r="G13" s="25">
        <v>3184</v>
      </c>
      <c r="H13" s="25">
        <v>15797</v>
      </c>
      <c r="I13" s="25">
        <v>3391</v>
      </c>
      <c r="J13" s="25">
        <v>3114</v>
      </c>
      <c r="K13" s="25">
        <v>9292</v>
      </c>
      <c r="L13" s="25">
        <v>19936</v>
      </c>
      <c r="M13" s="25">
        <v>5588</v>
      </c>
      <c r="N13" s="25">
        <v>14347</v>
      </c>
      <c r="P13" s="3">
        <v>2009</v>
      </c>
      <c r="Q13" s="3">
        <f t="shared" si="1"/>
        <v>-2.2908442209823687</v>
      </c>
      <c r="R13" s="3">
        <f t="shared" si="1"/>
        <v>-21.361469849494686</v>
      </c>
      <c r="S13" s="3">
        <f t="shared" si="1"/>
        <v>-24.409100949856423</v>
      </c>
      <c r="T13" s="3">
        <f t="shared" si="2"/>
        <v>-24.459408194233689</v>
      </c>
      <c r="U13" s="3">
        <f t="shared" si="3"/>
        <v>-18.18983485650152</v>
      </c>
      <c r="V13" s="3">
        <f t="shared" si="3"/>
        <v>-21.888917998428081</v>
      </c>
      <c r="W13" s="3">
        <f t="shared" si="3"/>
        <v>-16.554034540518682</v>
      </c>
    </row>
    <row r="14" spans="1:23">
      <c r="A14" s="22">
        <v>2011</v>
      </c>
      <c r="B14" s="25">
        <v>5723111</v>
      </c>
      <c r="C14" s="8">
        <f t="shared" si="0"/>
        <v>38746</v>
      </c>
      <c r="D14" s="25">
        <v>3512</v>
      </c>
      <c r="E14" s="25" t="s">
        <v>9</v>
      </c>
      <c r="F14" s="25">
        <v>170</v>
      </c>
      <c r="G14" s="25">
        <v>3236</v>
      </c>
      <c r="H14" s="25">
        <v>15470</v>
      </c>
      <c r="I14" s="25">
        <v>3256</v>
      </c>
      <c r="J14" s="25">
        <v>2907</v>
      </c>
      <c r="K14" s="25">
        <v>9306</v>
      </c>
      <c r="L14" s="25">
        <v>19764</v>
      </c>
      <c r="M14" s="25">
        <v>5493</v>
      </c>
      <c r="N14" s="25">
        <v>14271</v>
      </c>
      <c r="P14" s="3">
        <v>2010</v>
      </c>
      <c r="Q14" s="3">
        <f t="shared" si="1"/>
        <v>1.0409272148258708</v>
      </c>
      <c r="R14" s="3">
        <f t="shared" si="1"/>
        <v>-1.5567627382928384</v>
      </c>
      <c r="S14" s="3">
        <f t="shared" si="1"/>
        <v>-0.3506721215663311</v>
      </c>
      <c r="T14" s="3">
        <f t="shared" si="2"/>
        <v>-0.83490269930948102</v>
      </c>
      <c r="U14" s="3">
        <f t="shared" si="3"/>
        <v>-2.3223909848113622</v>
      </c>
      <c r="V14" s="3">
        <f t="shared" si="3"/>
        <v>-6.2887808150259961</v>
      </c>
      <c r="W14" s="3">
        <f t="shared" si="3"/>
        <v>-0.692185228767217</v>
      </c>
    </row>
    <row r="15" spans="1:23">
      <c r="A15" s="22">
        <v>2012</v>
      </c>
      <c r="B15" s="25">
        <v>5800899</v>
      </c>
      <c r="C15" s="8">
        <f t="shared" si="0"/>
        <v>36885</v>
      </c>
      <c r="D15" s="25">
        <v>3343</v>
      </c>
      <c r="E15" s="25" t="s">
        <v>9</v>
      </c>
      <c r="F15" s="25">
        <v>94</v>
      </c>
      <c r="G15" s="25">
        <v>3175</v>
      </c>
      <c r="H15" s="25">
        <v>15541</v>
      </c>
      <c r="I15" s="25">
        <v>2866</v>
      </c>
      <c r="J15" s="25">
        <v>3094</v>
      </c>
      <c r="K15" s="25">
        <v>9580</v>
      </c>
      <c r="L15" s="25">
        <v>18001</v>
      </c>
      <c r="M15" s="25">
        <v>4602</v>
      </c>
      <c r="N15" s="25">
        <v>13400</v>
      </c>
      <c r="P15" s="3">
        <v>2011</v>
      </c>
      <c r="Q15" s="3">
        <f t="shared" si="1"/>
        <v>1.4849173781969593</v>
      </c>
      <c r="R15" s="3">
        <f t="shared" si="1"/>
        <v>-1.0142298750734469</v>
      </c>
      <c r="S15" s="3">
        <f t="shared" si="1"/>
        <v>2.9912023460410664</v>
      </c>
      <c r="T15" s="3">
        <f t="shared" si="2"/>
        <v>-2.0700132936633531</v>
      </c>
      <c r="U15" s="3">
        <f t="shared" si="3"/>
        <v>-0.86276083467095033</v>
      </c>
      <c r="V15" s="3">
        <f t="shared" si="3"/>
        <v>-1.7000715819613488</v>
      </c>
      <c r="W15" s="3">
        <f t="shared" si="3"/>
        <v>-0.52972746915731506</v>
      </c>
    </row>
    <row r="16" spans="1:23">
      <c r="A16" s="20">
        <v>2013</v>
      </c>
      <c r="B16" s="25">
        <v>5851724</v>
      </c>
      <c r="C16" s="8">
        <f t="shared" si="0"/>
        <v>36356</v>
      </c>
      <c r="D16" s="25">
        <v>3428</v>
      </c>
      <c r="E16" s="25" t="s">
        <v>9</v>
      </c>
      <c r="F16" s="25">
        <v>34</v>
      </c>
      <c r="G16" s="25">
        <v>3335</v>
      </c>
      <c r="H16" s="25">
        <v>15365</v>
      </c>
      <c r="I16" s="25">
        <v>2920</v>
      </c>
      <c r="J16" s="25">
        <v>2696</v>
      </c>
      <c r="K16" s="25">
        <v>9749</v>
      </c>
      <c r="L16" s="25">
        <v>17563</v>
      </c>
      <c r="M16" s="25">
        <v>4970</v>
      </c>
      <c r="N16" s="25">
        <v>12593</v>
      </c>
      <c r="P16" s="3">
        <v>2012</v>
      </c>
      <c r="Q16" s="3">
        <f t="shared" si="1"/>
        <v>1.3591908316997525</v>
      </c>
      <c r="R16" s="3">
        <f t="shared" si="1"/>
        <v>-4.8030764466009401</v>
      </c>
      <c r="S16" s="3">
        <f t="shared" si="1"/>
        <v>-4.8120728929385015</v>
      </c>
      <c r="T16" s="3">
        <f t="shared" si="2"/>
        <v>0.45895281189398673</v>
      </c>
      <c r="U16" s="3">
        <f t="shared" si="3"/>
        <v>-8.9202590568710818</v>
      </c>
      <c r="V16" s="3">
        <f t="shared" si="3"/>
        <v>-16.220644456581102</v>
      </c>
      <c r="W16" s="3">
        <f t="shared" si="3"/>
        <v>-6.1032863849765251</v>
      </c>
    </row>
    <row r="17" spans="1:23">
      <c r="A17" s="5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23">
      <c r="A18" s="5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23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N19" s="460"/>
      <c r="Q19" s="3" t="s">
        <v>27</v>
      </c>
    </row>
    <row r="20" spans="1:23" ht="30">
      <c r="A20" s="65" t="s">
        <v>71</v>
      </c>
      <c r="B20" s="13">
        <f>((B10/B4)^(1/6)-1)*100</f>
        <v>1.7960268312094074</v>
      </c>
      <c r="C20" s="13">
        <f t="shared" ref="C20:N20" si="4">((C10/C4)^(1/6)-1)*100</f>
        <v>-3.668378383625881</v>
      </c>
      <c r="D20" s="13">
        <f t="shared" si="4"/>
        <v>-4.9173497112407034</v>
      </c>
      <c r="E20" s="62" t="s">
        <v>10</v>
      </c>
      <c r="F20" s="13">
        <f t="shared" si="4"/>
        <v>14.18315040918765</v>
      </c>
      <c r="G20" s="13">
        <f t="shared" si="4"/>
        <v>-5.4397378591457324</v>
      </c>
      <c r="H20" s="13">
        <f t="shared" si="4"/>
        <v>-2.5843480998547053</v>
      </c>
      <c r="I20" s="13">
        <f t="shared" si="4"/>
        <v>-6.7621217989573772</v>
      </c>
      <c r="J20" s="13">
        <f t="shared" si="4"/>
        <v>-1.1595547764597924E-2</v>
      </c>
      <c r="K20" s="13">
        <f t="shared" si="4"/>
        <v>-1.3583764464827008</v>
      </c>
      <c r="L20" s="13">
        <f t="shared" si="4"/>
        <v>-4.3314161630471411</v>
      </c>
      <c r="M20" s="13">
        <f t="shared" si="4"/>
        <v>-8.4089991000416813</v>
      </c>
      <c r="N20" s="13">
        <f t="shared" si="4"/>
        <v>-1.7706117508954566</v>
      </c>
      <c r="P20" s="3">
        <v>1999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  <c r="W20" s="3" t="e">
        <f>#REF!/#REF!</f>
        <v>#REF!</v>
      </c>
    </row>
    <row r="21" spans="1:23" ht="30">
      <c r="A21" s="65" t="s">
        <v>69</v>
      </c>
      <c r="B21" s="13">
        <f>((B16/B10)^(1/6)-1)*100</f>
        <v>0.67864846575032001</v>
      </c>
      <c r="C21" s="13">
        <f t="shared" ref="C21:N21" si="5">((C16/C10)^(1/6)-1)*100</f>
        <v>-7.3173851956878426</v>
      </c>
      <c r="D21" s="13">
        <f t="shared" si="5"/>
        <v>-7.083462114320815</v>
      </c>
      <c r="E21" s="62" t="s">
        <v>10</v>
      </c>
      <c r="F21" s="13">
        <f t="shared" si="5"/>
        <v>-23.068208691078908</v>
      </c>
      <c r="G21" s="13">
        <f t="shared" si="5"/>
        <v>-6.7215505075577386</v>
      </c>
      <c r="H21" s="13">
        <f t="shared" si="5"/>
        <v>-7.5269157246503742</v>
      </c>
      <c r="I21" s="13">
        <f t="shared" si="5"/>
        <v>-11.01142461340585</v>
      </c>
      <c r="J21" s="13">
        <f t="shared" si="5"/>
        <v>-11.851867637922419</v>
      </c>
      <c r="K21" s="13">
        <f t="shared" si="5"/>
        <v>-4.6145950749567284</v>
      </c>
      <c r="L21" s="13">
        <f t="shared" si="5"/>
        <v>-7.177135453023908</v>
      </c>
      <c r="M21" s="13">
        <f t="shared" si="5"/>
        <v>-9.4880335555676982</v>
      </c>
      <c r="N21" s="13">
        <f t="shared" si="5"/>
        <v>-6.1407255785205006</v>
      </c>
      <c r="P21" s="3">
        <v>2000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  <c r="W21" s="3" t="e">
        <f>#REF!/#REF!</f>
        <v>#REF!</v>
      </c>
    </row>
    <row r="22" spans="1:23" ht="30">
      <c r="A22" s="65" t="s">
        <v>72</v>
      </c>
      <c r="B22" s="13">
        <f>((B16/B4)^(1/12)-1)*100</f>
        <v>1.2357960434421722</v>
      </c>
      <c r="C22" s="13">
        <f t="shared" ref="C22:N22" si="6">((C16/C4)^(1/12)-1)*100</f>
        <v>-5.5104948698261431</v>
      </c>
      <c r="D22" s="13">
        <f t="shared" si="6"/>
        <v>-6.0066455656236917</v>
      </c>
      <c r="E22" s="62" t="s">
        <v>10</v>
      </c>
      <c r="F22" s="13">
        <f t="shared" si="6"/>
        <v>-6.2753271636823875</v>
      </c>
      <c r="G22" s="13">
        <f t="shared" si="6"/>
        <v>-6.0828309833725118</v>
      </c>
      <c r="H22" s="13">
        <f t="shared" si="6"/>
        <v>-5.0877995835084455</v>
      </c>
      <c r="I22" s="13">
        <f t="shared" si="6"/>
        <v>-8.911548738714604</v>
      </c>
      <c r="J22" s="13">
        <f t="shared" si="6"/>
        <v>-6.1182067154200936</v>
      </c>
      <c r="K22" s="13">
        <f t="shared" si="6"/>
        <v>-3.0001484273510126</v>
      </c>
      <c r="L22" s="13">
        <f t="shared" si="6"/>
        <v>-5.7650171173226017</v>
      </c>
      <c r="M22" s="13">
        <f t="shared" si="6"/>
        <v>-8.9501147717966809</v>
      </c>
      <c r="N22" s="13">
        <f t="shared" si="6"/>
        <v>-3.9805274544441382</v>
      </c>
      <c r="P22" s="3">
        <v>2001</v>
      </c>
      <c r="Q22" s="3" t="e">
        <f>B4/#REF!</f>
        <v>#REF!</v>
      </c>
      <c r="R22" s="3" t="e">
        <f>C4/#REF!</f>
        <v>#REF!</v>
      </c>
      <c r="S22" s="3" t="e">
        <f>D4/#REF!</f>
        <v>#REF!</v>
      </c>
      <c r="T22" s="3" t="e">
        <f>H4/#REF!</f>
        <v>#REF!</v>
      </c>
      <c r="U22" s="3" t="e">
        <f>L4/#REF!</f>
        <v>#REF!</v>
      </c>
      <c r="V22" s="3" t="e">
        <f>M4/#REF!</f>
        <v>#REF!</v>
      </c>
      <c r="W22" s="3" t="e">
        <f>N4/#REF!</f>
        <v>#REF!</v>
      </c>
    </row>
    <row r="23" spans="1:23">
      <c r="P23" s="3">
        <v>2002</v>
      </c>
      <c r="Q23" s="3" t="e">
        <f>B5/#REF!</f>
        <v>#REF!</v>
      </c>
      <c r="R23" s="3" t="e">
        <f>C5/#REF!</f>
        <v>#REF!</v>
      </c>
      <c r="S23" s="3" t="e">
        <f>D5/#REF!</f>
        <v>#REF!</v>
      </c>
      <c r="T23" s="3" t="e">
        <f>H5/#REF!</f>
        <v>#REF!</v>
      </c>
      <c r="U23" s="3" t="e">
        <f>L5/#REF!</f>
        <v>#REF!</v>
      </c>
      <c r="V23" s="3" t="e">
        <f>M5/#REF!</f>
        <v>#REF!</v>
      </c>
      <c r="W23" s="3" t="e">
        <f>N5/#REF!</f>
        <v>#REF!</v>
      </c>
    </row>
    <row r="24" spans="1:23">
      <c r="A24" s="68" t="s">
        <v>73</v>
      </c>
      <c r="P24" s="3">
        <v>2003</v>
      </c>
      <c r="Q24" s="3" t="e">
        <f>B6/#REF!</f>
        <v>#REF!</v>
      </c>
      <c r="R24" s="3" t="e">
        <f>C6/#REF!</f>
        <v>#REF!</v>
      </c>
      <c r="S24" s="3" t="e">
        <f>D6/#REF!</f>
        <v>#REF!</v>
      </c>
      <c r="T24" s="3" t="e">
        <f>H6/#REF!</f>
        <v>#REF!</v>
      </c>
      <c r="U24" s="3" t="e">
        <f>L6/#REF!</f>
        <v>#REF!</v>
      </c>
      <c r="V24" s="3" t="e">
        <f>M6/#REF!</f>
        <v>#REF!</v>
      </c>
      <c r="W24" s="3" t="e">
        <f>N6/#REF!</f>
        <v>#REF!</v>
      </c>
    </row>
    <row r="25" spans="1:23">
      <c r="A25" s="59"/>
      <c r="P25" s="3">
        <v>2004</v>
      </c>
      <c r="Q25" s="3" t="e">
        <f>B7/#REF!</f>
        <v>#REF!</v>
      </c>
      <c r="R25" s="3" t="e">
        <f>C7/#REF!</f>
        <v>#REF!</v>
      </c>
      <c r="S25" s="3" t="e">
        <f>D7/#REF!</f>
        <v>#REF!</v>
      </c>
      <c r="T25" s="3" t="e">
        <f>H7/#REF!</f>
        <v>#REF!</v>
      </c>
      <c r="U25" s="3" t="e">
        <f>L7/#REF!</f>
        <v>#REF!</v>
      </c>
      <c r="V25" s="3" t="e">
        <f>M7/#REF!</f>
        <v>#REF!</v>
      </c>
      <c r="W25" s="3" t="e">
        <f>N7/#REF!</f>
        <v>#REF!</v>
      </c>
    </row>
    <row r="26" spans="1:23">
      <c r="P26" s="3">
        <v>2005</v>
      </c>
      <c r="Q26" s="3" t="e">
        <f>B8/#REF!</f>
        <v>#REF!</v>
      </c>
      <c r="R26" s="3" t="e">
        <f>C8/#REF!</f>
        <v>#REF!</v>
      </c>
      <c r="S26" s="3" t="e">
        <f>D8/#REF!</f>
        <v>#REF!</v>
      </c>
      <c r="T26" s="3" t="e">
        <f>H8/#REF!</f>
        <v>#REF!</v>
      </c>
      <c r="U26" s="3" t="e">
        <f>L8/#REF!</f>
        <v>#REF!</v>
      </c>
      <c r="V26" s="3" t="e">
        <f>M8/#REF!</f>
        <v>#REF!</v>
      </c>
      <c r="W26" s="3" t="e">
        <f>N8/#REF!</f>
        <v>#REF!</v>
      </c>
    </row>
    <row r="27" spans="1:23"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P27" s="3">
        <v>2006</v>
      </c>
      <c r="Q27" s="3" t="e">
        <f>B9/#REF!</f>
        <v>#REF!</v>
      </c>
      <c r="R27" s="3" t="e">
        <f>C9/#REF!</f>
        <v>#REF!</v>
      </c>
      <c r="S27" s="3" t="e">
        <f>D9/#REF!</f>
        <v>#REF!</v>
      </c>
      <c r="T27" s="3" t="e">
        <f>H9/#REF!</f>
        <v>#REF!</v>
      </c>
      <c r="U27" s="3" t="e">
        <f>L9/#REF!</f>
        <v>#REF!</v>
      </c>
      <c r="V27" s="3" t="e">
        <f>M9/#REF!</f>
        <v>#REF!</v>
      </c>
      <c r="W27" s="3" t="e">
        <f>N9/#REF!</f>
        <v>#REF!</v>
      </c>
    </row>
    <row r="28" spans="1:23">
      <c r="P28" s="3">
        <v>2007</v>
      </c>
      <c r="Q28" s="3" t="e">
        <f>B10/#REF!</f>
        <v>#REF!</v>
      </c>
      <c r="R28" s="3" t="e">
        <f>C10/#REF!</f>
        <v>#REF!</v>
      </c>
      <c r="S28" s="3" t="e">
        <f>D10/#REF!</f>
        <v>#REF!</v>
      </c>
      <c r="T28" s="3" t="e">
        <f>H10/#REF!</f>
        <v>#REF!</v>
      </c>
      <c r="U28" s="3" t="e">
        <f>L10/#REF!</f>
        <v>#REF!</v>
      </c>
      <c r="V28" s="3" t="e">
        <f>M10/#REF!</f>
        <v>#REF!</v>
      </c>
      <c r="W28" s="3" t="e">
        <f>N10/#REF!</f>
        <v>#REF!</v>
      </c>
    </row>
    <row r="29" spans="1:23">
      <c r="P29" s="3">
        <v>2008</v>
      </c>
      <c r="Q29" s="3" t="e">
        <f>B11/#REF!</f>
        <v>#REF!</v>
      </c>
      <c r="R29" s="3" t="e">
        <f>C11/#REF!</f>
        <v>#REF!</v>
      </c>
      <c r="S29" s="3" t="e">
        <f>D11/#REF!</f>
        <v>#REF!</v>
      </c>
      <c r="T29" s="3" t="e">
        <f>H11/#REF!</f>
        <v>#REF!</v>
      </c>
      <c r="U29" s="3" t="e">
        <f>L11/#REF!</f>
        <v>#REF!</v>
      </c>
      <c r="V29" s="3" t="e">
        <f>M11/#REF!</f>
        <v>#REF!</v>
      </c>
      <c r="W29" s="3" t="e">
        <f>N11/#REF!</f>
        <v>#REF!</v>
      </c>
    </row>
    <row r="30" spans="1:23">
      <c r="P30" s="3">
        <v>2009</v>
      </c>
      <c r="Q30" s="3" t="e">
        <f>B12/#REF!</f>
        <v>#REF!</v>
      </c>
      <c r="R30" s="3" t="e">
        <f>C12/#REF!</f>
        <v>#REF!</v>
      </c>
      <c r="S30" s="3" t="e">
        <f>D12/#REF!</f>
        <v>#REF!</v>
      </c>
      <c r="T30" s="3" t="e">
        <f>H12/#REF!</f>
        <v>#REF!</v>
      </c>
      <c r="U30" s="3" t="e">
        <f>L12/#REF!</f>
        <v>#REF!</v>
      </c>
      <c r="V30" s="3" t="e">
        <f>M12/#REF!</f>
        <v>#REF!</v>
      </c>
      <c r="W30" s="3" t="e">
        <f>N12/#REF!</f>
        <v>#REF!</v>
      </c>
    </row>
    <row r="31" spans="1:23">
      <c r="P31" s="3">
        <v>2010</v>
      </c>
      <c r="Q31" s="3" t="e">
        <f>B13/#REF!</f>
        <v>#REF!</v>
      </c>
      <c r="R31" s="3" t="e">
        <f>C13/#REF!</f>
        <v>#REF!</v>
      </c>
      <c r="S31" s="3" t="e">
        <f>D13/#REF!</f>
        <v>#REF!</v>
      </c>
      <c r="T31" s="3" t="e">
        <f>H13/#REF!</f>
        <v>#REF!</v>
      </c>
      <c r="U31" s="3" t="e">
        <f>L13/#REF!</f>
        <v>#REF!</v>
      </c>
      <c r="V31" s="3" t="e">
        <f>M13/#REF!</f>
        <v>#REF!</v>
      </c>
      <c r="W31" s="3" t="e">
        <f>N13/#REF!</f>
        <v>#REF!</v>
      </c>
    </row>
    <row r="32" spans="1:23">
      <c r="P32" s="3">
        <v>2011</v>
      </c>
      <c r="Q32" s="3" t="e">
        <f>B14/#REF!</f>
        <v>#REF!</v>
      </c>
      <c r="R32" s="3" t="e">
        <f>C14/#REF!</f>
        <v>#REF!</v>
      </c>
      <c r="S32" s="3" t="e">
        <f>D14/#REF!</f>
        <v>#REF!</v>
      </c>
      <c r="T32" s="3" t="e">
        <f>H14/#REF!</f>
        <v>#REF!</v>
      </c>
      <c r="U32" s="3" t="e">
        <f>L14/#REF!</f>
        <v>#REF!</v>
      </c>
      <c r="V32" s="3" t="e">
        <f>M14/#REF!</f>
        <v>#REF!</v>
      </c>
      <c r="W32" s="3" t="e">
        <f>N14/#REF!</f>
        <v>#REF!</v>
      </c>
    </row>
    <row r="33" spans="16:23">
      <c r="P33" s="3">
        <v>2012</v>
      </c>
      <c r="Q33" s="3" t="e">
        <f>B15/#REF!</f>
        <v>#REF!</v>
      </c>
      <c r="R33" s="3" t="e">
        <f>C15/#REF!</f>
        <v>#REF!</v>
      </c>
      <c r="S33" s="3" t="e">
        <f>D15/#REF!</f>
        <v>#REF!</v>
      </c>
      <c r="T33" s="3" t="e">
        <f>H15/#REF!</f>
        <v>#REF!</v>
      </c>
      <c r="U33" s="3" t="e">
        <f>L15/#REF!</f>
        <v>#REF!</v>
      </c>
      <c r="V33" s="3" t="e">
        <f>M15/#REF!</f>
        <v>#REF!</v>
      </c>
      <c r="W33" s="3" t="e">
        <f>N15/#REF!</f>
        <v>#REF!</v>
      </c>
    </row>
  </sheetData>
  <mergeCells count="2">
    <mergeCell ref="A1:N1"/>
    <mergeCell ref="A19:N19"/>
  </mergeCells>
  <printOptions gridLines="1"/>
  <pageMargins left="0.7" right="0.7" top="0.75" bottom="0.75" header="0.3" footer="0.3"/>
  <pageSetup scale="67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topLeftCell="A7" zoomScaleNormal="100" zoomScaleSheetLayoutView="100" workbookViewId="0">
      <selection activeCell="L26" sqref="L26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5" width="9.28515625" style="3" bestFit="1" customWidth="1"/>
    <col min="6" max="8" width="9.28515625" style="3" customWidth="1"/>
    <col min="9" max="11" width="9.28515625" style="3" bestFit="1" customWidth="1"/>
    <col min="12" max="12" width="9.140625" style="3"/>
    <col min="13" max="14" width="9.28515625" style="3" hidden="1" customWidth="1"/>
    <col min="15" max="15" width="14.7109375" style="3" hidden="1" customWidth="1"/>
    <col min="16" max="20" width="9.28515625" style="3" hidden="1" customWidth="1"/>
    <col min="21" max="23" width="0" style="3" hidden="1" customWidth="1"/>
    <col min="24" max="16384" width="9.140625" style="3"/>
  </cols>
  <sheetData>
    <row r="1" spans="1:20" ht="45" customHeight="1">
      <c r="A1" s="460" t="s">
        <v>176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</row>
    <row r="2" spans="1:20" ht="135">
      <c r="A2" s="67"/>
      <c r="B2" s="67" t="s">
        <v>2</v>
      </c>
      <c r="C2" s="67" t="s">
        <v>8</v>
      </c>
      <c r="D2" s="67" t="s">
        <v>20</v>
      </c>
      <c r="E2" s="67" t="s">
        <v>4</v>
      </c>
      <c r="F2" s="66" t="s">
        <v>36</v>
      </c>
      <c r="G2" s="66" t="s">
        <v>37</v>
      </c>
      <c r="H2" s="66" t="s">
        <v>38</v>
      </c>
      <c r="I2" s="67" t="s">
        <v>5</v>
      </c>
      <c r="J2" s="67" t="s">
        <v>6</v>
      </c>
      <c r="K2" s="67" t="s">
        <v>7</v>
      </c>
    </row>
    <row r="3" spans="1:20">
      <c r="A3" s="67"/>
      <c r="B3" s="13"/>
      <c r="C3" s="13"/>
    </row>
    <row r="4" spans="1:20">
      <c r="A4" s="20">
        <v>1997</v>
      </c>
      <c r="B4" s="444">
        <v>3145925</v>
      </c>
      <c r="C4" s="10" t="s">
        <v>9</v>
      </c>
      <c r="D4" s="445">
        <v>14180</v>
      </c>
      <c r="E4" s="445">
        <v>33085</v>
      </c>
      <c r="F4" s="445">
        <v>17510</v>
      </c>
      <c r="G4" s="445">
        <v>5240</v>
      </c>
      <c r="H4" s="445">
        <v>10335</v>
      </c>
      <c r="I4" s="445" t="s">
        <v>9</v>
      </c>
      <c r="J4" s="445" t="s">
        <v>9</v>
      </c>
      <c r="K4" s="445" t="s">
        <v>9</v>
      </c>
    </row>
    <row r="5" spans="1:20">
      <c r="A5" s="20">
        <v>1998</v>
      </c>
      <c r="B5" s="444">
        <v>3221270</v>
      </c>
      <c r="C5" s="8">
        <f t="shared" ref="C5:C20" si="0">D5+E5+I5</f>
        <v>82705</v>
      </c>
      <c r="D5" s="445">
        <v>15745</v>
      </c>
      <c r="E5" s="445">
        <v>34380</v>
      </c>
      <c r="F5" s="445">
        <v>18605</v>
      </c>
      <c r="G5" s="445">
        <v>5460</v>
      </c>
      <c r="H5" s="445">
        <v>10315</v>
      </c>
      <c r="I5" s="445">
        <v>32580</v>
      </c>
      <c r="J5" s="445">
        <v>21165</v>
      </c>
      <c r="K5" s="445">
        <v>11415</v>
      </c>
    </row>
    <row r="6" spans="1:20">
      <c r="A6" s="20">
        <v>1999</v>
      </c>
      <c r="B6" s="444">
        <v>3313645</v>
      </c>
      <c r="C6" s="8">
        <f t="shared" si="0"/>
        <v>86045</v>
      </c>
      <c r="D6" s="445">
        <v>16460</v>
      </c>
      <c r="E6" s="445">
        <v>36955</v>
      </c>
      <c r="F6" s="445">
        <v>19970</v>
      </c>
      <c r="G6" s="445">
        <v>5740</v>
      </c>
      <c r="H6" s="445">
        <v>11245</v>
      </c>
      <c r="I6" s="445">
        <v>32630</v>
      </c>
      <c r="J6" s="445">
        <v>21120</v>
      </c>
      <c r="K6" s="445">
        <v>11510</v>
      </c>
    </row>
    <row r="7" spans="1:20">
      <c r="A7" s="20">
        <v>2000</v>
      </c>
      <c r="B7" s="444">
        <v>3382295</v>
      </c>
      <c r="C7" s="8">
        <f t="shared" si="0"/>
        <v>88860</v>
      </c>
      <c r="D7" s="445">
        <v>14895</v>
      </c>
      <c r="E7" s="445">
        <v>41170</v>
      </c>
      <c r="F7" s="445">
        <v>20295</v>
      </c>
      <c r="G7" s="445">
        <v>6045</v>
      </c>
      <c r="H7" s="445">
        <v>14830</v>
      </c>
      <c r="I7" s="445">
        <v>32795</v>
      </c>
      <c r="J7" s="445">
        <v>21150</v>
      </c>
      <c r="K7" s="445">
        <v>11645</v>
      </c>
    </row>
    <row r="8" spans="1:20">
      <c r="A8" s="20">
        <v>2001</v>
      </c>
      <c r="B8" s="444">
        <v>3412285</v>
      </c>
      <c r="C8" s="8">
        <f t="shared" si="0"/>
        <v>83150</v>
      </c>
      <c r="D8" s="445">
        <v>13575</v>
      </c>
      <c r="E8" s="445">
        <v>39395</v>
      </c>
      <c r="F8" s="445">
        <v>18940</v>
      </c>
      <c r="G8" s="445">
        <v>6190</v>
      </c>
      <c r="H8" s="445">
        <v>14265</v>
      </c>
      <c r="I8" s="445">
        <v>30180</v>
      </c>
      <c r="J8" s="445">
        <v>19275</v>
      </c>
      <c r="K8" s="445">
        <v>10905</v>
      </c>
      <c r="M8" s="3">
        <v>2000</v>
      </c>
      <c r="N8" s="3" t="e">
        <f>((#REF!/#REF!)-1)*100</f>
        <v>#REF!</v>
      </c>
      <c r="O8" s="3" t="e">
        <f>((#REF!/#REF!)-1)*100</f>
        <v>#REF!</v>
      </c>
      <c r="P8" s="3" t="e">
        <f>((#REF!/#REF!)-1)*100</f>
        <v>#REF!</v>
      </c>
      <c r="Q8" s="3" t="e">
        <f>((#REF!/#REF!)-1)*100</f>
        <v>#REF!</v>
      </c>
      <c r="R8" s="3" t="e">
        <f>((#REF!/#REF!)-1)*100</f>
        <v>#REF!</v>
      </c>
      <c r="S8" s="3" t="e">
        <f>((#REF!/#REF!)-1)*100</f>
        <v>#REF!</v>
      </c>
      <c r="T8" s="3" t="e">
        <f>((#REF!/#REF!)-1)*100</f>
        <v>#REF!</v>
      </c>
    </row>
    <row r="9" spans="1:20">
      <c r="A9" s="20">
        <v>2002</v>
      </c>
      <c r="B9" s="444">
        <v>3545290</v>
      </c>
      <c r="C9" s="8">
        <f t="shared" si="0"/>
        <v>82625</v>
      </c>
      <c r="D9" s="445">
        <v>13520</v>
      </c>
      <c r="E9" s="445">
        <v>40040</v>
      </c>
      <c r="F9" s="445">
        <v>18465</v>
      </c>
      <c r="G9" s="445">
        <v>6490</v>
      </c>
      <c r="H9" s="445">
        <v>15085</v>
      </c>
      <c r="I9" s="445">
        <v>29065</v>
      </c>
      <c r="J9" s="445">
        <v>18300</v>
      </c>
      <c r="K9" s="445">
        <v>10765</v>
      </c>
      <c r="M9" s="3">
        <v>2001</v>
      </c>
      <c r="N9" s="3" t="e">
        <f>((B8/#REF!)-1)*100</f>
        <v>#REF!</v>
      </c>
      <c r="O9" s="3" t="e">
        <f>((C8/#REF!)-1)*100</f>
        <v>#REF!</v>
      </c>
      <c r="P9" s="3" t="e">
        <f>((D9/#REF!)-1)*100</f>
        <v>#REF!</v>
      </c>
      <c r="Q9" s="3" t="e">
        <f>((I9/#REF!)-1)*100</f>
        <v>#REF!</v>
      </c>
      <c r="R9" s="3" t="e">
        <f>((#REF!/#REF!)-1)*100</f>
        <v>#REF!</v>
      </c>
      <c r="S9" s="3" t="e">
        <f>((#REF!/#REF!)-1)*100</f>
        <v>#REF!</v>
      </c>
      <c r="T9" s="3" t="e">
        <f>((#REF!/#REF!)-1)*100</f>
        <v>#REF!</v>
      </c>
    </row>
    <row r="10" spans="1:20">
      <c r="A10" s="20">
        <v>2003</v>
      </c>
      <c r="B10" s="444">
        <v>3577745</v>
      </c>
      <c r="C10" s="8">
        <f t="shared" si="0"/>
        <v>81280</v>
      </c>
      <c r="D10" s="445">
        <v>13650</v>
      </c>
      <c r="E10" s="445">
        <v>39370</v>
      </c>
      <c r="F10" s="445">
        <v>17180</v>
      </c>
      <c r="G10" s="445">
        <v>5905</v>
      </c>
      <c r="H10" s="445">
        <v>16285</v>
      </c>
      <c r="I10" s="445">
        <v>28260</v>
      </c>
      <c r="J10" s="445">
        <v>18130</v>
      </c>
      <c r="K10" s="445">
        <v>10130</v>
      </c>
      <c r="M10" s="3">
        <v>2002</v>
      </c>
      <c r="N10" s="3">
        <f t="shared" ref="N10:O20" si="1">((B9/B8)-1)*100</f>
        <v>3.8978279950238726</v>
      </c>
      <c r="O10" s="3">
        <f t="shared" si="1"/>
        <v>-0.63138905592302619</v>
      </c>
      <c r="P10" s="3">
        <f t="shared" ref="P10:P20" si="2">((D10/D9)-1)*100</f>
        <v>0.96153846153845812</v>
      </c>
      <c r="Q10" s="3">
        <f t="shared" ref="Q10:Q18" si="3">((I10/I9)-1)*100</f>
        <v>-2.7696542232926169</v>
      </c>
      <c r="R10" s="3" t="e">
        <f>((#REF!/#REF!)-1)*100</f>
        <v>#REF!</v>
      </c>
      <c r="S10" s="3" t="e">
        <f>((#REF!/#REF!)-1)*100</f>
        <v>#REF!</v>
      </c>
      <c r="T10" s="3" t="e">
        <f>((#REF!/#REF!)-1)*100</f>
        <v>#REF!</v>
      </c>
    </row>
    <row r="11" spans="1:20">
      <c r="A11" s="20">
        <v>2004</v>
      </c>
      <c r="B11" s="444">
        <v>3634705</v>
      </c>
      <c r="C11" s="8">
        <f t="shared" si="0"/>
        <v>78750</v>
      </c>
      <c r="D11" s="445">
        <v>13140</v>
      </c>
      <c r="E11" s="445">
        <v>37655</v>
      </c>
      <c r="F11" s="445">
        <v>16870</v>
      </c>
      <c r="G11" s="445">
        <v>5385</v>
      </c>
      <c r="H11" s="445">
        <v>15400</v>
      </c>
      <c r="I11" s="445">
        <v>27955</v>
      </c>
      <c r="J11" s="445">
        <v>17830</v>
      </c>
      <c r="K11" s="445">
        <v>10125</v>
      </c>
      <c r="M11" s="3">
        <v>2003</v>
      </c>
      <c r="N11" s="3">
        <f t="shared" si="1"/>
        <v>0.91543992169893507</v>
      </c>
      <c r="O11" s="3">
        <f t="shared" si="1"/>
        <v>-1.6278366111951548</v>
      </c>
      <c r="P11" s="3">
        <f t="shared" si="2"/>
        <v>-3.7362637362637341</v>
      </c>
      <c r="Q11" s="3">
        <f t="shared" si="3"/>
        <v>-1.0792639773531509</v>
      </c>
      <c r="R11" s="3" t="e">
        <f>((#REF!/#REF!)-1)*100</f>
        <v>#REF!</v>
      </c>
      <c r="S11" s="3" t="e">
        <f>((#REF!/#REF!)-1)*100</f>
        <v>#REF!</v>
      </c>
      <c r="T11" s="3" t="e">
        <f>((#REF!/#REF!)-1)*100</f>
        <v>#REF!</v>
      </c>
    </row>
    <row r="12" spans="1:20">
      <c r="A12" s="20">
        <v>2005</v>
      </c>
      <c r="B12" s="444">
        <v>3664860</v>
      </c>
      <c r="C12" s="8">
        <f t="shared" si="0"/>
        <v>80510</v>
      </c>
      <c r="D12" s="445">
        <v>13335</v>
      </c>
      <c r="E12" s="445">
        <v>36260</v>
      </c>
      <c r="F12" s="445">
        <v>16425</v>
      </c>
      <c r="G12" s="445">
        <v>4765</v>
      </c>
      <c r="H12" s="445">
        <v>15070</v>
      </c>
      <c r="I12" s="445">
        <v>30915</v>
      </c>
      <c r="J12" s="445">
        <v>20710</v>
      </c>
      <c r="K12" s="445">
        <v>10205</v>
      </c>
      <c r="M12" s="3">
        <v>2004</v>
      </c>
      <c r="N12" s="3">
        <f t="shared" si="1"/>
        <v>1.5920642751230174</v>
      </c>
      <c r="O12" s="3">
        <f t="shared" si="1"/>
        <v>-3.1126968503937036</v>
      </c>
      <c r="P12" s="3">
        <f t="shared" si="2"/>
        <v>1.4840182648401923</v>
      </c>
      <c r="Q12" s="3">
        <f t="shared" si="3"/>
        <v>10.588445716329819</v>
      </c>
      <c r="R12" s="3" t="e">
        <f>((#REF!/#REF!)-1)*100</f>
        <v>#REF!</v>
      </c>
      <c r="S12" s="3" t="e">
        <f>((#REF!/#REF!)-1)*100</f>
        <v>#REF!</v>
      </c>
      <c r="T12" s="3" t="e">
        <f>((#REF!/#REF!)-1)*100</f>
        <v>#REF!</v>
      </c>
    </row>
    <row r="13" spans="1:20">
      <c r="A13" s="20">
        <v>2006</v>
      </c>
      <c r="B13" s="444">
        <v>3703940</v>
      </c>
      <c r="C13" s="134">
        <f t="shared" si="0"/>
        <v>75010</v>
      </c>
      <c r="D13" s="445">
        <v>13055</v>
      </c>
      <c r="E13" s="445">
        <v>32770</v>
      </c>
      <c r="F13" s="445">
        <v>13950</v>
      </c>
      <c r="G13" s="445">
        <v>4870</v>
      </c>
      <c r="H13" s="445">
        <v>13950</v>
      </c>
      <c r="I13" s="445">
        <v>29185</v>
      </c>
      <c r="J13" s="445">
        <v>19810</v>
      </c>
      <c r="K13" s="445">
        <v>9375</v>
      </c>
      <c r="M13" s="3">
        <v>2005</v>
      </c>
      <c r="N13" s="3">
        <f t="shared" si="1"/>
        <v>0.82964091996462486</v>
      </c>
      <c r="O13" s="3">
        <f t="shared" si="1"/>
        <v>2.2349206349206341</v>
      </c>
      <c r="P13" s="3">
        <f t="shared" si="2"/>
        <v>-2.0997375328083989</v>
      </c>
      <c r="Q13" s="3">
        <f t="shared" si="3"/>
        <v>-5.5959890021025416</v>
      </c>
      <c r="R13" s="3" t="e">
        <f>((#REF!/#REF!)-1)*100</f>
        <v>#REF!</v>
      </c>
      <c r="S13" s="3" t="e">
        <f>((#REF!/#REF!)-1)*100</f>
        <v>#REF!</v>
      </c>
      <c r="T13" s="3" t="e">
        <f>((#REF!/#REF!)-1)*100</f>
        <v>#REF!</v>
      </c>
    </row>
    <row r="14" spans="1:20">
      <c r="A14" s="20">
        <v>2007</v>
      </c>
      <c r="B14" s="444">
        <v>3766815</v>
      </c>
      <c r="C14" s="8">
        <f t="shared" si="0"/>
        <v>69905</v>
      </c>
      <c r="D14" s="445">
        <v>11510</v>
      </c>
      <c r="E14" s="445">
        <v>29320</v>
      </c>
      <c r="F14" s="445">
        <v>12470</v>
      </c>
      <c r="G14" s="445">
        <v>3745</v>
      </c>
      <c r="H14" s="445">
        <v>13105</v>
      </c>
      <c r="I14" s="445">
        <v>29075</v>
      </c>
      <c r="J14" s="445">
        <v>18575</v>
      </c>
      <c r="K14" s="445">
        <v>10500</v>
      </c>
      <c r="M14" s="3">
        <v>2006</v>
      </c>
      <c r="N14" s="3">
        <f t="shared" si="1"/>
        <v>1.0663435983912173</v>
      </c>
      <c r="O14" s="3">
        <f t="shared" si="1"/>
        <v>-6.8314495093777179</v>
      </c>
      <c r="P14" s="3">
        <f t="shared" si="2"/>
        <v>-11.834546150900039</v>
      </c>
      <c r="Q14" s="3">
        <f t="shared" si="3"/>
        <v>-0.37690594483467121</v>
      </c>
      <c r="R14" s="3" t="e">
        <f>((#REF!/#REF!)-1)*100</f>
        <v>#REF!</v>
      </c>
      <c r="S14" s="3" t="e">
        <f>((#REF!/#REF!)-1)*100</f>
        <v>#REF!</v>
      </c>
      <c r="T14" s="3" t="e">
        <f>((#REF!/#REF!)-1)*100</f>
        <v>#REF!</v>
      </c>
    </row>
    <row r="15" spans="1:20">
      <c r="A15" s="20">
        <v>2008</v>
      </c>
      <c r="B15" s="444">
        <v>3844520</v>
      </c>
      <c r="C15" s="8">
        <f t="shared" si="0"/>
        <v>64945</v>
      </c>
      <c r="D15" s="445">
        <v>11770</v>
      </c>
      <c r="E15" s="445">
        <v>27010</v>
      </c>
      <c r="F15" s="445">
        <v>10085</v>
      </c>
      <c r="G15" s="445">
        <v>3475</v>
      </c>
      <c r="H15" s="445">
        <v>13450</v>
      </c>
      <c r="I15" s="445">
        <v>26165</v>
      </c>
      <c r="J15" s="445">
        <v>16405</v>
      </c>
      <c r="K15" s="445">
        <v>9760</v>
      </c>
      <c r="M15" s="3">
        <v>2007</v>
      </c>
      <c r="N15" s="3">
        <f t="shared" si="1"/>
        <v>1.6975166984346313</v>
      </c>
      <c r="O15" s="3">
        <f t="shared" si="1"/>
        <v>-6.8057592321023819</v>
      </c>
      <c r="P15" s="3">
        <f t="shared" si="2"/>
        <v>2.2589052997393555</v>
      </c>
      <c r="Q15" s="3">
        <f t="shared" si="3"/>
        <v>-10.008598452278594</v>
      </c>
      <c r="R15" s="3" t="e">
        <f>((#REF!/#REF!)-1)*100</f>
        <v>#REF!</v>
      </c>
      <c r="S15" s="3" t="e">
        <f>((#REF!/#REF!)-1)*100</f>
        <v>#REF!</v>
      </c>
      <c r="T15" s="3" t="e">
        <f>((#REF!/#REF!)-1)*100</f>
        <v>#REF!</v>
      </c>
    </row>
    <row r="16" spans="1:20">
      <c r="A16" s="20">
        <v>2009</v>
      </c>
      <c r="B16" s="444">
        <v>3800510</v>
      </c>
      <c r="C16" s="8">
        <f t="shared" si="0"/>
        <v>60355</v>
      </c>
      <c r="D16" s="445">
        <v>11635</v>
      </c>
      <c r="E16" s="445">
        <v>25305</v>
      </c>
      <c r="F16" s="445">
        <v>7510</v>
      </c>
      <c r="G16" s="445">
        <v>3525</v>
      </c>
      <c r="H16" s="445">
        <v>14270</v>
      </c>
      <c r="I16" s="445">
        <v>23415</v>
      </c>
      <c r="J16" s="445">
        <v>13930</v>
      </c>
      <c r="K16" s="445">
        <v>9485</v>
      </c>
      <c r="M16" s="3">
        <v>2008</v>
      </c>
      <c r="N16" s="3">
        <f t="shared" si="1"/>
        <v>2.0628833643276945</v>
      </c>
      <c r="O16" s="3">
        <f t="shared" si="1"/>
        <v>-7.0953436807095311</v>
      </c>
      <c r="P16" s="3">
        <f t="shared" si="2"/>
        <v>-1.1469838572642277</v>
      </c>
      <c r="Q16" s="3">
        <f t="shared" si="3"/>
        <v>-10.510223581119815</v>
      </c>
      <c r="R16" s="3" t="e">
        <f>((#REF!/#REF!)-1)*100</f>
        <v>#REF!</v>
      </c>
      <c r="S16" s="3" t="e">
        <f>((#REF!/#REF!)-1)*100</f>
        <v>#REF!</v>
      </c>
      <c r="T16" s="3" t="e">
        <f>((#REF!/#REF!)-1)*100</f>
        <v>#REF!</v>
      </c>
    </row>
    <row r="17" spans="1:20">
      <c r="A17" s="20">
        <v>2010</v>
      </c>
      <c r="B17" s="444">
        <v>3882300</v>
      </c>
      <c r="C17" s="8">
        <f t="shared" si="0"/>
        <v>60570</v>
      </c>
      <c r="D17" s="445">
        <v>9030</v>
      </c>
      <c r="E17" s="445">
        <v>27965</v>
      </c>
      <c r="F17" s="445">
        <v>8265</v>
      </c>
      <c r="G17" s="445">
        <v>5335</v>
      </c>
      <c r="H17" s="445">
        <v>14365</v>
      </c>
      <c r="I17" s="445">
        <v>23575</v>
      </c>
      <c r="J17" s="445">
        <v>13165</v>
      </c>
      <c r="K17" s="445">
        <v>10410</v>
      </c>
      <c r="M17" s="3">
        <v>2009</v>
      </c>
      <c r="N17" s="3">
        <f t="shared" si="1"/>
        <v>-1.1447462882232418</v>
      </c>
      <c r="O17" s="3">
        <f t="shared" si="1"/>
        <v>-7.0675186696435466</v>
      </c>
      <c r="P17" s="3">
        <f t="shared" si="2"/>
        <v>-22.389342501074349</v>
      </c>
      <c r="Q17" s="3">
        <f t="shared" si="3"/>
        <v>0.68332265641681822</v>
      </c>
      <c r="R17" s="3" t="e">
        <f>((#REF!/#REF!)-1)*100</f>
        <v>#REF!</v>
      </c>
      <c r="S17" s="3" t="e">
        <f>((#REF!/#REF!)-1)*100</f>
        <v>#REF!</v>
      </c>
      <c r="T17" s="3" t="e">
        <f>((#REF!/#REF!)-1)*100</f>
        <v>#REF!</v>
      </c>
    </row>
    <row r="18" spans="1:20">
      <c r="A18" s="20">
        <v>2011</v>
      </c>
      <c r="B18" s="444">
        <v>3931230</v>
      </c>
      <c r="C18" s="8">
        <f t="shared" si="0"/>
        <v>57200</v>
      </c>
      <c r="D18" s="445">
        <v>10395</v>
      </c>
      <c r="E18" s="445">
        <v>25940</v>
      </c>
      <c r="F18" s="445">
        <v>7370</v>
      </c>
      <c r="G18" s="445">
        <v>4755</v>
      </c>
      <c r="H18" s="445">
        <v>13815</v>
      </c>
      <c r="I18" s="445">
        <v>20865</v>
      </c>
      <c r="J18" s="445">
        <v>11880</v>
      </c>
      <c r="K18" s="445">
        <v>8985</v>
      </c>
      <c r="M18" s="3">
        <v>2010</v>
      </c>
      <c r="N18" s="3">
        <f t="shared" si="1"/>
        <v>2.1520795893182676</v>
      </c>
      <c r="O18" s="3">
        <f t="shared" si="1"/>
        <v>0.35622566481650075</v>
      </c>
      <c r="P18" s="3">
        <f t="shared" si="2"/>
        <v>15.116279069767447</v>
      </c>
      <c r="Q18" s="3">
        <f t="shared" si="3"/>
        <v>-11.495227995758217</v>
      </c>
      <c r="R18" s="3" t="e">
        <f>((#REF!/#REF!)-1)*100</f>
        <v>#REF!</v>
      </c>
      <c r="S18" s="3" t="e">
        <f>((#REF!/#REF!)-1)*100</f>
        <v>#REF!</v>
      </c>
      <c r="T18" s="3" t="e">
        <f>((#REF!/#REF!)-1)*100</f>
        <v>#REF!</v>
      </c>
    </row>
    <row r="19" spans="1:20">
      <c r="A19" s="20">
        <v>2012</v>
      </c>
      <c r="B19" s="444">
        <v>3960570</v>
      </c>
      <c r="C19" s="8">
        <f t="shared" si="0"/>
        <v>52540</v>
      </c>
      <c r="D19" s="445">
        <v>7960</v>
      </c>
      <c r="E19" s="445">
        <v>23705</v>
      </c>
      <c r="F19" s="445">
        <v>5210</v>
      </c>
      <c r="G19" s="445">
        <v>4770</v>
      </c>
      <c r="H19" s="445">
        <v>13725</v>
      </c>
      <c r="I19" s="445">
        <v>20875</v>
      </c>
      <c r="J19" s="445">
        <v>12350</v>
      </c>
      <c r="K19" s="445">
        <v>8525</v>
      </c>
      <c r="M19" s="3">
        <v>2011</v>
      </c>
      <c r="N19" s="3">
        <f t="shared" si="1"/>
        <v>1.2603353682095753</v>
      </c>
      <c r="O19" s="3">
        <f t="shared" si="1"/>
        <v>-5.5638104672280031</v>
      </c>
      <c r="P19" s="3">
        <f t="shared" si="2"/>
        <v>-23.424723424723425</v>
      </c>
      <c r="Q19" s="3">
        <f>((F19/I18)-1)*100</f>
        <v>-75.0299544692068</v>
      </c>
      <c r="R19" s="3" t="e">
        <f>((J19/#REF!)-1)*100</f>
        <v>#REF!</v>
      </c>
      <c r="S19" s="3" t="e">
        <f>((K19/#REF!)-1)*100</f>
        <v>#REF!</v>
      </c>
      <c r="T19" s="3" t="e">
        <f>((#REF!/#REF!)-1)*100</f>
        <v>#REF!</v>
      </c>
    </row>
    <row r="20" spans="1:20">
      <c r="A20" s="20">
        <v>2013</v>
      </c>
      <c r="B20" s="444">
        <v>3984395</v>
      </c>
      <c r="C20" s="8">
        <f t="shared" si="0"/>
        <v>49680</v>
      </c>
      <c r="D20" s="445">
        <v>7050</v>
      </c>
      <c r="E20" s="445">
        <v>23745</v>
      </c>
      <c r="F20" s="445">
        <v>5445</v>
      </c>
      <c r="G20" s="445">
        <v>4665</v>
      </c>
      <c r="H20" s="445">
        <v>13635</v>
      </c>
      <c r="I20" s="445">
        <v>18885</v>
      </c>
      <c r="J20" s="445">
        <v>10930</v>
      </c>
      <c r="K20" s="445">
        <v>7955</v>
      </c>
      <c r="M20" s="3">
        <v>2012</v>
      </c>
      <c r="N20" s="3">
        <f t="shared" si="1"/>
        <v>0.74633130089056809</v>
      </c>
      <c r="O20" s="3">
        <f t="shared" si="1"/>
        <v>-8.1468531468531502</v>
      </c>
      <c r="P20" s="3">
        <f t="shared" si="2"/>
        <v>-11.432160804020096</v>
      </c>
      <c r="Q20" s="3">
        <f t="shared" ref="Q20" si="4">((F20/F19)-1)*100</f>
        <v>4.5105566218810011</v>
      </c>
      <c r="R20" s="3">
        <f t="shared" ref="R20:S20" si="5">((J20/J19)-1)*100</f>
        <v>-11.497975708502029</v>
      </c>
      <c r="S20" s="3">
        <f t="shared" si="5"/>
        <v>-6.6862170087976569</v>
      </c>
      <c r="T20" s="3" t="e">
        <f>((#REF!/#REF!)-1)*100</f>
        <v>#REF!</v>
      </c>
    </row>
    <row r="21" spans="1:20">
      <c r="A21" s="13"/>
      <c r="B21" s="13"/>
      <c r="C21" s="13"/>
      <c r="D21" s="14"/>
      <c r="E21" s="13"/>
      <c r="F21" s="13"/>
      <c r="G21" s="13"/>
      <c r="H21" s="13"/>
      <c r="I21" s="13"/>
      <c r="J21" s="13"/>
      <c r="K21" s="13"/>
    </row>
    <row r="22" spans="1:20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20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N23" s="3" t="s">
        <v>27</v>
      </c>
    </row>
    <row r="24" spans="1:20" ht="30">
      <c r="A24" s="67" t="s">
        <v>19</v>
      </c>
      <c r="B24" s="13">
        <f>((B7/B4)^(1/3)-1)*100</f>
        <v>2.4442780718439305</v>
      </c>
      <c r="C24" s="62" t="s">
        <v>9</v>
      </c>
      <c r="D24" s="13">
        <f t="shared" ref="D24:E24" si="6">((D7/D4)^(1/3)-1)*100</f>
        <v>1.6532868314287574</v>
      </c>
      <c r="E24" s="13">
        <f t="shared" si="6"/>
        <v>7.5597810109337971</v>
      </c>
      <c r="F24" s="13">
        <f t="shared" ref="F24:H24" si="7">((F7/F4)^(1/3)-1)*100</f>
        <v>5.0431257558811504</v>
      </c>
      <c r="G24" s="13">
        <f t="shared" si="7"/>
        <v>4.8789520908329775</v>
      </c>
      <c r="H24" s="13">
        <f t="shared" si="7"/>
        <v>12.79163445266882</v>
      </c>
      <c r="I24" s="62" t="s">
        <v>9</v>
      </c>
      <c r="J24" s="62" t="s">
        <v>9</v>
      </c>
      <c r="K24" s="62" t="s">
        <v>9</v>
      </c>
    </row>
    <row r="25" spans="1:20" ht="30">
      <c r="A25" s="327" t="s">
        <v>68</v>
      </c>
      <c r="B25" s="13">
        <f>((B14/B7)^(1/7)-1)*100</f>
        <v>1.5501106804508558</v>
      </c>
      <c r="C25" s="13">
        <f t="shared" ref="C25:K25" si="8">((C14/C7)^(1/7)-1)*100</f>
        <v>-3.3694254947022939</v>
      </c>
      <c r="D25" s="13">
        <f t="shared" si="8"/>
        <v>-3.6159938131993807</v>
      </c>
      <c r="E25" s="13">
        <f t="shared" si="8"/>
        <v>-4.7334489412729326</v>
      </c>
      <c r="F25" s="13">
        <f t="shared" ref="F25:H25" si="9">((F14/F7)^(1/7)-1)*100</f>
        <v>-6.7212998730291744</v>
      </c>
      <c r="G25" s="13">
        <f t="shared" si="9"/>
        <v>-6.6114472273646641</v>
      </c>
      <c r="H25" s="13">
        <f t="shared" si="9"/>
        <v>-1.7510354471310885</v>
      </c>
      <c r="I25" s="13">
        <f t="shared" si="8"/>
        <v>-1.7052554619321869</v>
      </c>
      <c r="J25" s="13">
        <f t="shared" si="8"/>
        <v>-1.837526558264313</v>
      </c>
      <c r="K25" s="13">
        <f t="shared" si="8"/>
        <v>-1.4677174078305377</v>
      </c>
      <c r="M25" s="3">
        <v>1999</v>
      </c>
      <c r="N25" s="3" t="e">
        <f>#REF!/#REF!</f>
        <v>#REF!</v>
      </c>
      <c r="O25" s="3" t="e">
        <f>#REF!/#REF!</f>
        <v>#REF!</v>
      </c>
      <c r="P25" s="3" t="e">
        <f>#REF!/#REF!</f>
        <v>#REF!</v>
      </c>
      <c r="Q25" s="3" t="e">
        <f>#REF!/#REF!</f>
        <v>#REF!</v>
      </c>
      <c r="R25" s="3" t="e">
        <f>#REF!/#REF!</f>
        <v>#REF!</v>
      </c>
      <c r="S25" s="3" t="e">
        <f>#REF!/#REF!</f>
        <v>#REF!</v>
      </c>
      <c r="T25" s="3" t="e">
        <f>#REF!/#REF!</f>
        <v>#REF!</v>
      </c>
    </row>
    <row r="26" spans="1:20" ht="30">
      <c r="A26" s="67" t="s">
        <v>69</v>
      </c>
      <c r="B26" s="13">
        <f>((B20/B14)^(1/6)-1)*100</f>
        <v>0.94032124280281071</v>
      </c>
      <c r="C26" s="13">
        <f t="shared" ref="C26:K26" si="10">((C20/C14)^(1/6)-1)*100</f>
        <v>-5.5332680791514655</v>
      </c>
      <c r="D26" s="13">
        <f t="shared" si="10"/>
        <v>-7.8449868218737118</v>
      </c>
      <c r="E26" s="13">
        <f t="shared" si="10"/>
        <v>-3.4539074979333506</v>
      </c>
      <c r="F26" s="13">
        <f t="shared" ref="F26:H26" si="11">((F20/F14)^(1/6)-1)*100</f>
        <v>-12.899247895935273</v>
      </c>
      <c r="G26" s="13">
        <f t="shared" si="11"/>
        <v>3.7289474327618866</v>
      </c>
      <c r="H26" s="13">
        <f t="shared" si="11"/>
        <v>0.66295755774865572</v>
      </c>
      <c r="I26" s="13">
        <f t="shared" si="10"/>
        <v>-6.9393222851473757</v>
      </c>
      <c r="J26" s="13">
        <f t="shared" si="10"/>
        <v>-8.4590904515972944</v>
      </c>
      <c r="K26" s="13">
        <f t="shared" si="10"/>
        <v>-4.5208639034116533</v>
      </c>
      <c r="M26" s="3">
        <v>2000</v>
      </c>
      <c r="N26" s="3" t="e">
        <f>#REF!/#REF!</f>
        <v>#REF!</v>
      </c>
      <c r="O26" s="3" t="e">
        <f>#REF!/#REF!</f>
        <v>#REF!</v>
      </c>
      <c r="P26" s="3" t="e">
        <f>#REF!/#REF!</f>
        <v>#REF!</v>
      </c>
      <c r="Q26" s="3" t="e">
        <f>#REF!/#REF!</f>
        <v>#REF!</v>
      </c>
      <c r="R26" s="3" t="e">
        <f>#REF!/#REF!</f>
        <v>#REF!</v>
      </c>
      <c r="S26" s="3" t="e">
        <f>#REF!/#REF!</f>
        <v>#REF!</v>
      </c>
      <c r="T26" s="3" t="e">
        <f>#REF!/#REF!</f>
        <v>#REF!</v>
      </c>
    </row>
    <row r="27" spans="1:20" ht="30">
      <c r="A27" s="327" t="s">
        <v>15</v>
      </c>
      <c r="B27" s="13">
        <f>((B20/B7)^(1/13)-1)*100</f>
        <v>1.2682129944338039</v>
      </c>
      <c r="C27" s="13">
        <f t="shared" ref="C27:K27" si="12">((C20/C7)^(1/13)-1)*100</f>
        <v>-4.3742132232777902</v>
      </c>
      <c r="D27" s="13">
        <f t="shared" si="12"/>
        <v>-5.5914273825212639</v>
      </c>
      <c r="E27" s="13">
        <f t="shared" si="12"/>
        <v>-4.1450122736546691</v>
      </c>
      <c r="F27" s="13">
        <f t="shared" ref="F27:H27" si="13">((F20/F7)^(1/13)-1)*100</f>
        <v>-9.6253074294133878</v>
      </c>
      <c r="G27" s="13">
        <f t="shared" si="13"/>
        <v>-1.9736755846386345</v>
      </c>
      <c r="H27" s="13">
        <f t="shared" si="13"/>
        <v>-0.64416354322874847</v>
      </c>
      <c r="I27" s="13">
        <f t="shared" si="12"/>
        <v>-4.1565897863184098</v>
      </c>
      <c r="J27" s="13">
        <f t="shared" si="12"/>
        <v>-4.9511411898172213</v>
      </c>
      <c r="K27" s="13">
        <f t="shared" si="12"/>
        <v>-2.8888082257704562</v>
      </c>
    </row>
    <row r="28" spans="1:20">
      <c r="A28" s="67"/>
      <c r="B28" s="13"/>
      <c r="C28" s="13"/>
      <c r="D28" s="13"/>
      <c r="E28" s="13"/>
      <c r="F28" s="62"/>
      <c r="G28" s="62"/>
      <c r="H28" s="62"/>
      <c r="I28" s="13"/>
      <c r="J28" s="13"/>
      <c r="K28" s="13"/>
    </row>
    <row r="29" spans="1:20">
      <c r="A29" s="86" t="s">
        <v>40</v>
      </c>
      <c r="B29" s="13"/>
      <c r="C29" s="13"/>
      <c r="D29" s="13"/>
      <c r="E29" s="13"/>
      <c r="F29" s="62"/>
      <c r="G29" s="62"/>
      <c r="H29" s="62"/>
      <c r="I29" s="13"/>
      <c r="J29" s="13"/>
      <c r="K29" s="13"/>
    </row>
    <row r="30" spans="1:20">
      <c r="A30" s="231" t="s">
        <v>144</v>
      </c>
      <c r="B30" s="87"/>
      <c r="C30" s="13"/>
      <c r="D30" s="13"/>
      <c r="E30" s="13"/>
      <c r="F30" s="62"/>
      <c r="G30" s="62"/>
      <c r="H30" s="62"/>
      <c r="I30" s="13"/>
      <c r="J30" s="13"/>
      <c r="K30" s="13"/>
    </row>
    <row r="31" spans="1:20">
      <c r="A31" s="86" t="s">
        <v>74</v>
      </c>
      <c r="B31" s="57"/>
      <c r="C31" s="57"/>
      <c r="D31" s="57"/>
      <c r="E31" s="57"/>
      <c r="F31" s="57"/>
      <c r="G31" s="57"/>
      <c r="H31" s="57"/>
      <c r="I31" s="57"/>
      <c r="M31" s="3">
        <v>2004</v>
      </c>
      <c r="N31" s="3" t="e">
        <f>B11/#REF!</f>
        <v>#REF!</v>
      </c>
      <c r="O31" s="3" t="e">
        <f>C11/#REF!</f>
        <v>#REF!</v>
      </c>
      <c r="P31" s="3" t="e">
        <f>D12/#REF!</f>
        <v>#REF!</v>
      </c>
      <c r="Q31" s="3" t="e">
        <f>I12/#REF!</f>
        <v>#REF!</v>
      </c>
      <c r="R31" s="3" t="e">
        <f>#REF!/#REF!</f>
        <v>#REF!</v>
      </c>
      <c r="S31" s="3" t="e">
        <f>#REF!/#REF!</f>
        <v>#REF!</v>
      </c>
      <c r="T31" s="3" t="e">
        <f>#REF!/#REF!</f>
        <v>#REF!</v>
      </c>
    </row>
    <row r="32" spans="1:20">
      <c r="A32" s="56"/>
      <c r="B32" s="57"/>
      <c r="C32" s="57"/>
      <c r="D32" s="57"/>
      <c r="E32" s="57"/>
      <c r="F32" s="57"/>
      <c r="G32" s="57"/>
      <c r="H32" s="57"/>
      <c r="I32" s="57"/>
      <c r="M32" s="3">
        <v>2005</v>
      </c>
      <c r="N32" s="3" t="e">
        <f>B12/#REF!</f>
        <v>#REF!</v>
      </c>
      <c r="O32" s="3" t="e">
        <f>C12/#REF!</f>
        <v>#REF!</v>
      </c>
      <c r="P32" s="3" t="e">
        <f>D13/#REF!</f>
        <v>#REF!</v>
      </c>
      <c r="Q32" s="3" t="e">
        <f>I13/#REF!</f>
        <v>#REF!</v>
      </c>
      <c r="R32" s="3" t="e">
        <f>#REF!/#REF!</f>
        <v>#REF!</v>
      </c>
      <c r="S32" s="3" t="e">
        <f>#REF!/#REF!</f>
        <v>#REF!</v>
      </c>
      <c r="T32" s="3" t="e">
        <f>#REF!/#REF!</f>
        <v>#REF!</v>
      </c>
    </row>
    <row r="33" spans="1:20">
      <c r="A33" s="56"/>
      <c r="B33" s="57"/>
      <c r="C33" s="57"/>
      <c r="D33" s="57"/>
      <c r="E33" s="57"/>
      <c r="F33" s="57"/>
      <c r="G33" s="57"/>
      <c r="H33" s="57"/>
      <c r="I33" s="57"/>
      <c r="M33" s="3">
        <v>2006</v>
      </c>
      <c r="N33" s="3" t="e">
        <f>B13/#REF!</f>
        <v>#REF!</v>
      </c>
      <c r="O33" s="3" t="e">
        <f>C13/#REF!</f>
        <v>#REF!</v>
      </c>
      <c r="P33" s="3" t="e">
        <f>D14/#REF!</f>
        <v>#REF!</v>
      </c>
      <c r="Q33" s="3" t="e">
        <f>I14/#REF!</f>
        <v>#REF!</v>
      </c>
      <c r="R33" s="3" t="e">
        <f>#REF!/#REF!</f>
        <v>#REF!</v>
      </c>
      <c r="S33" s="3" t="e">
        <f>#REF!/#REF!</f>
        <v>#REF!</v>
      </c>
      <c r="T33" s="3" t="e">
        <f>#REF!/#REF!</f>
        <v>#REF!</v>
      </c>
    </row>
    <row r="34" spans="1:20">
      <c r="A34" s="56"/>
      <c r="B34" s="57"/>
      <c r="C34" s="57"/>
      <c r="D34" s="57"/>
      <c r="E34" s="57"/>
      <c r="F34" s="57"/>
      <c r="G34" s="57"/>
      <c r="H34" s="57"/>
      <c r="I34" s="57"/>
      <c r="M34" s="3">
        <v>2007</v>
      </c>
      <c r="N34" s="3" t="e">
        <f>B14/#REF!</f>
        <v>#REF!</v>
      </c>
      <c r="O34" s="3" t="e">
        <f>C14/#REF!</f>
        <v>#REF!</v>
      </c>
      <c r="P34" s="3" t="e">
        <f>D15/#REF!</f>
        <v>#REF!</v>
      </c>
      <c r="Q34" s="3" t="e">
        <f>I15/#REF!</f>
        <v>#REF!</v>
      </c>
      <c r="R34" s="3" t="e">
        <f>#REF!/#REF!</f>
        <v>#REF!</v>
      </c>
      <c r="S34" s="3" t="e">
        <f>#REF!/#REF!</f>
        <v>#REF!</v>
      </c>
      <c r="T34" s="3" t="e">
        <f>#REF!/#REF!</f>
        <v>#REF!</v>
      </c>
    </row>
    <row r="35" spans="1:20">
      <c r="M35" s="3">
        <v>2008</v>
      </c>
      <c r="N35" s="3" t="e">
        <f>B15/#REF!</f>
        <v>#REF!</v>
      </c>
      <c r="O35" s="3" t="e">
        <f>C15/#REF!</f>
        <v>#REF!</v>
      </c>
      <c r="P35" s="3" t="e">
        <f>D16/#REF!</f>
        <v>#REF!</v>
      </c>
      <c r="Q35" s="3" t="e">
        <f>I16/#REF!</f>
        <v>#REF!</v>
      </c>
      <c r="R35" s="3" t="e">
        <f>#REF!/#REF!</f>
        <v>#REF!</v>
      </c>
      <c r="S35" s="3" t="e">
        <f>#REF!/#REF!</f>
        <v>#REF!</v>
      </c>
      <c r="T35" s="3" t="e">
        <f>#REF!/#REF!</f>
        <v>#REF!</v>
      </c>
    </row>
    <row r="36" spans="1:20">
      <c r="M36" s="3">
        <v>2009</v>
      </c>
      <c r="N36" s="3" t="e">
        <f>B16/#REF!</f>
        <v>#REF!</v>
      </c>
      <c r="O36" s="3" t="e">
        <f>C16/#REF!</f>
        <v>#REF!</v>
      </c>
      <c r="P36" s="3" t="e">
        <f>D17/#REF!</f>
        <v>#REF!</v>
      </c>
      <c r="Q36" s="3" t="e">
        <f>I17/#REF!</f>
        <v>#REF!</v>
      </c>
      <c r="R36" s="3" t="e">
        <f>#REF!/#REF!</f>
        <v>#REF!</v>
      </c>
      <c r="S36" s="3" t="e">
        <f>#REF!/#REF!</f>
        <v>#REF!</v>
      </c>
      <c r="T36" s="3" t="e">
        <f>#REF!/#REF!</f>
        <v>#REF!</v>
      </c>
    </row>
    <row r="37" spans="1:20">
      <c r="M37" s="3">
        <v>2010</v>
      </c>
      <c r="N37" s="3" t="e">
        <f>B17/#REF!</f>
        <v>#REF!</v>
      </c>
      <c r="O37" s="3" t="e">
        <f>C17/#REF!</f>
        <v>#REF!</v>
      </c>
      <c r="P37" s="3" t="e">
        <f>D18/#REF!</f>
        <v>#REF!</v>
      </c>
      <c r="Q37" s="3" t="e">
        <f>I18/#REF!</f>
        <v>#REF!</v>
      </c>
      <c r="R37" s="3" t="e">
        <f>#REF!/#REF!</f>
        <v>#REF!</v>
      </c>
      <c r="S37" s="3" t="e">
        <f>#REF!/#REF!</f>
        <v>#REF!</v>
      </c>
      <c r="T37" s="3" t="e">
        <f>#REF!/#REF!</f>
        <v>#REF!</v>
      </c>
    </row>
    <row r="38" spans="1:20">
      <c r="M38" s="3">
        <v>2011</v>
      </c>
      <c r="N38" s="3" t="e">
        <f>B18/#REF!</f>
        <v>#REF!</v>
      </c>
      <c r="O38" s="3" t="e">
        <f>C18/#REF!</f>
        <v>#REF!</v>
      </c>
      <c r="P38" s="3" t="e">
        <f>D19/#REF!</f>
        <v>#REF!</v>
      </c>
      <c r="Q38" s="3" t="e">
        <f>F19/#REF!</f>
        <v>#REF!</v>
      </c>
      <c r="R38" s="3" t="e">
        <f>J19/#REF!</f>
        <v>#REF!</v>
      </c>
      <c r="S38" s="3" t="e">
        <f>K19/#REF!</f>
        <v>#REF!</v>
      </c>
      <c r="T38" s="3" t="e">
        <f>#REF!/#REF!</f>
        <v>#REF!</v>
      </c>
    </row>
    <row r="39" spans="1:20">
      <c r="M39" s="3">
        <v>2012</v>
      </c>
      <c r="N39" s="3" t="e">
        <f>B19/#REF!</f>
        <v>#REF!</v>
      </c>
      <c r="O39" s="3" t="e">
        <f>C19/#REF!</f>
        <v>#REF!</v>
      </c>
      <c r="P39" s="3" t="e">
        <f>D20/#REF!</f>
        <v>#REF!</v>
      </c>
      <c r="Q39" s="3" t="e">
        <f>F20/#REF!</f>
        <v>#REF!</v>
      </c>
      <c r="R39" s="3" t="e">
        <f>J20/#REF!</f>
        <v>#REF!</v>
      </c>
      <c r="S39" s="3" t="e">
        <f>K20/#REF!</f>
        <v>#REF!</v>
      </c>
      <c r="T39" s="3" t="e">
        <f>#REF!/#REF!</f>
        <v>#REF!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2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topLeftCell="A7" zoomScaleNormal="100" zoomScaleSheetLayoutView="100" workbookViewId="0">
      <selection activeCell="C13" sqref="C13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2" width="9.140625" style="3"/>
    <col min="13" max="22" width="0" style="3" hidden="1" customWidth="1"/>
    <col min="23" max="16384" width="9.140625" style="3"/>
  </cols>
  <sheetData>
    <row r="1" spans="1:20">
      <c r="A1" s="454" t="s">
        <v>177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66"/>
      <c r="B2" s="66" t="s">
        <v>2</v>
      </c>
      <c r="C2" s="66" t="s">
        <v>8</v>
      </c>
      <c r="D2" s="66" t="s">
        <v>20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5</v>
      </c>
      <c r="J2" s="66" t="s">
        <v>6</v>
      </c>
      <c r="K2" s="66" t="s">
        <v>7</v>
      </c>
    </row>
    <row r="3" spans="1:20">
      <c r="A3" s="66"/>
      <c r="B3" s="52"/>
      <c r="C3" s="52"/>
      <c r="D3" s="52"/>
      <c r="E3" s="52"/>
      <c r="F3" s="52"/>
      <c r="G3" s="52"/>
      <c r="H3" s="52"/>
      <c r="I3" s="52"/>
      <c r="J3" s="52"/>
      <c r="K3" s="52"/>
    </row>
    <row r="4" spans="1:20">
      <c r="A4" s="66">
        <v>1997</v>
      </c>
      <c r="B4" s="446">
        <v>5407280</v>
      </c>
      <c r="C4" s="8">
        <f>D4+E4+I4</f>
        <v>73205</v>
      </c>
      <c r="D4" s="447">
        <v>9920</v>
      </c>
      <c r="E4" s="447">
        <v>29305</v>
      </c>
      <c r="F4" s="447">
        <v>8810</v>
      </c>
      <c r="G4" s="447">
        <v>6350</v>
      </c>
      <c r="H4" s="447">
        <v>14145</v>
      </c>
      <c r="I4" s="447">
        <v>33980</v>
      </c>
      <c r="J4" s="447">
        <v>17085</v>
      </c>
      <c r="K4" s="447">
        <v>16895</v>
      </c>
    </row>
    <row r="5" spans="1:20">
      <c r="A5" s="66">
        <v>1998</v>
      </c>
      <c r="B5" s="446">
        <v>5583135</v>
      </c>
      <c r="C5" s="8">
        <f t="shared" ref="C5:C20" si="0">D5+E5+I5</f>
        <v>70735</v>
      </c>
      <c r="D5" s="447">
        <v>8340</v>
      </c>
      <c r="E5" s="447">
        <v>30905</v>
      </c>
      <c r="F5" s="447">
        <v>9025</v>
      </c>
      <c r="G5" s="447">
        <v>6610</v>
      </c>
      <c r="H5" s="447">
        <v>15270</v>
      </c>
      <c r="I5" s="447">
        <v>31490</v>
      </c>
      <c r="J5" s="447">
        <v>14955</v>
      </c>
      <c r="K5" s="447">
        <v>16535</v>
      </c>
    </row>
    <row r="6" spans="1:20">
      <c r="A6" s="66">
        <v>1999</v>
      </c>
      <c r="B6" s="446">
        <v>5749015</v>
      </c>
      <c r="C6" s="8">
        <f t="shared" si="0"/>
        <v>74095</v>
      </c>
      <c r="D6" s="447">
        <v>8825</v>
      </c>
      <c r="E6" s="447">
        <v>31905</v>
      </c>
      <c r="F6" s="447">
        <v>8565</v>
      </c>
      <c r="G6" s="447">
        <v>7630</v>
      </c>
      <c r="H6" s="447">
        <v>15710</v>
      </c>
      <c r="I6" s="447">
        <v>33365</v>
      </c>
      <c r="J6" s="447">
        <v>16140</v>
      </c>
      <c r="K6" s="447">
        <v>17225</v>
      </c>
    </row>
    <row r="7" spans="1:20">
      <c r="A7" s="66">
        <v>2000</v>
      </c>
      <c r="B7" s="446">
        <v>5925445</v>
      </c>
      <c r="C7" s="8">
        <f t="shared" si="0"/>
        <v>73810</v>
      </c>
      <c r="D7" s="447">
        <v>9225</v>
      </c>
      <c r="E7" s="447">
        <v>31030</v>
      </c>
      <c r="F7" s="447">
        <v>8045</v>
      </c>
      <c r="G7" s="447">
        <v>7185</v>
      </c>
      <c r="H7" s="447">
        <v>15800</v>
      </c>
      <c r="I7" s="447">
        <v>33555</v>
      </c>
      <c r="J7" s="447">
        <v>14980</v>
      </c>
      <c r="K7" s="447">
        <v>18575</v>
      </c>
    </row>
    <row r="8" spans="1:20">
      <c r="A8" s="66">
        <v>2001</v>
      </c>
      <c r="B8" s="446">
        <v>6029985</v>
      </c>
      <c r="C8" s="8">
        <f t="shared" si="0"/>
        <v>74100</v>
      </c>
      <c r="D8" s="447">
        <v>8310</v>
      </c>
      <c r="E8" s="447">
        <v>31260</v>
      </c>
      <c r="F8" s="447">
        <v>8520</v>
      </c>
      <c r="G8" s="447">
        <v>7040</v>
      </c>
      <c r="H8" s="447">
        <v>15700</v>
      </c>
      <c r="I8" s="447">
        <v>34530</v>
      </c>
      <c r="J8" s="447">
        <v>14535</v>
      </c>
      <c r="K8" s="447">
        <v>19995</v>
      </c>
      <c r="M8" s="3">
        <v>2000</v>
      </c>
      <c r="N8" s="3" t="e">
        <f>((#REF!/#REF!)-1)*100</f>
        <v>#REF!</v>
      </c>
      <c r="O8" s="3" t="e">
        <f>((#REF!/#REF!)-1)*100</f>
        <v>#REF!</v>
      </c>
      <c r="P8" s="3" t="e">
        <f>((#REF!/#REF!)-1)*100</f>
        <v>#REF!</v>
      </c>
      <c r="Q8" s="3" t="e">
        <f>((#REF!/#REF!)-1)*100</f>
        <v>#REF!</v>
      </c>
      <c r="R8" s="3" t="e">
        <f>((#REF!/#REF!)-1)*100</f>
        <v>#REF!</v>
      </c>
      <c r="S8" s="3" t="e">
        <f>((#REF!/#REF!)-1)*100</f>
        <v>#REF!</v>
      </c>
      <c r="T8" s="3" t="e">
        <f>((#REF!/#REF!)-1)*100</f>
        <v>#REF!</v>
      </c>
    </row>
    <row r="9" spans="1:20">
      <c r="A9" s="66">
        <v>2002</v>
      </c>
      <c r="B9" s="446">
        <v>6139505</v>
      </c>
      <c r="C9" s="8">
        <f t="shared" si="0"/>
        <v>72775</v>
      </c>
      <c r="D9" s="447">
        <v>8070</v>
      </c>
      <c r="E9" s="447">
        <v>30795</v>
      </c>
      <c r="F9" s="447">
        <v>7740</v>
      </c>
      <c r="G9" s="447">
        <v>6875</v>
      </c>
      <c r="H9" s="447">
        <v>16180</v>
      </c>
      <c r="I9" s="447">
        <v>33910</v>
      </c>
      <c r="J9" s="447">
        <v>13545</v>
      </c>
      <c r="K9" s="447">
        <v>20365</v>
      </c>
      <c r="M9" s="3">
        <v>2001</v>
      </c>
      <c r="N9" s="3" t="e">
        <f>((B8/#REF!)-1)*100</f>
        <v>#REF!</v>
      </c>
      <c r="O9" s="3" t="e">
        <f>((C8/#REF!)-1)*100</f>
        <v>#REF!</v>
      </c>
      <c r="P9" s="3" t="e">
        <f>((D8/#REF!)-1)*100</f>
        <v>#REF!</v>
      </c>
      <c r="Q9" s="3" t="e">
        <f>((E8/#REF!)-1)*100</f>
        <v>#REF!</v>
      </c>
      <c r="R9" s="3" t="e">
        <f>((I8/#REF!)-1)*100</f>
        <v>#REF!</v>
      </c>
      <c r="S9" s="3" t="e">
        <f>((J8/#REF!)-1)*100</f>
        <v>#REF!</v>
      </c>
      <c r="T9" s="3" t="e">
        <f>((K8/#REF!)-1)*100</f>
        <v>#REF!</v>
      </c>
    </row>
    <row r="10" spans="1:20">
      <c r="A10" s="66">
        <v>2003</v>
      </c>
      <c r="B10" s="446">
        <v>6322505</v>
      </c>
      <c r="C10" s="8">
        <f t="shared" si="0"/>
        <v>72895</v>
      </c>
      <c r="D10" s="447">
        <v>7855</v>
      </c>
      <c r="E10" s="447">
        <v>30550</v>
      </c>
      <c r="F10" s="447">
        <v>7465</v>
      </c>
      <c r="G10" s="447">
        <v>7415</v>
      </c>
      <c r="H10" s="447">
        <v>15670</v>
      </c>
      <c r="I10" s="447">
        <v>34490</v>
      </c>
      <c r="J10" s="447">
        <v>12970</v>
      </c>
      <c r="K10" s="447">
        <v>21520</v>
      </c>
      <c r="M10" s="3">
        <v>2002</v>
      </c>
      <c r="N10" s="3">
        <f t="shared" ref="N10:P20" si="1">((B9/B8)-1)*100</f>
        <v>1.8162565910197159</v>
      </c>
      <c r="O10" s="3">
        <f t="shared" si="1"/>
        <v>-1.7881241565452122</v>
      </c>
      <c r="P10" s="3">
        <f t="shared" si="1"/>
        <v>-2.8880866425992746</v>
      </c>
      <c r="Q10" s="3">
        <f t="shared" ref="Q10:Q20" si="2">((E9/E8)-1)*100</f>
        <v>-1.4875239923224592</v>
      </c>
      <c r="R10" s="3">
        <f t="shared" ref="R10:T20" si="3">((I9/I8)-1)*100</f>
        <v>-1.7955401100492319</v>
      </c>
      <c r="S10" s="3">
        <f t="shared" si="3"/>
        <v>-6.8111455108359138</v>
      </c>
      <c r="T10" s="3">
        <f t="shared" si="3"/>
        <v>1.8504626156539139</v>
      </c>
    </row>
    <row r="11" spans="1:20">
      <c r="A11" s="66">
        <v>2004</v>
      </c>
      <c r="B11" s="446">
        <v>6413705</v>
      </c>
      <c r="C11" s="8">
        <f t="shared" si="0"/>
        <v>70660</v>
      </c>
      <c r="D11" s="447">
        <v>7660</v>
      </c>
      <c r="E11" s="447">
        <v>29660</v>
      </c>
      <c r="F11" s="447">
        <v>7610</v>
      </c>
      <c r="G11" s="447">
        <v>6990</v>
      </c>
      <c r="H11" s="447">
        <v>15060</v>
      </c>
      <c r="I11" s="447">
        <v>33340</v>
      </c>
      <c r="J11" s="447">
        <v>12690</v>
      </c>
      <c r="K11" s="447">
        <v>20650</v>
      </c>
      <c r="M11" s="3">
        <v>2003</v>
      </c>
      <c r="N11" s="3">
        <f t="shared" si="1"/>
        <v>2.9806963264953801</v>
      </c>
      <c r="O11" s="3">
        <f t="shared" si="1"/>
        <v>0.16489178976297758</v>
      </c>
      <c r="P11" s="3">
        <f t="shared" si="1"/>
        <v>-2.6641883519206933</v>
      </c>
      <c r="Q11" s="3">
        <f t="shared" si="2"/>
        <v>-0.7955836986523801</v>
      </c>
      <c r="R11" s="3">
        <f t="shared" si="3"/>
        <v>1.7104099085815339</v>
      </c>
      <c r="S11" s="3">
        <f t="shared" si="3"/>
        <v>-4.2451088962716881</v>
      </c>
      <c r="T11" s="3">
        <f t="shared" si="3"/>
        <v>5.671495212374178</v>
      </c>
    </row>
    <row r="12" spans="1:20">
      <c r="A12" s="66">
        <v>2005</v>
      </c>
      <c r="B12" s="446">
        <v>6496950</v>
      </c>
      <c r="C12" s="8">
        <f t="shared" si="0"/>
        <v>69025</v>
      </c>
      <c r="D12" s="447">
        <v>7525</v>
      </c>
      <c r="E12" s="447">
        <v>28920</v>
      </c>
      <c r="F12" s="447">
        <v>7530</v>
      </c>
      <c r="G12" s="447">
        <v>6650</v>
      </c>
      <c r="H12" s="447">
        <v>14740</v>
      </c>
      <c r="I12" s="447">
        <v>32580</v>
      </c>
      <c r="J12" s="447">
        <v>11015</v>
      </c>
      <c r="K12" s="447">
        <v>21565</v>
      </c>
      <c r="M12" s="3">
        <v>2004</v>
      </c>
      <c r="N12" s="3">
        <f t="shared" si="1"/>
        <v>1.442466237670037</v>
      </c>
      <c r="O12" s="3">
        <f t="shared" si="1"/>
        <v>-3.0660539131627695</v>
      </c>
      <c r="P12" s="3">
        <f t="shared" si="1"/>
        <v>-2.4824952259707156</v>
      </c>
      <c r="Q12" s="3">
        <f t="shared" si="2"/>
        <v>-2.9132569558101507</v>
      </c>
      <c r="R12" s="3">
        <f t="shared" si="3"/>
        <v>-3.3342997970426169</v>
      </c>
      <c r="S12" s="3">
        <f t="shared" si="3"/>
        <v>-2.1588280647648395</v>
      </c>
      <c r="T12" s="3">
        <f t="shared" si="3"/>
        <v>-4.042750929368033</v>
      </c>
    </row>
    <row r="13" spans="1:20">
      <c r="A13" s="66">
        <v>2006</v>
      </c>
      <c r="B13" s="446">
        <v>6573615</v>
      </c>
      <c r="C13" s="134">
        <f t="shared" si="0"/>
        <v>64915</v>
      </c>
      <c r="D13" s="447">
        <v>7070</v>
      </c>
      <c r="E13" s="447">
        <v>27735</v>
      </c>
      <c r="F13" s="447">
        <v>7050</v>
      </c>
      <c r="G13" s="447">
        <v>5945</v>
      </c>
      <c r="H13" s="447">
        <v>14740</v>
      </c>
      <c r="I13" s="447">
        <v>30110</v>
      </c>
      <c r="J13" s="447">
        <v>9475</v>
      </c>
      <c r="K13" s="447">
        <v>20635</v>
      </c>
      <c r="M13" s="3">
        <v>2005</v>
      </c>
      <c r="N13" s="3">
        <f t="shared" si="1"/>
        <v>1.2979237429847412</v>
      </c>
      <c r="O13" s="3">
        <f t="shared" si="1"/>
        <v>-2.3138975375035398</v>
      </c>
      <c r="P13" s="3">
        <f t="shared" si="1"/>
        <v>-1.7624020887728409</v>
      </c>
      <c r="Q13" s="3">
        <f t="shared" si="2"/>
        <v>-2.4949426837491573</v>
      </c>
      <c r="R13" s="3">
        <f t="shared" si="3"/>
        <v>-2.2795440911817622</v>
      </c>
      <c r="S13" s="3">
        <f t="shared" si="3"/>
        <v>-13.199369582348307</v>
      </c>
      <c r="T13" s="3">
        <f t="shared" si="3"/>
        <v>4.430992736077477</v>
      </c>
    </row>
    <row r="14" spans="1:20">
      <c r="A14" s="66">
        <v>2007</v>
      </c>
      <c r="B14" s="446">
        <v>6695760</v>
      </c>
      <c r="C14" s="8">
        <f t="shared" si="0"/>
        <v>57985</v>
      </c>
      <c r="D14" s="447">
        <v>6070</v>
      </c>
      <c r="E14" s="447">
        <v>24725</v>
      </c>
      <c r="F14" s="447">
        <v>5685</v>
      </c>
      <c r="G14" s="447">
        <v>4900</v>
      </c>
      <c r="H14" s="447">
        <v>14140</v>
      </c>
      <c r="I14" s="447">
        <v>27190</v>
      </c>
      <c r="J14" s="447">
        <v>8540</v>
      </c>
      <c r="K14" s="447">
        <v>18650</v>
      </c>
      <c r="M14" s="3">
        <v>2006</v>
      </c>
      <c r="N14" s="3">
        <f t="shared" si="1"/>
        <v>1.1800152379193296</v>
      </c>
      <c r="O14" s="3">
        <f t="shared" si="1"/>
        <v>-5.9543643607388619</v>
      </c>
      <c r="P14" s="3">
        <f t="shared" si="1"/>
        <v>-6.0465116279069804</v>
      </c>
      <c r="Q14" s="3">
        <f t="shared" si="2"/>
        <v>-4.0975103734439795</v>
      </c>
      <c r="R14" s="3">
        <f t="shared" si="3"/>
        <v>-7.5813382443216675</v>
      </c>
      <c r="S14" s="3">
        <f t="shared" si="3"/>
        <v>-13.980935088515656</v>
      </c>
      <c r="T14" s="3">
        <f t="shared" si="3"/>
        <v>-4.3125434732204981</v>
      </c>
    </row>
    <row r="15" spans="1:20">
      <c r="A15" s="66">
        <v>2008</v>
      </c>
      <c r="B15" s="446">
        <v>6765500</v>
      </c>
      <c r="C15" s="8">
        <f t="shared" si="0"/>
        <v>52915</v>
      </c>
      <c r="D15" s="447">
        <v>5720</v>
      </c>
      <c r="E15" s="447">
        <v>22060</v>
      </c>
      <c r="F15" s="447">
        <v>4400</v>
      </c>
      <c r="G15" s="447">
        <v>4060</v>
      </c>
      <c r="H15" s="447">
        <v>13600</v>
      </c>
      <c r="I15" s="447">
        <v>25135</v>
      </c>
      <c r="J15" s="447">
        <v>7760</v>
      </c>
      <c r="K15" s="447">
        <v>17375</v>
      </c>
      <c r="M15" s="3">
        <v>2007</v>
      </c>
      <c r="N15" s="3">
        <f t="shared" si="1"/>
        <v>1.8581100353458391</v>
      </c>
      <c r="O15" s="3">
        <f t="shared" si="1"/>
        <v>-10.675498729107291</v>
      </c>
      <c r="P15" s="3">
        <f t="shared" si="1"/>
        <v>-14.144271570014144</v>
      </c>
      <c r="Q15" s="3">
        <f t="shared" si="2"/>
        <v>-10.852713178294572</v>
      </c>
      <c r="R15" s="3">
        <f t="shared" si="3"/>
        <v>-9.6977748256393266</v>
      </c>
      <c r="S15" s="3">
        <f t="shared" si="3"/>
        <v>-9.8680738786279694</v>
      </c>
      <c r="T15" s="3">
        <f t="shared" si="3"/>
        <v>-9.6195783862369701</v>
      </c>
    </row>
    <row r="16" spans="1:20">
      <c r="A16" s="66">
        <v>2009</v>
      </c>
      <c r="B16" s="446">
        <v>6605585</v>
      </c>
      <c r="C16" s="8">
        <f t="shared" si="0"/>
        <v>45900</v>
      </c>
      <c r="D16" s="447">
        <v>4265</v>
      </c>
      <c r="E16" s="447">
        <v>18065</v>
      </c>
      <c r="F16" s="447">
        <v>3265</v>
      </c>
      <c r="G16" s="447">
        <v>3550</v>
      </c>
      <c r="H16" s="447">
        <v>11250</v>
      </c>
      <c r="I16" s="447">
        <v>23570</v>
      </c>
      <c r="J16" s="447">
        <v>6725</v>
      </c>
      <c r="K16" s="447">
        <v>16845</v>
      </c>
      <c r="M16" s="3">
        <v>2008</v>
      </c>
      <c r="N16" s="3">
        <f t="shared" si="1"/>
        <v>1.0415546554834787</v>
      </c>
      <c r="O16" s="3">
        <f t="shared" si="1"/>
        <v>-8.7436405967060473</v>
      </c>
      <c r="P16" s="3">
        <f t="shared" si="1"/>
        <v>-5.7660626029654054</v>
      </c>
      <c r="Q16" s="3">
        <f t="shared" si="2"/>
        <v>-10.778564206268959</v>
      </c>
      <c r="R16" s="3">
        <f t="shared" si="3"/>
        <v>-7.557925707980873</v>
      </c>
      <c r="S16" s="3">
        <f t="shared" si="3"/>
        <v>-9.1334894613583124</v>
      </c>
      <c r="T16" s="3">
        <f t="shared" si="3"/>
        <v>-6.836461126005366</v>
      </c>
    </row>
    <row r="17" spans="1:20">
      <c r="A17" s="66">
        <v>2010</v>
      </c>
      <c r="B17" s="446">
        <v>6735890</v>
      </c>
      <c r="C17" s="8">
        <f t="shared" si="0"/>
        <v>44280</v>
      </c>
      <c r="D17" s="447">
        <v>4265</v>
      </c>
      <c r="E17" s="447">
        <v>18025</v>
      </c>
      <c r="F17" s="447">
        <v>3430</v>
      </c>
      <c r="G17" s="447">
        <v>3575</v>
      </c>
      <c r="H17" s="447">
        <v>11020</v>
      </c>
      <c r="I17" s="447">
        <v>21990</v>
      </c>
      <c r="J17" s="447">
        <v>5995</v>
      </c>
      <c r="K17" s="447">
        <v>15995</v>
      </c>
      <c r="M17" s="3">
        <v>2009</v>
      </c>
      <c r="N17" s="3">
        <f t="shared" si="1"/>
        <v>-2.3636833936885648</v>
      </c>
      <c r="O17" s="3">
        <f t="shared" si="1"/>
        <v>-13.257110460171972</v>
      </c>
      <c r="P17" s="3">
        <f t="shared" si="1"/>
        <v>-25.437062937062937</v>
      </c>
      <c r="Q17" s="3">
        <f t="shared" si="2"/>
        <v>-18.109700815956487</v>
      </c>
      <c r="R17" s="3">
        <f t="shared" si="3"/>
        <v>-6.2263775611696826</v>
      </c>
      <c r="S17" s="3">
        <f t="shared" si="3"/>
        <v>-13.337628865979379</v>
      </c>
      <c r="T17" s="3">
        <f t="shared" si="3"/>
        <v>-3.0503597122302106</v>
      </c>
    </row>
    <row r="18" spans="1:20">
      <c r="A18" s="66">
        <v>2011</v>
      </c>
      <c r="B18" s="446">
        <v>6876265</v>
      </c>
      <c r="C18" s="8">
        <f t="shared" si="0"/>
        <v>43450</v>
      </c>
      <c r="D18" s="447">
        <v>4825</v>
      </c>
      <c r="E18" s="447">
        <v>17040</v>
      </c>
      <c r="F18" s="447">
        <v>3420</v>
      </c>
      <c r="G18" s="447">
        <v>3015</v>
      </c>
      <c r="H18" s="447">
        <v>10605</v>
      </c>
      <c r="I18" s="447">
        <v>21585</v>
      </c>
      <c r="J18" s="447">
        <v>6160</v>
      </c>
      <c r="K18" s="447">
        <v>15425</v>
      </c>
      <c r="M18" s="3">
        <v>2010</v>
      </c>
      <c r="N18" s="3">
        <f t="shared" si="1"/>
        <v>1.9726489024060712</v>
      </c>
      <c r="O18" s="3">
        <f t="shared" si="1"/>
        <v>-3.5294117647058809</v>
      </c>
      <c r="P18" s="3">
        <f t="shared" si="1"/>
        <v>0</v>
      </c>
      <c r="Q18" s="3">
        <f t="shared" si="2"/>
        <v>-0.2214226404649855</v>
      </c>
      <c r="R18" s="3">
        <f t="shared" si="3"/>
        <v>-6.7034365719134463</v>
      </c>
      <c r="S18" s="3">
        <f t="shared" si="3"/>
        <v>-10.855018587360599</v>
      </c>
      <c r="T18" s="3">
        <f t="shared" si="3"/>
        <v>-5.0460077174235725</v>
      </c>
    </row>
    <row r="19" spans="1:20">
      <c r="A19" s="66">
        <v>2012</v>
      </c>
      <c r="B19" s="446">
        <v>6897865</v>
      </c>
      <c r="C19" s="8">
        <f t="shared" si="0"/>
        <v>39790</v>
      </c>
      <c r="D19" s="447">
        <v>4155</v>
      </c>
      <c r="E19" s="447">
        <v>15620</v>
      </c>
      <c r="F19" s="447">
        <v>2120</v>
      </c>
      <c r="G19" s="447">
        <v>3005</v>
      </c>
      <c r="H19" s="447">
        <v>10495</v>
      </c>
      <c r="I19" s="447">
        <v>20015</v>
      </c>
      <c r="J19" s="447">
        <v>5740</v>
      </c>
      <c r="K19" s="447">
        <v>14275</v>
      </c>
      <c r="M19" s="3">
        <v>2011</v>
      </c>
      <c r="N19" s="3">
        <f t="shared" si="1"/>
        <v>2.0839859320743059</v>
      </c>
      <c r="O19" s="3">
        <f t="shared" si="1"/>
        <v>-1.8744354110207806</v>
      </c>
      <c r="P19" s="3">
        <f t="shared" si="1"/>
        <v>13.130128956623688</v>
      </c>
      <c r="Q19" s="3">
        <f t="shared" si="2"/>
        <v>-5.4646324549237129</v>
      </c>
      <c r="R19" s="3">
        <f t="shared" si="3"/>
        <v>-1.8417462482946845</v>
      </c>
      <c r="S19" s="3">
        <f t="shared" si="3"/>
        <v>2.7522935779816571</v>
      </c>
      <c r="T19" s="3">
        <f t="shared" si="3"/>
        <v>-3.5636136292591436</v>
      </c>
    </row>
    <row r="20" spans="1:20">
      <c r="A20" s="20">
        <v>2013</v>
      </c>
      <c r="B20" s="446">
        <v>7020435</v>
      </c>
      <c r="C20" s="8">
        <f t="shared" si="0"/>
        <v>40035</v>
      </c>
      <c r="D20" s="447">
        <v>4265</v>
      </c>
      <c r="E20" s="447">
        <v>15800</v>
      </c>
      <c r="F20" s="447">
        <v>2085</v>
      </c>
      <c r="G20" s="447">
        <v>3290</v>
      </c>
      <c r="H20" s="447">
        <v>10425</v>
      </c>
      <c r="I20" s="447">
        <v>19970</v>
      </c>
      <c r="J20" s="447">
        <v>6060</v>
      </c>
      <c r="K20" s="447">
        <v>13910</v>
      </c>
      <c r="M20" s="3">
        <v>2012</v>
      </c>
      <c r="N20" s="3">
        <f t="shared" si="1"/>
        <v>0.31412401936226075</v>
      </c>
      <c r="O20" s="3">
        <f t="shared" si="1"/>
        <v>-8.4234752589183</v>
      </c>
      <c r="P20" s="3">
        <f t="shared" si="1"/>
        <v>-13.8860103626943</v>
      </c>
      <c r="Q20" s="3">
        <f t="shared" si="2"/>
        <v>-8.3333333333333375</v>
      </c>
      <c r="R20" s="3">
        <f t="shared" si="3"/>
        <v>-7.2735696085244328</v>
      </c>
      <c r="S20" s="3">
        <f t="shared" si="3"/>
        <v>-6.8181818181818237</v>
      </c>
      <c r="T20" s="3">
        <f t="shared" si="3"/>
        <v>-7.4554294975688773</v>
      </c>
    </row>
    <row r="21" spans="1:20">
      <c r="A21" s="52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20">
      <c r="A22" s="52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20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N23" s="3" t="s">
        <v>27</v>
      </c>
    </row>
    <row r="24" spans="1:20" ht="30">
      <c r="A24" s="67" t="s">
        <v>19</v>
      </c>
      <c r="B24" s="13">
        <f>((B7/B4)^(1/3)-1)*100</f>
        <v>3.0973187749933961</v>
      </c>
      <c r="C24" s="13">
        <f t="shared" ref="C24:K24" si="4">((C7/C4)^(1/3)-1)*100</f>
        <v>0.2747266551493599</v>
      </c>
      <c r="D24" s="13">
        <f t="shared" si="4"/>
        <v>-2.3921153473729584</v>
      </c>
      <c r="E24" s="13">
        <f t="shared" si="4"/>
        <v>1.9248348945516636</v>
      </c>
      <c r="F24" s="13">
        <f t="shared" ref="F24:H24" si="5">((F7/F4)^(1/3)-1)*100</f>
        <v>-2.9825072875000913</v>
      </c>
      <c r="G24" s="13">
        <f t="shared" si="5"/>
        <v>4.2039901247762801</v>
      </c>
      <c r="H24" s="13">
        <f t="shared" si="5"/>
        <v>3.7571526301405589</v>
      </c>
      <c r="I24" s="13">
        <f t="shared" si="4"/>
        <v>-0.41866224363141802</v>
      </c>
      <c r="J24" s="13">
        <f t="shared" si="4"/>
        <v>-4.2881721811555469</v>
      </c>
      <c r="K24" s="13">
        <f t="shared" si="4"/>
        <v>3.2104192284604594</v>
      </c>
    </row>
    <row r="25" spans="1:20" ht="30">
      <c r="A25" s="327" t="s">
        <v>68</v>
      </c>
      <c r="B25" s="13">
        <f>((B14/B7)^(1/7)-1)*100</f>
        <v>1.7613127900777403</v>
      </c>
      <c r="C25" s="13">
        <f t="shared" ref="C25:K25" si="6">((C14/C7)^(1/7)-1)*100</f>
        <v>-3.3885419255182181</v>
      </c>
      <c r="D25" s="13">
        <f t="shared" si="6"/>
        <v>-5.8041521639432663</v>
      </c>
      <c r="E25" s="13">
        <f t="shared" si="6"/>
        <v>-3.1927709689981598</v>
      </c>
      <c r="F25" s="13">
        <f t="shared" ref="F25:H25" si="7">((F14/F7)^(1/7)-1)*100</f>
        <v>-4.8392679363137177</v>
      </c>
      <c r="G25" s="13">
        <f t="shared" si="7"/>
        <v>-5.3211970860219671</v>
      </c>
      <c r="H25" s="13">
        <f t="shared" si="7"/>
        <v>-1.5732400813804337</v>
      </c>
      <c r="I25" s="13">
        <f t="shared" si="6"/>
        <v>-2.9601133357188725</v>
      </c>
      <c r="J25" s="13">
        <f t="shared" si="6"/>
        <v>-7.7141426906051302</v>
      </c>
      <c r="K25" s="13">
        <f t="shared" si="6"/>
        <v>5.7581650242410909E-2</v>
      </c>
      <c r="M25" s="3">
        <v>1999</v>
      </c>
      <c r="N25" s="3" t="e">
        <f>#REF!/#REF!</f>
        <v>#REF!</v>
      </c>
      <c r="O25" s="3" t="e">
        <f>#REF!/#REF!</f>
        <v>#REF!</v>
      </c>
      <c r="P25" s="3" t="e">
        <f>#REF!/#REF!</f>
        <v>#REF!</v>
      </c>
      <c r="Q25" s="3" t="e">
        <f>#REF!/#REF!</f>
        <v>#REF!</v>
      </c>
      <c r="R25" s="3" t="e">
        <f>#REF!/#REF!</f>
        <v>#REF!</v>
      </c>
      <c r="S25" s="3" t="e">
        <f>#REF!/#REF!</f>
        <v>#REF!</v>
      </c>
      <c r="T25" s="3" t="e">
        <f>#REF!/#REF!</f>
        <v>#REF!</v>
      </c>
    </row>
    <row r="26" spans="1:20" ht="30">
      <c r="A26" s="67" t="s">
        <v>69</v>
      </c>
      <c r="B26" s="13">
        <f>((B20/B14)^(1/6)-1)*100</f>
        <v>0.79230041365021542</v>
      </c>
      <c r="C26" s="13">
        <f t="shared" ref="C26:K26" si="8">((C20/C14)^(1/6)-1)*100</f>
        <v>-5.9871189645385741</v>
      </c>
      <c r="D26" s="13">
        <f t="shared" si="8"/>
        <v>-5.7122966417219034</v>
      </c>
      <c r="E26" s="13">
        <f t="shared" si="8"/>
        <v>-7.1917042418704664</v>
      </c>
      <c r="F26" s="13">
        <f t="shared" ref="F26:H26" si="9">((F20/F14)^(1/6)-1)*100</f>
        <v>-15.395019108695973</v>
      </c>
      <c r="G26" s="13">
        <f t="shared" si="9"/>
        <v>-6.4235347155957694</v>
      </c>
      <c r="H26" s="13">
        <f t="shared" si="9"/>
        <v>-4.9531396153760792</v>
      </c>
      <c r="I26" s="13">
        <f t="shared" si="8"/>
        <v>-5.0135894887175514</v>
      </c>
      <c r="J26" s="13">
        <f t="shared" si="8"/>
        <v>-5.5571410233147489</v>
      </c>
      <c r="K26" s="13">
        <f t="shared" si="8"/>
        <v>-4.7697957863732316</v>
      </c>
      <c r="M26" s="3">
        <v>2000</v>
      </c>
      <c r="N26" s="3" t="e">
        <f>#REF!/#REF!</f>
        <v>#REF!</v>
      </c>
      <c r="O26" s="3" t="e">
        <f>#REF!/#REF!</f>
        <v>#REF!</v>
      </c>
      <c r="P26" s="3" t="e">
        <f>#REF!/#REF!</f>
        <v>#REF!</v>
      </c>
      <c r="Q26" s="3" t="e">
        <f>#REF!/#REF!</f>
        <v>#REF!</v>
      </c>
      <c r="R26" s="3" t="e">
        <f>#REF!/#REF!</f>
        <v>#REF!</v>
      </c>
      <c r="S26" s="3" t="e">
        <f>#REF!/#REF!</f>
        <v>#REF!</v>
      </c>
      <c r="T26" s="3" t="e">
        <f>#REF!/#REF!</f>
        <v>#REF!</v>
      </c>
    </row>
    <row r="27" spans="1:20" ht="30">
      <c r="A27" s="327" t="s">
        <v>15</v>
      </c>
      <c r="B27" s="13">
        <f>((B20/B7)^(1/13)-1)*100</f>
        <v>1.3129240844315548</v>
      </c>
      <c r="C27" s="13">
        <f t="shared" ref="C27:K27" si="10">((C20/C7)^(1/13)-1)*100</f>
        <v>-4.5966921627983659</v>
      </c>
      <c r="D27" s="13">
        <f t="shared" si="10"/>
        <v>-5.7617684323861269</v>
      </c>
      <c r="E27" s="13">
        <f t="shared" si="10"/>
        <v>-5.0594054632887131</v>
      </c>
      <c r="F27" s="13">
        <f t="shared" ref="F27:H27" si="11">((F20/F7)^(1/13)-1)*100</f>
        <v>-9.8655589132713892</v>
      </c>
      <c r="G27" s="13">
        <f t="shared" si="11"/>
        <v>-5.8315727033340536</v>
      </c>
      <c r="H27" s="13">
        <f t="shared" si="11"/>
        <v>-3.1478754050066504</v>
      </c>
      <c r="I27" s="13">
        <f t="shared" si="10"/>
        <v>-3.9133305554404307</v>
      </c>
      <c r="J27" s="13">
        <f t="shared" si="10"/>
        <v>-6.7247941386660237</v>
      </c>
      <c r="K27" s="13">
        <f t="shared" si="10"/>
        <v>-2.2001178741562155</v>
      </c>
    </row>
    <row r="28" spans="1:20">
      <c r="A28" s="67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20">
      <c r="A29" s="85" t="s">
        <v>40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</row>
    <row r="30" spans="1:20">
      <c r="A30" s="231" t="s">
        <v>144</v>
      </c>
      <c r="B30" s="87"/>
      <c r="C30" s="13"/>
      <c r="D30" s="13"/>
      <c r="E30" s="13"/>
      <c r="F30" s="13"/>
      <c r="G30" s="13"/>
      <c r="H30" s="13"/>
      <c r="I30" s="13"/>
      <c r="J30" s="13"/>
      <c r="K30" s="13"/>
    </row>
    <row r="31" spans="1:20">
      <c r="A31" s="84" t="s">
        <v>74</v>
      </c>
      <c r="M31" s="3">
        <v>2004</v>
      </c>
      <c r="N31" s="3" t="e">
        <f>B11/#REF!</f>
        <v>#REF!</v>
      </c>
      <c r="O31" s="3" t="e">
        <f>C11/#REF!</f>
        <v>#REF!</v>
      </c>
      <c r="P31" s="3" t="e">
        <f>D11/#REF!</f>
        <v>#REF!</v>
      </c>
      <c r="Q31" s="3" t="e">
        <f>E11/#REF!</f>
        <v>#REF!</v>
      </c>
      <c r="R31" s="3" t="e">
        <f>I11/#REF!</f>
        <v>#REF!</v>
      </c>
      <c r="S31" s="3" t="e">
        <f>J11/#REF!</f>
        <v>#REF!</v>
      </c>
      <c r="T31" s="3" t="e">
        <f>K11/#REF!</f>
        <v>#REF!</v>
      </c>
    </row>
    <row r="32" spans="1:20">
      <c r="A32" s="59"/>
      <c r="M32" s="3">
        <v>2005</v>
      </c>
      <c r="N32" s="3" t="e">
        <f>B12/#REF!</f>
        <v>#REF!</v>
      </c>
      <c r="O32" s="3" t="e">
        <f>C12/#REF!</f>
        <v>#REF!</v>
      </c>
      <c r="P32" s="3" t="e">
        <f>D12/#REF!</f>
        <v>#REF!</v>
      </c>
      <c r="Q32" s="3" t="e">
        <f>E12/#REF!</f>
        <v>#REF!</v>
      </c>
      <c r="R32" s="3" t="e">
        <f>I12/#REF!</f>
        <v>#REF!</v>
      </c>
      <c r="S32" s="3" t="e">
        <f>J12/#REF!</f>
        <v>#REF!</v>
      </c>
      <c r="T32" s="3" t="e">
        <f>K12/#REF!</f>
        <v>#REF!</v>
      </c>
    </row>
    <row r="33" spans="3:20">
      <c r="C33" s="436"/>
      <c r="D33" s="436"/>
      <c r="E33" s="436"/>
      <c r="F33" s="436"/>
      <c r="G33" s="436"/>
      <c r="H33" s="436"/>
      <c r="I33" s="436"/>
      <c r="J33" s="436"/>
      <c r="K33" s="436"/>
      <c r="M33" s="3">
        <v>2006</v>
      </c>
      <c r="N33" s="3" t="e">
        <f>B13/#REF!</f>
        <v>#REF!</v>
      </c>
      <c r="O33" s="3" t="e">
        <f>C13/#REF!</f>
        <v>#REF!</v>
      </c>
      <c r="P33" s="3" t="e">
        <f>D13/#REF!</f>
        <v>#REF!</v>
      </c>
      <c r="Q33" s="3" t="e">
        <f>E13/#REF!</f>
        <v>#REF!</v>
      </c>
      <c r="R33" s="3" t="e">
        <f>I13/#REF!</f>
        <v>#REF!</v>
      </c>
      <c r="S33" s="3" t="e">
        <f>J13/#REF!</f>
        <v>#REF!</v>
      </c>
      <c r="T33" s="3" t="e">
        <f>K13/#REF!</f>
        <v>#REF!</v>
      </c>
    </row>
    <row r="34" spans="3:20">
      <c r="M34" s="3">
        <v>2007</v>
      </c>
      <c r="N34" s="3" t="e">
        <f>B14/#REF!</f>
        <v>#REF!</v>
      </c>
      <c r="O34" s="3" t="e">
        <f>C14/#REF!</f>
        <v>#REF!</v>
      </c>
      <c r="P34" s="3" t="e">
        <f>D14/#REF!</f>
        <v>#REF!</v>
      </c>
      <c r="Q34" s="3" t="e">
        <f>E14/#REF!</f>
        <v>#REF!</v>
      </c>
      <c r="R34" s="3" t="e">
        <f>I14/#REF!</f>
        <v>#REF!</v>
      </c>
      <c r="S34" s="3" t="e">
        <f>J14/#REF!</f>
        <v>#REF!</v>
      </c>
      <c r="T34" s="3" t="e">
        <f>K14/#REF!</f>
        <v>#REF!</v>
      </c>
    </row>
    <row r="35" spans="3:20">
      <c r="M35" s="3">
        <v>2008</v>
      </c>
      <c r="N35" s="3" t="e">
        <f>B15/#REF!</f>
        <v>#REF!</v>
      </c>
      <c r="O35" s="3" t="e">
        <f>C15/#REF!</f>
        <v>#REF!</v>
      </c>
      <c r="P35" s="3" t="e">
        <f>D15/#REF!</f>
        <v>#REF!</v>
      </c>
      <c r="Q35" s="3" t="e">
        <f>E15/#REF!</f>
        <v>#REF!</v>
      </c>
      <c r="R35" s="3" t="e">
        <f>I15/#REF!</f>
        <v>#REF!</v>
      </c>
      <c r="S35" s="3" t="e">
        <f>J15/#REF!</f>
        <v>#REF!</v>
      </c>
      <c r="T35" s="3" t="e">
        <f>K15/#REF!</f>
        <v>#REF!</v>
      </c>
    </row>
    <row r="36" spans="3:20">
      <c r="M36" s="3">
        <v>2009</v>
      </c>
      <c r="N36" s="3" t="e">
        <f>B16/#REF!</f>
        <v>#REF!</v>
      </c>
      <c r="O36" s="3" t="e">
        <f>C16/#REF!</f>
        <v>#REF!</v>
      </c>
      <c r="P36" s="3" t="e">
        <f>D16/#REF!</f>
        <v>#REF!</v>
      </c>
      <c r="Q36" s="3" t="e">
        <f>E16/#REF!</f>
        <v>#REF!</v>
      </c>
      <c r="R36" s="3" t="e">
        <f>I16/#REF!</f>
        <v>#REF!</v>
      </c>
      <c r="S36" s="3" t="e">
        <f>J16/#REF!</f>
        <v>#REF!</v>
      </c>
      <c r="T36" s="3" t="e">
        <f>K16/#REF!</f>
        <v>#REF!</v>
      </c>
    </row>
    <row r="37" spans="3:20">
      <c r="M37" s="3">
        <v>2010</v>
      </c>
      <c r="N37" s="3" t="e">
        <f>B17/#REF!</f>
        <v>#REF!</v>
      </c>
      <c r="O37" s="3" t="e">
        <f>C17/#REF!</f>
        <v>#REF!</v>
      </c>
      <c r="P37" s="3" t="e">
        <f>D17/#REF!</f>
        <v>#REF!</v>
      </c>
      <c r="Q37" s="3" t="e">
        <f>E17/#REF!</f>
        <v>#REF!</v>
      </c>
      <c r="R37" s="3" t="e">
        <f>I17/#REF!</f>
        <v>#REF!</v>
      </c>
      <c r="S37" s="3" t="e">
        <f>J17/#REF!</f>
        <v>#REF!</v>
      </c>
      <c r="T37" s="3" t="e">
        <f>K17/#REF!</f>
        <v>#REF!</v>
      </c>
    </row>
    <row r="38" spans="3:20">
      <c r="M38" s="3">
        <v>2011</v>
      </c>
      <c r="N38" s="3" t="e">
        <f>B18/#REF!</f>
        <v>#REF!</v>
      </c>
      <c r="O38" s="3" t="e">
        <f>C18/#REF!</f>
        <v>#REF!</v>
      </c>
      <c r="P38" s="3" t="e">
        <f>D18/#REF!</f>
        <v>#REF!</v>
      </c>
      <c r="Q38" s="3" t="e">
        <f>E18/#REF!</f>
        <v>#REF!</v>
      </c>
      <c r="R38" s="3" t="e">
        <f>I18/#REF!</f>
        <v>#REF!</v>
      </c>
      <c r="S38" s="3" t="e">
        <f>J18/#REF!</f>
        <v>#REF!</v>
      </c>
      <c r="T38" s="3" t="e">
        <f>K18/#REF!</f>
        <v>#REF!</v>
      </c>
    </row>
    <row r="39" spans="3:20">
      <c r="M39" s="3">
        <v>2012</v>
      </c>
      <c r="N39" s="3" t="e">
        <f>B19/#REF!</f>
        <v>#REF!</v>
      </c>
      <c r="O39" s="3" t="e">
        <f>C19/#REF!</f>
        <v>#REF!</v>
      </c>
      <c r="P39" s="3" t="e">
        <f>D19/#REF!</f>
        <v>#REF!</v>
      </c>
      <c r="Q39" s="3" t="e">
        <f>E19/#REF!</f>
        <v>#REF!</v>
      </c>
      <c r="R39" s="3" t="e">
        <f>I19/#REF!</f>
        <v>#REF!</v>
      </c>
      <c r="S39" s="3" t="e">
        <f>J19/#REF!</f>
        <v>#REF!</v>
      </c>
      <c r="T39" s="3" t="e">
        <f>K19/#REF!</f>
        <v>#REF!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4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52"/>
  <sheetViews>
    <sheetView view="pageBreakPreview" topLeftCell="A10" zoomScaleNormal="100" zoomScaleSheetLayoutView="100" workbookViewId="0">
      <selection activeCell="V24" sqref="V24"/>
    </sheetView>
  </sheetViews>
  <sheetFormatPr defaultRowHeight="15"/>
  <cols>
    <col min="1" max="1" width="10.5703125" style="125" customWidth="1"/>
    <col min="2" max="11" width="9.140625" style="125" customWidth="1"/>
    <col min="12" max="12" width="9.5703125" style="125" bestFit="1" customWidth="1"/>
    <col min="13" max="15" width="9.28515625" style="125" bestFit="1" customWidth="1"/>
    <col min="16" max="18" width="9.28515625" style="125" customWidth="1"/>
    <col min="19" max="21" width="9.28515625" style="125" bestFit="1" customWidth="1"/>
    <col min="22" max="23" width="9.140625" style="125"/>
    <col min="24" max="30" width="9.28515625" style="125" hidden="1" customWidth="1"/>
    <col min="31" max="46" width="0" style="125" hidden="1" customWidth="1"/>
    <col min="47" max="16384" width="9.140625" style="125"/>
  </cols>
  <sheetData>
    <row r="1" spans="1:47">
      <c r="A1" s="454" t="s">
        <v>149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>
      <c r="A2" s="115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35">
      <c r="A3" s="115"/>
      <c r="B3" s="115" t="s">
        <v>2</v>
      </c>
      <c r="C3" s="115" t="s">
        <v>8</v>
      </c>
      <c r="D3" s="115" t="s">
        <v>3</v>
      </c>
      <c r="E3" s="115" t="s">
        <v>4</v>
      </c>
      <c r="F3" s="115" t="s">
        <v>36</v>
      </c>
      <c r="G3" s="115" t="s">
        <v>37</v>
      </c>
      <c r="H3" s="115" t="s">
        <v>38</v>
      </c>
      <c r="I3" s="115" t="s">
        <v>5</v>
      </c>
      <c r="J3" s="115" t="s">
        <v>6</v>
      </c>
      <c r="K3" s="115" t="s">
        <v>7</v>
      </c>
      <c r="L3" s="115" t="s">
        <v>2</v>
      </c>
      <c r="M3" s="115" t="s">
        <v>8</v>
      </c>
      <c r="N3" s="115" t="s">
        <v>3</v>
      </c>
      <c r="O3" s="115" t="s">
        <v>4</v>
      </c>
      <c r="P3" s="115" t="s">
        <v>36</v>
      </c>
      <c r="Q3" s="115" t="s">
        <v>37</v>
      </c>
      <c r="R3" s="115" t="s">
        <v>38</v>
      </c>
      <c r="S3" s="115" t="s">
        <v>5</v>
      </c>
      <c r="T3" s="115" t="s">
        <v>6</v>
      </c>
      <c r="U3" s="115" t="s">
        <v>7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>
      <c r="A4" s="115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X4" s="2" t="s">
        <v>24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>
      <c r="A5" s="115">
        <v>1984</v>
      </c>
      <c r="B5" s="62">
        <f>('1A'!B5/'1A'!B$28)*100</f>
        <v>32.274601188033309</v>
      </c>
      <c r="C5" s="62">
        <f>('1A'!C5/'1A'!C$28)*100</f>
        <v>52.129575916709925</v>
      </c>
      <c r="D5" s="62">
        <f>('1A'!D5/'1A'!D$28)*100</f>
        <v>55.898908673176336</v>
      </c>
      <c r="E5" s="62">
        <f>('1A'!E5/'1A'!E$28)*100</f>
        <v>31.73748488040891</v>
      </c>
      <c r="F5" s="62" t="s">
        <v>10</v>
      </c>
      <c r="G5" s="62" t="s">
        <v>10</v>
      </c>
      <c r="H5" s="62" t="s">
        <v>10</v>
      </c>
      <c r="I5" s="62">
        <f>('1A'!I5/'1A'!I$28)*100</f>
        <v>67.842935968176576</v>
      </c>
      <c r="J5" s="62">
        <f>('1A'!J5/'1A'!J$28)*100</f>
        <v>86.792818080627214</v>
      </c>
      <c r="K5" s="62">
        <f>('1A'!K5/'1A'!K$28)*100</f>
        <v>30.583309544200205</v>
      </c>
      <c r="L5" s="62">
        <f>'1A'!L5/'1A'!L$28*100</f>
        <v>59.207805006086033</v>
      </c>
      <c r="M5" s="62">
        <f>'1A'!M5/'1A'!M$28*100</f>
        <v>88.0993642065323</v>
      </c>
      <c r="N5" s="62">
        <f>'1A'!N5/'1A'!N$28*100</f>
        <v>55.125296561821614</v>
      </c>
      <c r="O5" s="62">
        <f>'1A'!O5/'1A'!O$28*100</f>
        <v>104.10463341216405</v>
      </c>
      <c r="P5" s="62" t="s">
        <v>10</v>
      </c>
      <c r="Q5" s="62" t="s">
        <v>10</v>
      </c>
      <c r="R5" s="62" t="s">
        <v>10</v>
      </c>
      <c r="S5" s="62">
        <f>'1A'!S5/'1A'!S$28*100</f>
        <v>84.145049749412408</v>
      </c>
      <c r="T5" s="62">
        <f>'1A'!T5/'1A'!T$28*100</f>
        <v>91.827630353163485</v>
      </c>
      <c r="U5" s="62">
        <f>'1A'!U5/'1A'!U$28*100</f>
        <v>69.039410486370357</v>
      </c>
      <c r="X5" s="2" t="s">
        <v>2</v>
      </c>
      <c r="Y5" s="2" t="s">
        <v>8</v>
      </c>
      <c r="Z5" s="2" t="s">
        <v>3</v>
      </c>
      <c r="AA5" s="2" t="s">
        <v>4</v>
      </c>
      <c r="AB5" s="2" t="s">
        <v>5</v>
      </c>
      <c r="AC5" s="2" t="s">
        <v>6</v>
      </c>
      <c r="AD5" s="2" t="s">
        <v>7</v>
      </c>
      <c r="AE5" s="2"/>
      <c r="AF5" s="2" t="s">
        <v>26</v>
      </c>
      <c r="AG5" s="2" t="s">
        <v>2</v>
      </c>
      <c r="AH5" s="2" t="s">
        <v>23</v>
      </c>
      <c r="AI5" s="2" t="s">
        <v>3</v>
      </c>
      <c r="AJ5" s="2" t="s">
        <v>4</v>
      </c>
      <c r="AK5" s="2" t="s">
        <v>5</v>
      </c>
      <c r="AL5" s="2" t="s">
        <v>6</v>
      </c>
      <c r="AM5" s="2" t="s">
        <v>7</v>
      </c>
      <c r="AN5" s="2"/>
      <c r="AO5" s="2"/>
      <c r="AP5" s="2"/>
      <c r="AQ5" s="2"/>
      <c r="AR5" s="2"/>
      <c r="AS5" s="2"/>
      <c r="AT5" s="2"/>
      <c r="AU5" s="2"/>
    </row>
    <row r="6" spans="1:47">
      <c r="A6" s="115">
        <v>1985</v>
      </c>
      <c r="B6" s="62">
        <f>('1A'!B6/'1A'!B$28)*100</f>
        <v>34.60843581455353</v>
      </c>
      <c r="C6" s="62">
        <f>('1A'!C6/'1A'!C$28)*100</f>
        <v>55.143040332183304</v>
      </c>
      <c r="D6" s="62">
        <f>('1A'!D6/'1A'!D$28)*100</f>
        <v>58.529580700746699</v>
      </c>
      <c r="E6" s="62">
        <f>('1A'!E6/'1A'!E$28)*100</f>
        <v>32.728549689804517</v>
      </c>
      <c r="F6" s="62" t="s">
        <v>10</v>
      </c>
      <c r="G6" s="62" t="s">
        <v>10</v>
      </c>
      <c r="H6" s="62" t="s">
        <v>10</v>
      </c>
      <c r="I6" s="62">
        <f>('1A'!I6/'1A'!I$28)*100</f>
        <v>72.626074682407292</v>
      </c>
      <c r="J6" s="62">
        <f>('1A'!J6/'1A'!J$28)*100</f>
        <v>91.67110293761796</v>
      </c>
      <c r="K6" s="62">
        <f>('1A'!K6/'1A'!K$28)*100</f>
        <v>35.179370063754874</v>
      </c>
      <c r="L6" s="62">
        <f>'1A'!L6/'1A'!L$28*100</f>
        <v>61.540310259622601</v>
      </c>
      <c r="M6" s="62">
        <f>'1A'!M6/'1A'!M$28*100</f>
        <v>85.417288397958856</v>
      </c>
      <c r="N6" s="62">
        <f>'1A'!N6/'1A'!N$28*100</f>
        <v>53.157603975422639</v>
      </c>
      <c r="O6" s="62">
        <f>'1A'!O6/'1A'!O$28*100</f>
        <v>100.51618324259002</v>
      </c>
      <c r="P6" s="62" t="s">
        <v>10</v>
      </c>
      <c r="Q6" s="62" t="s">
        <v>10</v>
      </c>
      <c r="R6" s="62" t="s">
        <v>10</v>
      </c>
      <c r="S6" s="62">
        <f>'1A'!S6/'1A'!S$28*100</f>
        <v>82.008795543534475</v>
      </c>
      <c r="T6" s="62">
        <f>'1A'!T6/'1A'!T$28*100</f>
        <v>86.352994805075696</v>
      </c>
      <c r="U6" s="62">
        <f>'1A'!U6/'1A'!U$28*100</f>
        <v>73.467146543512911</v>
      </c>
      <c r="X6" s="2">
        <f>((L6/L5)-1)*100</f>
        <v>3.9395232660572432</v>
      </c>
      <c r="Y6" s="2">
        <f>((M6/M5)-1)*100</f>
        <v>-3.0443758961595013</v>
      </c>
      <c r="Z6" s="2">
        <f>((N6/N5)-1)*100</f>
        <v>-3.5694911576434896</v>
      </c>
      <c r="AA6" s="2">
        <f>((O6/O5)-1)*100</f>
        <v>-3.4469648967177857</v>
      </c>
      <c r="AB6" s="2">
        <f t="shared" ref="AB6:AD21" si="0">((S6/S5)-1)*100</f>
        <v>-2.5387758545984407</v>
      </c>
      <c r="AC6" s="2">
        <f t="shared" si="0"/>
        <v>-5.9618608549874104</v>
      </c>
      <c r="AD6" s="2">
        <f t="shared" si="0"/>
        <v>6.4133456904541086</v>
      </c>
      <c r="AE6" s="2"/>
      <c r="AF6" s="2" t="s">
        <v>21</v>
      </c>
      <c r="AG6" s="2">
        <f>((L29/L21)^(1/8)-1)*100</f>
        <v>1.8100916185273874</v>
      </c>
      <c r="AH6" s="2">
        <f>((M29/M21)^(1/8)-1)*100</f>
        <v>-0.82892071951607971</v>
      </c>
      <c r="AI6" s="2">
        <f>((N29/N21)^(1/8)-1)*100</f>
        <v>-3.0319451559612798E-2</v>
      </c>
      <c r="AJ6" s="2">
        <f>((O29/O21)^(1/8)-1)*100</f>
        <v>0.13890101239759645</v>
      </c>
      <c r="AK6" s="2">
        <f t="shared" ref="AK6:AM6" si="1">((S29/S21)^(1/8)-1)*100</f>
        <v>-1.7870424789846351</v>
      </c>
      <c r="AL6" s="2">
        <f t="shared" si="1"/>
        <v>-2.39961298825766</v>
      </c>
      <c r="AM6" s="2">
        <f t="shared" si="1"/>
        <v>-0.21118828071270412</v>
      </c>
      <c r="AN6" s="2"/>
      <c r="AO6" s="2"/>
      <c r="AP6" s="2"/>
      <c r="AQ6" s="2"/>
      <c r="AR6" s="2"/>
      <c r="AS6" s="2"/>
      <c r="AT6" s="2"/>
      <c r="AU6" s="2"/>
    </row>
    <row r="7" spans="1:47">
      <c r="A7" s="115">
        <v>1986</v>
      </c>
      <c r="B7" s="62">
        <f>('1A'!B7/'1A'!B$28)*100</f>
        <v>36.887631703365273</v>
      </c>
      <c r="C7" s="62">
        <f>('1A'!C7/'1A'!C$28)*100</f>
        <v>60.603608829725516</v>
      </c>
      <c r="D7" s="62">
        <f>('1A'!D7/'1A'!D$28)*100</f>
        <v>59.391154508902929</v>
      </c>
      <c r="E7" s="62">
        <f>('1A'!E7/'1A'!E$28)*100</f>
        <v>36.322135081353153</v>
      </c>
      <c r="F7" s="62" t="s">
        <v>10</v>
      </c>
      <c r="G7" s="62" t="s">
        <v>10</v>
      </c>
      <c r="H7" s="62" t="s">
        <v>10</v>
      </c>
      <c r="I7" s="62">
        <f>('1A'!I7/'1A'!I$28)*100</f>
        <v>80.905941229308354</v>
      </c>
      <c r="J7" s="62">
        <f>('1A'!J7/'1A'!J$28)*100</f>
        <v>105.02831147461644</v>
      </c>
      <c r="K7" s="62">
        <f>('1A'!K7/'1A'!K$28)*100</f>
        <v>33.476068132077266</v>
      </c>
      <c r="L7" s="62">
        <f>'1A'!L7/'1A'!L$28*100</f>
        <v>63.380318909928491</v>
      </c>
      <c r="M7" s="62">
        <f>'1A'!M7/'1A'!M$28*100</f>
        <v>85.486918060851607</v>
      </c>
      <c r="N7" s="62">
        <f>'1A'!N7/'1A'!N$28*100</f>
        <v>55.044785511905467</v>
      </c>
      <c r="O7" s="62">
        <f>'1A'!O7/'1A'!O$28*100</f>
        <v>99.745120971740164</v>
      </c>
      <c r="P7" s="62" t="s">
        <v>10</v>
      </c>
      <c r="Q7" s="62" t="s">
        <v>10</v>
      </c>
      <c r="R7" s="62" t="s">
        <v>10</v>
      </c>
      <c r="S7" s="62">
        <f>'1A'!S7/'1A'!S$28*100</f>
        <v>82.262086042195207</v>
      </c>
      <c r="T7" s="62">
        <f>'1A'!T7/'1A'!T$28*100</f>
        <v>90.92000184694858</v>
      </c>
      <c r="U7" s="62">
        <f>'1A'!U7/'1A'!U$28*100</f>
        <v>65.238723755239306</v>
      </c>
      <c r="X7" s="2">
        <f t="shared" ref="X7:AA34" si="2">((L7/L6)-1)*100</f>
        <v>2.9899242342837917</v>
      </c>
      <c r="Y7" s="2">
        <f t="shared" si="2"/>
        <v>8.151706077152987E-2</v>
      </c>
      <c r="Z7" s="2">
        <f t="shared" si="2"/>
        <v>3.550162903044618</v>
      </c>
      <c r="AA7" s="2">
        <f t="shared" si="2"/>
        <v>-0.76710261569417071</v>
      </c>
      <c r="AB7" s="2">
        <f t="shared" si="0"/>
        <v>0.30885772310393911</v>
      </c>
      <c r="AC7" s="2">
        <f t="shared" si="0"/>
        <v>5.2887650882079695</v>
      </c>
      <c r="AD7" s="2">
        <f t="shared" si="0"/>
        <v>-11.200139348545546</v>
      </c>
      <c r="AE7" s="2"/>
      <c r="AF7" s="2" t="s">
        <v>22</v>
      </c>
      <c r="AG7" s="2">
        <f>((L34/L29)^(1/5)-1)*100</f>
        <v>1.1306565497614107</v>
      </c>
      <c r="AH7" s="2">
        <f>((M34/M29)^(1/5)-1)*100</f>
        <v>-1.4177392595453031</v>
      </c>
      <c r="AI7" s="2">
        <f>((N34/N29)^(1/5)-1)*100</f>
        <v>1.1859683987871739</v>
      </c>
      <c r="AJ7" s="2">
        <f>((O34/O29)^(1/5)-1)*100</f>
        <v>-7.3728268928896501E-2</v>
      </c>
      <c r="AK7" s="2">
        <f t="shared" ref="AK7:AM7" si="3">((S34/S29)^(1/5)-1)*100</f>
        <v>-3.4660896955426401</v>
      </c>
      <c r="AL7" s="2">
        <f t="shared" si="3"/>
        <v>-2.7610486851278648</v>
      </c>
      <c r="AM7" s="2">
        <f t="shared" si="3"/>
        <v>-4.8346990019193958</v>
      </c>
      <c r="AN7" s="2"/>
      <c r="AO7" s="2"/>
      <c r="AP7" s="2"/>
      <c r="AQ7" s="2"/>
      <c r="AR7" s="2"/>
      <c r="AS7" s="2"/>
      <c r="AT7" s="2"/>
      <c r="AU7" s="2"/>
    </row>
    <row r="8" spans="1:47">
      <c r="A8" s="115">
        <v>1987</v>
      </c>
      <c r="B8" s="62">
        <f>('1A'!B8/'1A'!B$28)*100</f>
        <v>40.696221585841172</v>
      </c>
      <c r="C8" s="62">
        <f>('1A'!C8/'1A'!C$28)*100</f>
        <v>69.402802796690381</v>
      </c>
      <c r="D8" s="62">
        <f>('1A'!D8/'1A'!D$28)*100</f>
        <v>78.552556002297521</v>
      </c>
      <c r="E8" s="62">
        <f>('1A'!E8/'1A'!E$28)*100</f>
        <v>42.44800811580631</v>
      </c>
      <c r="F8" s="62" t="s">
        <v>10</v>
      </c>
      <c r="G8" s="62" t="s">
        <v>10</v>
      </c>
      <c r="H8" s="62" t="s">
        <v>10</v>
      </c>
      <c r="I8" s="62">
        <f>('1A'!I8/'1A'!I$28)*100</f>
        <v>89.009367380982951</v>
      </c>
      <c r="J8" s="62">
        <f>('1A'!J8/'1A'!J$28)*100</f>
        <v>115.22044233654358</v>
      </c>
      <c r="K8" s="62">
        <f>('1A'!K8/'1A'!K$28)*100</f>
        <v>37.472642496907412</v>
      </c>
      <c r="L8" s="62">
        <f>'1A'!L8/'1A'!L$28*100</f>
        <v>66.340115764449962</v>
      </c>
      <c r="M8" s="62">
        <f>'1A'!M8/'1A'!M$28*100</f>
        <v>81.053202168309468</v>
      </c>
      <c r="N8" s="62">
        <f>'1A'!N8/'1A'!N$28*100</f>
        <v>44.863440696041621</v>
      </c>
      <c r="O8" s="62">
        <f>'1A'!O8/'1A'!O$28*100</f>
        <v>93.363922307960422</v>
      </c>
      <c r="P8" s="62" t="s">
        <v>10</v>
      </c>
      <c r="Q8" s="62" t="s">
        <v>10</v>
      </c>
      <c r="R8" s="62" t="s">
        <v>10</v>
      </c>
      <c r="S8" s="62">
        <f>'1A'!S8/'1A'!S$28*100</f>
        <v>81.034822315706805</v>
      </c>
      <c r="T8" s="62">
        <f>'1A'!T8/'1A'!T$28*100</f>
        <v>87.799427512859879</v>
      </c>
      <c r="U8" s="62">
        <f>'1A'!U8/'1A'!U$28*100</f>
        <v>67.734124134264746</v>
      </c>
      <c r="X8" s="2">
        <f t="shared" si="2"/>
        <v>4.6698989614232245</v>
      </c>
      <c r="Y8" s="2">
        <f t="shared" si="2"/>
        <v>-5.1864261726994432</v>
      </c>
      <c r="Z8" s="2">
        <f t="shared" si="2"/>
        <v>-18.496474681805697</v>
      </c>
      <c r="AA8" s="2">
        <f t="shared" si="2"/>
        <v>-6.3975045612383097</v>
      </c>
      <c r="AB8" s="2">
        <f t="shared" si="0"/>
        <v>-1.4918947300447627</v>
      </c>
      <c r="AC8" s="2">
        <f t="shared" si="0"/>
        <v>-3.4322198313873398</v>
      </c>
      <c r="AD8" s="2">
        <f t="shared" si="0"/>
        <v>3.8250294233032722</v>
      </c>
      <c r="AE8" s="2"/>
      <c r="AF8" s="2" t="s">
        <v>15</v>
      </c>
      <c r="AG8" s="2">
        <f>((L34/L21)^(1/13)-1)*100</f>
        <v>1.5482319043684134</v>
      </c>
      <c r="AH8" s="2">
        <f>((M34/M21)^(1/13)-1)*100</f>
        <v>-1.0558044506406739</v>
      </c>
      <c r="AI8" s="2">
        <f>((N34/N21)^(1/13)-1)*100</f>
        <v>0.4357437018724708</v>
      </c>
      <c r="AJ8" s="2">
        <f>((O34/O21)^(1/13)-1)*100</f>
        <v>5.706702822898535E-2</v>
      </c>
      <c r="AK8" s="2">
        <f t="shared" ref="AK8:AM8" si="4">((S34/S21)^(1/13)-1)*100</f>
        <v>-2.4362585327697306</v>
      </c>
      <c r="AL8" s="2">
        <f t="shared" si="4"/>
        <v>-2.5387854339564808</v>
      </c>
      <c r="AM8" s="2">
        <f t="shared" si="4"/>
        <v>-2.015465534661165</v>
      </c>
      <c r="AN8" s="2"/>
      <c r="AO8" s="2"/>
      <c r="AP8" s="2"/>
      <c r="AQ8" s="2"/>
      <c r="AR8" s="2"/>
      <c r="AS8" s="2"/>
      <c r="AT8" s="2"/>
      <c r="AU8" s="2"/>
    </row>
    <row r="9" spans="1:47">
      <c r="A9" s="115">
        <v>1988</v>
      </c>
      <c r="B9" s="62">
        <f>('1A'!B9/'1A'!B$28)*100</f>
        <v>44.503689954778466</v>
      </c>
      <c r="C9" s="62">
        <f>('1A'!C9/'1A'!C$28)*100</f>
        <v>76.177754709492262</v>
      </c>
      <c r="D9" s="62">
        <f>('1A'!D9/'1A'!D$28)*100</f>
        <v>88.627225732337735</v>
      </c>
      <c r="E9" s="62">
        <f>('1A'!E9/'1A'!E$28)*100</f>
        <v>43.755121151820205</v>
      </c>
      <c r="F9" s="62" t="s">
        <v>10</v>
      </c>
      <c r="G9" s="62" t="s">
        <v>10</v>
      </c>
      <c r="H9" s="62" t="s">
        <v>10</v>
      </c>
      <c r="I9" s="62">
        <f>('1A'!I9/'1A'!I$28)*100</f>
        <v>99.358398562812781</v>
      </c>
      <c r="J9" s="62">
        <f>('1A'!J9/'1A'!J$28)*100</f>
        <v>129.38585878139668</v>
      </c>
      <c r="K9" s="62">
        <f>('1A'!K9/'1A'!K$28)*100</f>
        <v>40.317822818536484</v>
      </c>
      <c r="L9" s="62">
        <f>'1A'!L9/'1A'!L$28*100</f>
        <v>69.139016965381757</v>
      </c>
      <c r="M9" s="62">
        <f>'1A'!M9/'1A'!M$28*100</f>
        <v>77.5765857022906</v>
      </c>
      <c r="N9" s="62">
        <f>'1A'!N9/'1A'!N$28*100</f>
        <v>43.586303339691355</v>
      </c>
      <c r="O9" s="62">
        <f>'1A'!O9/'1A'!O$28*100</f>
        <v>83.478735143638133</v>
      </c>
      <c r="P9" s="62" t="s">
        <v>10</v>
      </c>
      <c r="Q9" s="62" t="s">
        <v>10</v>
      </c>
      <c r="R9" s="62" t="s">
        <v>10</v>
      </c>
      <c r="S9" s="62">
        <f>'1A'!S9/'1A'!S$28*100</f>
        <v>82.213302666200079</v>
      </c>
      <c r="T9" s="62">
        <f>'1A'!T9/'1A'!T$28*100</f>
        <v>88.171458985371999</v>
      </c>
      <c r="U9" s="62">
        <f>'1A'!U9/'1A'!U$28*100</f>
        <v>70.498259938723692</v>
      </c>
      <c r="X9" s="2">
        <f t="shared" si="2"/>
        <v>4.2190176617564079</v>
      </c>
      <c r="Y9" s="2">
        <f t="shared" si="2"/>
        <v>-4.2893018079650513</v>
      </c>
      <c r="Z9" s="2">
        <f t="shared" si="2"/>
        <v>-2.8467218219019763</v>
      </c>
      <c r="AA9" s="2">
        <f t="shared" si="2"/>
        <v>-10.587801926011686</v>
      </c>
      <c r="AB9" s="2">
        <f t="shared" si="0"/>
        <v>1.4542888067329729</v>
      </c>
      <c r="AC9" s="2">
        <f t="shared" si="0"/>
        <v>0.4237288135593209</v>
      </c>
      <c r="AD9" s="2">
        <f t="shared" si="0"/>
        <v>4.0808615152087668</v>
      </c>
      <c r="AE9" s="2"/>
      <c r="AF9" s="2" t="s">
        <v>29</v>
      </c>
      <c r="AG9" s="2">
        <f>((L21/L5)^(1/16)-1)*100</f>
        <v>2.5240863723126283</v>
      </c>
      <c r="AH9" s="2">
        <f>((M21/M5)^(1/16)-1)*100</f>
        <v>0.90758230307728116</v>
      </c>
      <c r="AI9" s="2">
        <f>((N21/N5)^(1/16)-1)*100</f>
        <v>3.7640269067226173</v>
      </c>
      <c r="AJ9" s="2">
        <f>((O21/O5)^(1/16)-1)*100</f>
        <v>-0.61351024958714584</v>
      </c>
      <c r="AK9" s="2">
        <f t="shared" ref="AK9:AM9" si="5">((S21/S5)^(1/16)-1)*100</f>
        <v>1.6051267144392867</v>
      </c>
      <c r="AL9" s="2">
        <f t="shared" si="5"/>
        <v>1.1429132876353831</v>
      </c>
      <c r="AM9" s="2">
        <f t="shared" si="5"/>
        <v>2.4775930740042584</v>
      </c>
      <c r="AN9" s="2"/>
      <c r="AO9" s="2"/>
      <c r="AP9" s="2"/>
      <c r="AQ9" s="2"/>
      <c r="AR9" s="2"/>
      <c r="AS9" s="2"/>
      <c r="AT9" s="2"/>
      <c r="AU9" s="2"/>
    </row>
    <row r="10" spans="1:47">
      <c r="A10" s="115">
        <v>1989</v>
      </c>
      <c r="B10" s="62">
        <f>('1A'!B10/'1A'!B$28)*100</f>
        <v>47.177413278089446</v>
      </c>
      <c r="C10" s="62">
        <f>('1A'!C10/'1A'!C$28)*100</f>
        <v>71.312551521997975</v>
      </c>
      <c r="D10" s="62">
        <f>('1A'!D10/'1A'!D$28)*100</f>
        <v>98.253877082136697</v>
      </c>
      <c r="E10" s="62">
        <f>('1A'!E10/'1A'!E$28)*100</f>
        <v>41.593507354949473</v>
      </c>
      <c r="F10" s="62" t="s">
        <v>10</v>
      </c>
      <c r="G10" s="62" t="s">
        <v>10</v>
      </c>
      <c r="H10" s="62" t="s">
        <v>10</v>
      </c>
      <c r="I10" s="62">
        <f>('1A'!I10/'1A'!I$28)*100</f>
        <v>88.223405620428593</v>
      </c>
      <c r="J10" s="62">
        <f>('1A'!J10/'1A'!J$28)*100</f>
        <v>110.10985820064849</v>
      </c>
      <c r="K10" s="62">
        <f>('1A'!K10/'1A'!K$28)*100</f>
        <v>45.189837282329428</v>
      </c>
      <c r="L10" s="62">
        <f>'1A'!L10/'1A'!L$28*100</f>
        <v>70.241244157869104</v>
      </c>
      <c r="M10" s="62">
        <f>'1A'!M10/'1A'!M$28*100</f>
        <v>79.271942310647745</v>
      </c>
      <c r="N10" s="62">
        <f>'1A'!N10/'1A'!N$28*100</f>
        <v>42.982159473767048</v>
      </c>
      <c r="O10" s="62">
        <f>'1A'!O10/'1A'!O$28*100</f>
        <v>92.752523179240796</v>
      </c>
      <c r="P10" s="62" t="s">
        <v>10</v>
      </c>
      <c r="Q10" s="62" t="s">
        <v>10</v>
      </c>
      <c r="R10" s="62" t="s">
        <v>10</v>
      </c>
      <c r="S10" s="62">
        <f>'1A'!S10/'1A'!S$28*100</f>
        <v>78.319677457276001</v>
      </c>
      <c r="T10" s="62">
        <f>'1A'!T10/'1A'!T$28*100</f>
        <v>81.073996496843407</v>
      </c>
      <c r="U10" s="62">
        <f>'1A'!U10/'1A'!U$28*100</f>
        <v>72.904081842604612</v>
      </c>
      <c r="X10" s="2">
        <f t="shared" si="2"/>
        <v>1.5942187795918938</v>
      </c>
      <c r="Y10" s="2">
        <f t="shared" si="2"/>
        <v>2.1853972986943138</v>
      </c>
      <c r="Z10" s="2">
        <f t="shared" si="2"/>
        <v>-1.3860864988156751</v>
      </c>
      <c r="AA10" s="2">
        <f t="shared" si="2"/>
        <v>11.10916213529789</v>
      </c>
      <c r="AB10" s="2">
        <f t="shared" si="0"/>
        <v>-4.736003885810125</v>
      </c>
      <c r="AC10" s="2">
        <f t="shared" si="0"/>
        <v>-8.0496144332896762</v>
      </c>
      <c r="AD10" s="2">
        <f t="shared" si="0"/>
        <v>3.4125975676166043</v>
      </c>
      <c r="AE10" s="2"/>
      <c r="AF10" s="2" t="s">
        <v>15</v>
      </c>
      <c r="AG10" s="2">
        <f t="shared" ref="AG10:AM10" si="6">AG8</f>
        <v>1.5482319043684134</v>
      </c>
      <c r="AH10" s="2">
        <f t="shared" si="6"/>
        <v>-1.0558044506406739</v>
      </c>
      <c r="AI10" s="2">
        <f t="shared" si="6"/>
        <v>0.4357437018724708</v>
      </c>
      <c r="AJ10" s="2">
        <f t="shared" si="6"/>
        <v>5.706702822898535E-2</v>
      </c>
      <c r="AK10" s="2">
        <f t="shared" si="6"/>
        <v>-2.4362585327697306</v>
      </c>
      <c r="AL10" s="2">
        <f t="shared" si="6"/>
        <v>-2.5387854339564808</v>
      </c>
      <c r="AM10" s="2">
        <f t="shared" si="6"/>
        <v>-2.015465534661165</v>
      </c>
      <c r="AN10" s="2"/>
      <c r="AO10" s="2"/>
      <c r="AP10" s="2"/>
      <c r="AQ10" s="2"/>
      <c r="AR10" s="2"/>
      <c r="AS10" s="2"/>
      <c r="AT10" s="2"/>
      <c r="AU10" s="2"/>
    </row>
    <row r="11" spans="1:47">
      <c r="A11" s="115">
        <v>1990</v>
      </c>
      <c r="B11" s="62">
        <f>('1A'!B11/'1A'!B$28)*100</f>
        <v>49.109956341580776</v>
      </c>
      <c r="C11" s="62">
        <f>('1A'!C11/'1A'!C$28)*100</f>
        <v>63.552956981039912</v>
      </c>
      <c r="D11" s="62">
        <f>('1A'!D11/'1A'!D$28)*100</f>
        <v>82.986789201608275</v>
      </c>
      <c r="E11" s="62">
        <f>('1A'!E11/'1A'!E$28)*100</f>
        <v>37.734597526239803</v>
      </c>
      <c r="F11" s="62" t="s">
        <v>10</v>
      </c>
      <c r="G11" s="62" t="s">
        <v>10</v>
      </c>
      <c r="H11" s="62" t="s">
        <v>10</v>
      </c>
      <c r="I11" s="62">
        <f>('1A'!I11/'1A'!I$28)*100</f>
        <v>79.353265751315277</v>
      </c>
      <c r="J11" s="62">
        <f>('1A'!J11/'1A'!J$28)*100</f>
        <v>97.459226636983971</v>
      </c>
      <c r="K11" s="62">
        <f>('1A'!K11/'1A'!K$28)*100</f>
        <v>43.752973641640494</v>
      </c>
      <c r="L11" s="62">
        <f>'1A'!L11/'1A'!L$28*100</f>
        <v>70.581209579430535</v>
      </c>
      <c r="M11" s="62">
        <f>'1A'!M11/'1A'!M$28*100</f>
        <v>85.368149363545768</v>
      </c>
      <c r="N11" s="62">
        <f>'1A'!N11/'1A'!N$28*100</f>
        <v>50.474259384101217</v>
      </c>
      <c r="O11" s="62">
        <f>'1A'!O11/'1A'!O$28*100</f>
        <v>98.292732135482709</v>
      </c>
      <c r="P11" s="62" t="s">
        <v>10</v>
      </c>
      <c r="Q11" s="62" t="s">
        <v>10</v>
      </c>
      <c r="R11" s="62" t="s">
        <v>10</v>
      </c>
      <c r="S11" s="62">
        <f>'1A'!S11/'1A'!S$28*100</f>
        <v>84.483024497542857</v>
      </c>
      <c r="T11" s="62">
        <f>'1A'!T11/'1A'!T$28*100</f>
        <v>90.567213381635383</v>
      </c>
      <c r="U11" s="62">
        <f>'1A'!U11/'1A'!U$28*100</f>
        <v>72.520174091985325</v>
      </c>
      <c r="X11" s="2">
        <f t="shared" si="2"/>
        <v>0.48399686770546069</v>
      </c>
      <c r="Y11" s="2">
        <f t="shared" si="2"/>
        <v>7.6902455966178396</v>
      </c>
      <c r="Z11" s="2">
        <f t="shared" si="2"/>
        <v>17.43072009889768</v>
      </c>
      <c r="AA11" s="2">
        <f t="shared" si="2"/>
        <v>5.973108618873546</v>
      </c>
      <c r="AB11" s="2">
        <f t="shared" si="0"/>
        <v>7.8694744927020555</v>
      </c>
      <c r="AC11" s="2">
        <f t="shared" si="0"/>
        <v>11.709323944776283</v>
      </c>
      <c r="AD11" s="2">
        <f t="shared" si="0"/>
        <v>-0.52659294365453579</v>
      </c>
      <c r="AE11" s="2"/>
      <c r="AF11" s="2" t="s">
        <v>12</v>
      </c>
      <c r="AG11" s="2">
        <f>((L34/L5)^(1/29)-1)*100</f>
        <v>2.0854800461750145</v>
      </c>
      <c r="AH11" s="2">
        <f>((M34/M5)^(1/29)-1)*100</f>
        <v>2.2671103371019186E-2</v>
      </c>
      <c r="AI11" s="2">
        <f>((N34/N5)^(1/29)-1)*100</f>
        <v>2.2586125335208207</v>
      </c>
      <c r="AJ11" s="2">
        <f>((O34/O5)^(1/29)-1)*100</f>
        <v>-0.31346420776328099</v>
      </c>
      <c r="AK11" s="2">
        <f t="shared" ref="AK11:AM11" si="7">((S34/S5)^(1/29)-1)*100</f>
        <v>-0.22682682605354998</v>
      </c>
      <c r="AL11" s="2">
        <f t="shared" si="7"/>
        <v>-0.52439575000493566</v>
      </c>
      <c r="AM11" s="2">
        <f t="shared" si="7"/>
        <v>0.43853408651932657</v>
      </c>
      <c r="AN11" s="2"/>
      <c r="AO11" s="2"/>
      <c r="AP11" s="2"/>
      <c r="AQ11" s="2"/>
      <c r="AR11" s="2"/>
      <c r="AS11" s="2"/>
      <c r="AT11" s="2"/>
      <c r="AU11" s="2"/>
    </row>
    <row r="12" spans="1:47">
      <c r="A12" s="115">
        <v>1991</v>
      </c>
      <c r="B12" s="62">
        <f>('1A'!B12/'1A'!B$28)*100</f>
        <v>49.521306479158952</v>
      </c>
      <c r="C12" s="62">
        <f>('1A'!C12/'1A'!C$28)*100</f>
        <v>57.616096235459345</v>
      </c>
      <c r="D12" s="62">
        <f>('1A'!D12/'1A'!D$28)*100</f>
        <v>71.625502584721417</v>
      </c>
      <c r="E12" s="62">
        <f>('1A'!E12/'1A'!E$28)*100</f>
        <v>35.584689219243828</v>
      </c>
      <c r="F12" s="62" t="s">
        <v>10</v>
      </c>
      <c r="G12" s="62" t="s">
        <v>10</v>
      </c>
      <c r="H12" s="62" t="s">
        <v>10</v>
      </c>
      <c r="I12" s="62">
        <f>('1A'!I12/'1A'!I$28)*100</f>
        <v>71.817656871551392</v>
      </c>
      <c r="J12" s="62">
        <f>('1A'!J12/'1A'!J$28)*100</f>
        <v>82.480762715965724</v>
      </c>
      <c r="K12" s="62">
        <f>('1A'!K12/'1A'!K$28)*100</f>
        <v>50.8516509658388</v>
      </c>
      <c r="L12" s="62">
        <f>'1A'!L12/'1A'!L$28*100</f>
        <v>68.779782603270675</v>
      </c>
      <c r="M12" s="62">
        <f>'1A'!M12/'1A'!M$28*100</f>
        <v>88.249851551147302</v>
      </c>
      <c r="N12" s="62">
        <f>'1A'!N12/'1A'!N$28*100</f>
        <v>60.043337725670398</v>
      </c>
      <c r="O12" s="62">
        <f>'1A'!O12/'1A'!O$28*100</f>
        <v>102.62300452416584</v>
      </c>
      <c r="P12" s="62" t="s">
        <v>10</v>
      </c>
      <c r="Q12" s="62" t="s">
        <v>10</v>
      </c>
      <c r="R12" s="62" t="s">
        <v>10</v>
      </c>
      <c r="S12" s="62">
        <f>'1A'!S12/'1A'!S$28*100</f>
        <v>84.306105314164085</v>
      </c>
      <c r="T12" s="62">
        <f>'1A'!T12/'1A'!T$28*100</f>
        <v>87.020085721304326</v>
      </c>
      <c r="U12" s="62">
        <f>'1A'!U12/'1A'!U$28*100</f>
        <v>78.969824302389526</v>
      </c>
      <c r="X12" s="2">
        <f t="shared" si="2"/>
        <v>-2.5522755799935348</v>
      </c>
      <c r="Y12" s="2">
        <f t="shared" si="2"/>
        <v>3.3756174979612252</v>
      </c>
      <c r="Z12" s="2">
        <f t="shared" si="2"/>
        <v>18.958333333333321</v>
      </c>
      <c r="AA12" s="2">
        <f t="shared" si="2"/>
        <v>4.4054858325786039</v>
      </c>
      <c r="AB12" s="2">
        <f t="shared" si="0"/>
        <v>-0.20941388454187582</v>
      </c>
      <c r="AC12" s="2">
        <f t="shared" si="0"/>
        <v>-3.9165692836148569</v>
      </c>
      <c r="AD12" s="2">
        <f t="shared" si="0"/>
        <v>8.8935944944415155</v>
      </c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47">
      <c r="A13" s="115">
        <v>1992</v>
      </c>
      <c r="B13" s="62">
        <f>('1A'!B13/'1A'!B$28)*100</f>
        <v>50.18727523729649</v>
      </c>
      <c r="C13" s="62" t="s">
        <v>10</v>
      </c>
      <c r="D13" s="62">
        <f>('1A'!D13/'1A'!D$28)*100</f>
        <v>75.50832854681218</v>
      </c>
      <c r="E13" s="62">
        <f>('1A'!E13/'1A'!E$28)*100</f>
        <v>39.150961801084705</v>
      </c>
      <c r="F13" s="62" t="s">
        <v>10</v>
      </c>
      <c r="G13" s="62" t="s">
        <v>10</v>
      </c>
      <c r="H13" s="62" t="s">
        <v>10</v>
      </c>
      <c r="I13" s="62" t="s">
        <v>10</v>
      </c>
      <c r="J13" s="62">
        <f>('1A'!J13/'1A'!J$28)*100</f>
        <v>63.253157818322606</v>
      </c>
      <c r="K13" s="62" t="s">
        <v>10</v>
      </c>
      <c r="L13" s="62">
        <f>'1A'!L13/'1A'!L$28*100</f>
        <v>69.259973360377586</v>
      </c>
      <c r="M13" s="62" t="s">
        <v>10</v>
      </c>
      <c r="N13" s="62">
        <f>'1A'!N13/'1A'!N$28*100</f>
        <v>62.903278449283661</v>
      </c>
      <c r="O13" s="62">
        <f>'1A'!O13/'1A'!O$28*100</f>
        <v>101.19586654341384</v>
      </c>
      <c r="P13" s="62" t="s">
        <v>10</v>
      </c>
      <c r="Q13" s="62" t="s">
        <v>10</v>
      </c>
      <c r="R13" s="62" t="s">
        <v>10</v>
      </c>
      <c r="S13" s="62" t="s">
        <v>10</v>
      </c>
      <c r="T13" s="62">
        <f>'1A'!T13/'1A'!T$28*100</f>
        <v>88.254845349900577</v>
      </c>
      <c r="U13" s="62" t="s">
        <v>10</v>
      </c>
      <c r="X13" s="2">
        <f t="shared" si="2"/>
        <v>0.69815684047258575</v>
      </c>
      <c r="Y13" s="2"/>
      <c r="Z13" s="2">
        <f t="shared" si="2"/>
        <v>4.7631274874823548</v>
      </c>
      <c r="AA13" s="2">
        <f t="shared" si="2"/>
        <v>-1.3906608828782918</v>
      </c>
      <c r="AB13" s="2"/>
      <c r="AC13" s="2">
        <f t="shared" si="0"/>
        <v>1.4189363505694219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47">
      <c r="A14" s="115">
        <v>1993</v>
      </c>
      <c r="B14" s="62">
        <f>('1A'!B14/'1A'!B$28)*100</f>
        <v>51.931158695217128</v>
      </c>
      <c r="C14" s="62" t="s">
        <v>10</v>
      </c>
      <c r="D14" s="62">
        <f>('1A'!D14/'1A'!D$28)*100</f>
        <v>83.859850660539919</v>
      </c>
      <c r="E14" s="62">
        <f>('1A'!E14/'1A'!E$28)*100</f>
        <v>54.496859026883605</v>
      </c>
      <c r="F14" s="62" t="s">
        <v>10</v>
      </c>
      <c r="G14" s="62" t="s">
        <v>10</v>
      </c>
      <c r="H14" s="62" t="s">
        <v>10</v>
      </c>
      <c r="I14" s="62" t="s">
        <v>10</v>
      </c>
      <c r="J14" s="62">
        <f>('1A'!J14/'1A'!J$28)*100</f>
        <v>78.28485699075641</v>
      </c>
      <c r="K14" s="62" t="s">
        <v>10</v>
      </c>
      <c r="L14" s="62">
        <f>'1A'!L14/'1A'!L$28*100</f>
        <v>70.922226034112839</v>
      </c>
      <c r="M14" s="62" t="s">
        <v>10</v>
      </c>
      <c r="N14" s="62">
        <f>'1A'!N14/'1A'!N$28*100</f>
        <v>66.479462122316193</v>
      </c>
      <c r="O14" s="62">
        <f>'1A'!O14/'1A'!O$28*100</f>
        <v>94.111675601243206</v>
      </c>
      <c r="P14" s="62" t="s">
        <v>10</v>
      </c>
      <c r="Q14" s="62" t="s">
        <v>10</v>
      </c>
      <c r="R14" s="62" t="s">
        <v>10</v>
      </c>
      <c r="S14" s="62" t="s">
        <v>10</v>
      </c>
      <c r="T14" s="62">
        <f>'1A'!T14/'1A'!T$28*100</f>
        <v>96.760254531815562</v>
      </c>
      <c r="U14" s="62" t="s">
        <v>10</v>
      </c>
      <c r="X14" s="2">
        <f t="shared" si="2"/>
        <v>2.4000192219048699</v>
      </c>
      <c r="Y14" s="2"/>
      <c r="Z14" s="2">
        <f t="shared" si="2"/>
        <v>5.6852103120759612</v>
      </c>
      <c r="AA14" s="2">
        <f t="shared" si="2"/>
        <v>-7.0004746084480267</v>
      </c>
      <c r="AB14" s="2"/>
      <c r="AC14" s="2">
        <f t="shared" si="0"/>
        <v>9.6373282942074479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47">
      <c r="A15" s="115">
        <v>1994</v>
      </c>
      <c r="B15" s="62">
        <f>('1A'!B15/'1A'!B$28)*100</f>
        <v>54.611821383548161</v>
      </c>
      <c r="C15" s="62" t="s">
        <v>10</v>
      </c>
      <c r="D15" s="62">
        <f>('1A'!D15/'1A'!D$28)*100</f>
        <v>84.181504882251573</v>
      </c>
      <c r="E15" s="62" t="s">
        <v>10</v>
      </c>
      <c r="F15" s="62" t="s">
        <v>10</v>
      </c>
      <c r="G15" s="62" t="s">
        <v>10</v>
      </c>
      <c r="H15" s="62" t="s">
        <v>10</v>
      </c>
      <c r="I15" s="62" t="s">
        <v>10</v>
      </c>
      <c r="J15" s="62">
        <f>('1A'!J15/'1A'!J$28)*100</f>
        <v>95.126554711319727</v>
      </c>
      <c r="K15" s="62" t="s">
        <v>10</v>
      </c>
      <c r="L15" s="62">
        <f>'1A'!L15/'1A'!L$28*100</f>
        <v>73.376213199205694</v>
      </c>
      <c r="M15" s="62" t="s">
        <v>10</v>
      </c>
      <c r="N15" s="62">
        <f>'1A'!N15/'1A'!N$28*100</f>
        <v>68.920190721827296</v>
      </c>
      <c r="O15" s="62" t="s">
        <v>10</v>
      </c>
      <c r="P15" s="62" t="s">
        <v>10</v>
      </c>
      <c r="Q15" s="62" t="s">
        <v>10</v>
      </c>
      <c r="R15" s="62" t="s">
        <v>10</v>
      </c>
      <c r="S15" s="62" t="s">
        <v>10</v>
      </c>
      <c r="T15" s="62">
        <f>'1A'!T15/'1A'!T$28*100</f>
        <v>105.58317333251243</v>
      </c>
      <c r="U15" s="62" t="s">
        <v>10</v>
      </c>
      <c r="X15" s="2">
        <f t="shared" si="2"/>
        <v>3.460110183107501</v>
      </c>
      <c r="Y15" s="2"/>
      <c r="Z15" s="2">
        <f t="shared" si="2"/>
        <v>3.6714024476016238</v>
      </c>
      <c r="AA15" s="2"/>
      <c r="AB15" s="2"/>
      <c r="AC15" s="2">
        <f t="shared" si="0"/>
        <v>9.1183294663573111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7">
      <c r="A16" s="115">
        <v>1995</v>
      </c>
      <c r="B16" s="62">
        <f>('1A'!B16/'1A'!B$28)*100</f>
        <v>56.765127377652512</v>
      </c>
      <c r="C16" s="62" t="s">
        <v>10</v>
      </c>
      <c r="D16" s="62">
        <f>('1A'!D16/'1A'!D$28)*100</f>
        <v>109.77599080987939</v>
      </c>
      <c r="E16" s="62">
        <f>('1A'!E16/'1A'!E$28)*100</f>
        <v>70.798704592453859</v>
      </c>
      <c r="F16" s="62" t="s">
        <v>10</v>
      </c>
      <c r="G16" s="62" t="s">
        <v>10</v>
      </c>
      <c r="H16" s="62" t="s">
        <v>10</v>
      </c>
      <c r="I16" s="62" t="s">
        <v>10</v>
      </c>
      <c r="J16" s="62">
        <f>('1A'!J16/'1A'!J$28)*100</f>
        <v>194.5167691041959</v>
      </c>
      <c r="K16" s="62" t="s">
        <v>10</v>
      </c>
      <c r="L16" s="62">
        <f>'1A'!L16/'1A'!L$28*100</f>
        <v>74.114958104051723</v>
      </c>
      <c r="M16" s="62" t="s">
        <v>10</v>
      </c>
      <c r="N16" s="62">
        <f>'1A'!N16/'1A'!N$28*100</f>
        <v>61.629388156159791</v>
      </c>
      <c r="O16" s="62">
        <f>'1A'!O16/'1A'!O$28*100</f>
        <v>102.59266962344826</v>
      </c>
      <c r="P16" s="62" t="s">
        <v>10</v>
      </c>
      <c r="Q16" s="62" t="s">
        <v>10</v>
      </c>
      <c r="R16" s="62" t="s">
        <v>10</v>
      </c>
      <c r="S16" s="62" t="s">
        <v>10</v>
      </c>
      <c r="T16" s="62">
        <f>'1A'!T16/'1A'!T$28*100</f>
        <v>103.30929131517543</v>
      </c>
      <c r="U16" s="62" t="s">
        <v>10</v>
      </c>
      <c r="X16" s="2">
        <f t="shared" si="2"/>
        <v>1.0067907195489223</v>
      </c>
      <c r="Y16" s="2"/>
      <c r="Z16" s="2">
        <f t="shared" si="2"/>
        <v>-10.578616352201243</v>
      </c>
      <c r="AA16" s="2"/>
      <c r="AB16" s="2"/>
      <c r="AC16" s="2">
        <f t="shared" si="0"/>
        <v>-2.1536405333981379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ht="15.75" thickBot="1">
      <c r="A17" s="115">
        <v>1996</v>
      </c>
      <c r="B17" s="62">
        <f>('1A'!B17/'1A'!B$28)*100</f>
        <v>57.7060071419384</v>
      </c>
      <c r="C17" s="62" t="s">
        <v>10</v>
      </c>
      <c r="D17" s="62">
        <f>('1A'!D17/'1A'!D$28)*100</f>
        <v>90.740953475014351</v>
      </c>
      <c r="E17" s="62">
        <f>('1A'!E17/'1A'!E$28)*100</f>
        <v>81.517031487767753</v>
      </c>
      <c r="F17" s="62" t="s">
        <v>10</v>
      </c>
      <c r="G17" s="62" t="s">
        <v>10</v>
      </c>
      <c r="H17" s="62" t="s">
        <v>10</v>
      </c>
      <c r="I17" s="62" t="s">
        <v>10</v>
      </c>
      <c r="J17" s="62">
        <f>('1A'!J17/'1A'!J$28)*100</f>
        <v>168.26211101969704</v>
      </c>
      <c r="K17" s="78" t="s">
        <v>10</v>
      </c>
      <c r="L17" s="78">
        <f>'1A'!L17/'1A'!L$28*100</f>
        <v>74.395846705609742</v>
      </c>
      <c r="M17" s="92" t="s">
        <v>10</v>
      </c>
      <c r="N17" s="78">
        <f>'1A'!N17/'1A'!N$28*100</f>
        <v>62.035152676813169</v>
      </c>
      <c r="O17" s="78">
        <f>'1A'!O17/'1A'!O$28*100</f>
        <v>89.815632204052704</v>
      </c>
      <c r="P17" s="78" t="s">
        <v>10</v>
      </c>
      <c r="Q17" s="78" t="s">
        <v>10</v>
      </c>
      <c r="R17" s="78" t="s">
        <v>10</v>
      </c>
      <c r="S17" s="62" t="s">
        <v>10</v>
      </c>
      <c r="T17" s="62">
        <f>'1A'!T17/'1A'!T$28*100</f>
        <v>90.243289427120516</v>
      </c>
      <c r="U17" s="62" t="s">
        <v>10</v>
      </c>
      <c r="X17" s="2">
        <f t="shared" si="2"/>
        <v>0.37899043424360901</v>
      </c>
      <c r="Y17" s="2"/>
      <c r="Z17" s="2">
        <f t="shared" si="2"/>
        <v>0.65839453026084183</v>
      </c>
      <c r="AA17" s="2">
        <f t="shared" si="2"/>
        <v>-12.454142646147959</v>
      </c>
      <c r="AB17" s="2"/>
      <c r="AC17" s="2">
        <f t="shared" si="0"/>
        <v>-12.647460573699243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47" ht="15.75" thickBot="1">
      <c r="A18" s="115">
        <v>1997</v>
      </c>
      <c r="B18" s="62">
        <f>('1A'!B18/'1A'!B$28)*100</f>
        <v>61.374022311810904</v>
      </c>
      <c r="C18" s="62">
        <f>('1A'!C18/'1A'!C$28)*100</f>
        <v>108.76408267944919</v>
      </c>
      <c r="D18" s="62">
        <f>('1A'!D18/'1A'!D$28)*100</f>
        <v>91.682940838598512</v>
      </c>
      <c r="E18" s="62">
        <f>('1A'!E18/'1A'!E$28)*100</f>
        <v>94.213586171914613</v>
      </c>
      <c r="F18" s="62" t="s">
        <v>10</v>
      </c>
      <c r="G18" s="62" t="s">
        <v>10</v>
      </c>
      <c r="H18" s="62" t="s">
        <v>10</v>
      </c>
      <c r="I18" s="62">
        <f>('1A'!I18/'1A'!I$28)*100</f>
        <v>125.4972411138201</v>
      </c>
      <c r="J18" s="62">
        <f>('1A'!J18/'1A'!J$28)*100</f>
        <v>153.8063204762135</v>
      </c>
      <c r="K18" s="62">
        <f>('1A'!K18/'1A'!K$28)*100</f>
        <v>69.835379198781993</v>
      </c>
      <c r="L18" s="62">
        <f>'1A'!L18/'1A'!L$28*100</f>
        <v>76.689376147579964</v>
      </c>
      <c r="M18" s="78">
        <f>'1A'!M18/'1A'!M$28*100</f>
        <v>85.923236572525056</v>
      </c>
      <c r="N18" s="62">
        <f>'1A'!N18/'1A'!N$28*100</f>
        <v>61.390005743825384</v>
      </c>
      <c r="O18" s="62">
        <f>'1A'!O18/'1A'!O$28*100</f>
        <v>78.072571205618416</v>
      </c>
      <c r="P18" s="62">
        <f>'1A'!P18/'1A'!P$28*100</f>
        <v>96.82365826944141</v>
      </c>
      <c r="Q18" s="62">
        <f>'1A'!Q18/'1A'!Q$28*100</f>
        <v>63.969171483622354</v>
      </c>
      <c r="R18" s="62">
        <f>'1A'!R18/'1A'!R$28*100</f>
        <v>63.395225464190986</v>
      </c>
      <c r="S18" s="78">
        <f>'1A'!S18/'1A'!S$28*100</f>
        <v>99.226470387521687</v>
      </c>
      <c r="T18" s="78">
        <f>'1A'!T18/'1A'!T$28*100</f>
        <v>101.92700196472092</v>
      </c>
      <c r="U18" s="78">
        <f>'1A'!U18/'1A'!U$28*100</f>
        <v>93.91663272650085</v>
      </c>
      <c r="X18" s="2">
        <f t="shared" si="2"/>
        <v>3.0828729606988681</v>
      </c>
      <c r="Y18" s="2"/>
      <c r="Z18" s="2">
        <f t="shared" si="2"/>
        <v>-1.0399699285803865</v>
      </c>
      <c r="AA18" s="2">
        <f t="shared" si="2"/>
        <v>-13.074629338192656</v>
      </c>
      <c r="AB18" s="2"/>
      <c r="AC18" s="2">
        <f t="shared" si="0"/>
        <v>12.94690454190064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47">
      <c r="A19" s="115">
        <v>1998</v>
      </c>
      <c r="B19" s="62">
        <f>('1A'!B19/'1A'!B$28)*100</f>
        <v>63.874401698812633</v>
      </c>
      <c r="C19" s="62">
        <f>('1A'!C19/'1A'!C$28)*100</f>
        <v>121.96134705217843</v>
      </c>
      <c r="D19" s="62">
        <f>('1A'!D19/'1A'!D$28)*100</f>
        <v>114.03790924755887</v>
      </c>
      <c r="E19" s="62">
        <f>('1A'!E19/'1A'!E$28)*100</f>
        <v>96.859026883608408</v>
      </c>
      <c r="F19" s="62" t="s">
        <v>10</v>
      </c>
      <c r="G19" s="62" t="s">
        <v>10</v>
      </c>
      <c r="H19" s="62" t="s">
        <v>10</v>
      </c>
      <c r="I19" s="62">
        <f>('1A'!I19/'1A'!I$28)*100</f>
        <v>144.81265238034135</v>
      </c>
      <c r="J19" s="62">
        <f>('1A'!J19/'1A'!J$28)*100</f>
        <v>169.04128151768859</v>
      </c>
      <c r="K19" s="62">
        <f>('1A'!K19/'1A'!K$28)*100</f>
        <v>97.1738509848701</v>
      </c>
      <c r="L19" s="62">
        <f>'1A'!L19/'1A'!L$28*100</f>
        <v>79.248039191290601</v>
      </c>
      <c r="M19" s="62">
        <f>'1A'!M19/'1A'!M$28*100</f>
        <v>91.219124965651986</v>
      </c>
      <c r="N19" s="62">
        <f>'1A'!N19/'1A'!N$28*100</f>
        <v>70.511200459506028</v>
      </c>
      <c r="O19" s="62">
        <f>'1A'!O19/'1A'!O$28*100</f>
        <v>84.12017167381974</v>
      </c>
      <c r="P19" s="62">
        <f>'1A'!P19/'1A'!P$28*100</f>
        <v>108.43373493975903</v>
      </c>
      <c r="Q19" s="62">
        <f>'1A'!Q19/'1A'!Q$28*100</f>
        <v>65.317919075144502</v>
      </c>
      <c r="R19" s="62">
        <f>'1A'!R19/'1A'!R$28*100</f>
        <v>64.014146772767461</v>
      </c>
      <c r="S19" s="62">
        <f>'1A'!S19/'1A'!S$28*100</f>
        <v>102.84550237392534</v>
      </c>
      <c r="T19" s="62">
        <f>'1A'!T19/'1A'!T$28*100</f>
        <v>99.264385616802969</v>
      </c>
      <c r="U19" s="62">
        <f>'1A'!U19/'1A'!U$28*100</f>
        <v>115.55809306308878</v>
      </c>
      <c r="X19" s="2">
        <f t="shared" si="2"/>
        <v>3.3363983021413413</v>
      </c>
      <c r="Y19" s="2">
        <f t="shared" si="2"/>
        <v>6.1635112972691974</v>
      </c>
      <c r="Z19" s="2">
        <f t="shared" si="2"/>
        <v>14.857784431137722</v>
      </c>
      <c r="AA19" s="2">
        <f t="shared" si="2"/>
        <v>7.7461269365317387</v>
      </c>
      <c r="AB19" s="2">
        <f t="shared" si="0"/>
        <v>3.6472445026713096</v>
      </c>
      <c r="AC19" s="2">
        <f t="shared" si="0"/>
        <v>-2.6122777052144941</v>
      </c>
      <c r="AD19" s="2">
        <f t="shared" si="0"/>
        <v>23.043266893534241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>
      <c r="A20" s="115">
        <v>1999</v>
      </c>
      <c r="B20" s="62">
        <f>('1A'!B20/'1A'!B$28)*100</f>
        <v>68.610413183111277</v>
      </c>
      <c r="C20" s="62">
        <f>('1A'!C20/'1A'!C$28)*100</f>
        <v>125.74573321527795</v>
      </c>
      <c r="D20" s="62">
        <f>('1A'!D20/'1A'!D$28)*100</f>
        <v>110.94773118897186</v>
      </c>
      <c r="E20" s="62">
        <f>('1A'!E20/'1A'!E$28)*100</f>
        <v>121.64345077841507</v>
      </c>
      <c r="F20" s="62" t="s">
        <v>10</v>
      </c>
      <c r="G20" s="62" t="s">
        <v>10</v>
      </c>
      <c r="H20" s="62" t="s">
        <v>10</v>
      </c>
      <c r="I20" s="62">
        <f>('1A'!I20/'1A'!I$28)*100</f>
        <v>133.25099448222764</v>
      </c>
      <c r="J20" s="62">
        <f>('1A'!J20/'1A'!J$28)*100</f>
        <v>145.45322557227894</v>
      </c>
      <c r="K20" s="62">
        <f>('1A'!K20/'1A'!K$28)*100</f>
        <v>109.25873061185649</v>
      </c>
      <c r="L20" s="62">
        <f>'1A'!L20/'1A'!L$28*100</f>
        <v>84.302770804338991</v>
      </c>
      <c r="M20" s="62">
        <f>'1A'!M20/'1A'!M$28*100</f>
        <v>95.252343296797221</v>
      </c>
      <c r="N20" s="62">
        <f>'1A'!N20/'1A'!N$28*100</f>
        <v>78.426191843767953</v>
      </c>
      <c r="O20" s="62">
        <f>'1A'!O20/'1A'!O$28*100</f>
        <v>87.514631291455331</v>
      </c>
      <c r="P20" s="62">
        <f>'1A'!P20/'1A'!P$28*100</f>
        <v>104.38116100766703</v>
      </c>
      <c r="Q20" s="62">
        <f>'1A'!Q20/'1A'!Q$28*100</f>
        <v>72.832369942196522</v>
      </c>
      <c r="R20" s="62">
        <f>'1A'!R20/'1A'!R$28*100</f>
        <v>78.337754199823166</v>
      </c>
      <c r="S20" s="62">
        <f>'1A'!S20/'1A'!S$28*100</f>
        <v>106.3197741562941</v>
      </c>
      <c r="T20" s="62">
        <f>'1A'!T20/'1A'!T$28*100</f>
        <v>100.90983884237525</v>
      </c>
      <c r="U20" s="62">
        <f>'1A'!U20/'1A'!U$28*100</f>
        <v>125.68274812065847</v>
      </c>
      <c r="X20" s="2">
        <f t="shared" si="2"/>
        <v>6.3783680512866425</v>
      </c>
      <c r="Y20" s="2">
        <f t="shared" si="2"/>
        <v>4.4214613247648638</v>
      </c>
      <c r="Z20" s="2">
        <f t="shared" si="2"/>
        <v>11.22515477354189</v>
      </c>
      <c r="AA20" s="2">
        <f t="shared" si="2"/>
        <v>4.0352504638218933</v>
      </c>
      <c r="AB20" s="2">
        <f t="shared" si="0"/>
        <v>3.3781465423125878</v>
      </c>
      <c r="AC20" s="2">
        <f t="shared" si="0"/>
        <v>1.6576471161815709</v>
      </c>
      <c r="AD20" s="2">
        <f t="shared" si="0"/>
        <v>8.7615283267457045</v>
      </c>
      <c r="AE20" s="2"/>
      <c r="AF20" s="2" t="s">
        <v>30</v>
      </c>
      <c r="AG20" s="2"/>
      <c r="AH20" s="2"/>
      <c r="AI20" s="2"/>
      <c r="AJ20" s="2"/>
      <c r="AK20" s="2"/>
      <c r="AL20" s="2"/>
      <c r="AM20" s="2"/>
      <c r="AN20" s="2"/>
      <c r="AO20" s="2" t="s">
        <v>25</v>
      </c>
      <c r="AP20" s="2"/>
      <c r="AQ20" s="2"/>
      <c r="AR20" s="2"/>
      <c r="AS20" s="2"/>
      <c r="AT20" s="2"/>
      <c r="AU20" s="2"/>
    </row>
    <row r="21" spans="1:47">
      <c r="A21" s="115">
        <v>2000</v>
      </c>
      <c r="B21" s="62">
        <f>('1A'!B21/'1A'!B$28)*100</f>
        <v>73.354205167583913</v>
      </c>
      <c r="C21" s="62">
        <f>('1A'!C21/'1A'!C$28)*100</f>
        <v>141.91219124965647</v>
      </c>
      <c r="D21" s="62">
        <f>('1A'!D21/'1A'!D$28)*100</f>
        <v>136.12866168868467</v>
      </c>
      <c r="E21" s="62">
        <f>('1A'!E21/'1A'!E$28)*100</f>
        <v>126.36856685785631</v>
      </c>
      <c r="F21" s="62" t="s">
        <v>10</v>
      </c>
      <c r="G21" s="62" t="s">
        <v>10</v>
      </c>
      <c r="H21" s="62" t="s">
        <v>10</v>
      </c>
      <c r="I21" s="62">
        <f>('1A'!I21/'1A'!I$28)*100</f>
        <v>156.30694212755037</v>
      </c>
      <c r="J21" s="62">
        <f>('1A'!J21/'1A'!J$28)*100</f>
        <v>185.12800658181291</v>
      </c>
      <c r="K21" s="62">
        <f>('1A'!K21/'1A'!K$28)*100</f>
        <v>99.638405176515349</v>
      </c>
      <c r="L21" s="62">
        <f>'1A'!L21/'1A'!L$28*100</f>
        <v>88.225369547472781</v>
      </c>
      <c r="M21" s="62">
        <f>'1A'!M21/'1A'!M$28*100</f>
        <v>101.80136170732452</v>
      </c>
      <c r="N21" s="62">
        <f>'1A'!N21/'1A'!N$28*100</f>
        <v>99.563469270534171</v>
      </c>
      <c r="O21" s="62">
        <f>'1A'!O21/'1A'!O$28*100</f>
        <v>94.342567303940697</v>
      </c>
      <c r="P21" s="62">
        <f>'1A'!P21/'1A'!P$28*100</f>
        <v>108.32420591456736</v>
      </c>
      <c r="Q21" s="62">
        <f>'1A'!Q21/'1A'!Q$28*100</f>
        <v>76.107899807321772</v>
      </c>
      <c r="R21" s="62">
        <f>'1A'!R21/'1A'!R$28*100</f>
        <v>93.457117595048629</v>
      </c>
      <c r="S21" s="62">
        <f>'1A'!S21/'1A'!S$28*100</f>
        <v>108.56217117926346</v>
      </c>
      <c r="T21" s="62">
        <f>'1A'!T21/'1A'!T$28*100</f>
        <v>110.13889561051154</v>
      </c>
      <c r="U21" s="62">
        <f>'1A'!U21/'1A'!U$28*100</f>
        <v>102.13150632790939</v>
      </c>
      <c r="X21" s="2">
        <f t="shared" si="2"/>
        <v>4.6529891078406882</v>
      </c>
      <c r="Y21" s="2">
        <f t="shared" si="2"/>
        <v>6.8754407333803558</v>
      </c>
      <c r="Z21" s="2">
        <f t="shared" si="2"/>
        <v>26.951808993701466</v>
      </c>
      <c r="AA21" s="2">
        <f t="shared" si="2"/>
        <v>7.8020508247882203</v>
      </c>
      <c r="AB21" s="2">
        <f t="shared" si="0"/>
        <v>2.1091062699897689</v>
      </c>
      <c r="AC21" s="2">
        <f t="shared" si="0"/>
        <v>9.1458443240132414</v>
      </c>
      <c r="AD21" s="2">
        <f t="shared" si="0"/>
        <v>-18.738643246517274</v>
      </c>
      <c r="AE21" s="2"/>
      <c r="AF21" s="2" t="s">
        <v>2</v>
      </c>
      <c r="AG21" s="2" t="s">
        <v>3</v>
      </c>
      <c r="AH21" s="2" t="s">
        <v>4</v>
      </c>
      <c r="AI21" s="2" t="s">
        <v>5</v>
      </c>
      <c r="AJ21" s="2" t="s">
        <v>6</v>
      </c>
      <c r="AK21" s="2" t="s">
        <v>7</v>
      </c>
      <c r="AL21" s="2"/>
      <c r="AM21" s="2"/>
      <c r="AN21" s="2"/>
      <c r="AO21" s="2" t="s">
        <v>2</v>
      </c>
      <c r="AP21" s="2" t="s">
        <v>3</v>
      </c>
      <c r="AQ21" s="2" t="s">
        <v>4</v>
      </c>
      <c r="AR21" s="2" t="s">
        <v>5</v>
      </c>
      <c r="AS21" s="2" t="s">
        <v>6</v>
      </c>
      <c r="AT21" s="2" t="s">
        <v>7</v>
      </c>
      <c r="AU21" s="2"/>
    </row>
    <row r="22" spans="1:47">
      <c r="A22" s="115">
        <v>2001</v>
      </c>
      <c r="B22" s="62">
        <f>('1A'!B22/'1A'!B$28)*100</f>
        <v>75.600982305670613</v>
      </c>
      <c r="C22" s="62">
        <f>('1A'!C22/'1A'!C$28)*100</f>
        <v>145.16532836686716</v>
      </c>
      <c r="D22" s="62">
        <f>('1A'!D22/'1A'!D$28)*100</f>
        <v>126.49052268811027</v>
      </c>
      <c r="E22" s="62">
        <f>('1A'!E22/'1A'!E$28)*100</f>
        <v>129.04912403917436</v>
      </c>
      <c r="F22" s="62" t="s">
        <v>10</v>
      </c>
      <c r="G22" s="62" t="s">
        <v>10</v>
      </c>
      <c r="H22" s="62" t="s">
        <v>10</v>
      </c>
      <c r="I22" s="62">
        <f>('1A'!I22/'1A'!I$28)*100</f>
        <v>163.63082253304248</v>
      </c>
      <c r="J22" s="62">
        <f>('1A'!J22/'1A'!J$28)*100</f>
        <v>189.3335914436432</v>
      </c>
      <c r="K22" s="62">
        <f>('1A'!K22/'1A'!K$28)*100</f>
        <v>113.09353887144351</v>
      </c>
      <c r="L22" s="62">
        <f>'1A'!L22/'1A'!L$28*100</f>
        <v>89.49446725828841</v>
      </c>
      <c r="M22" s="62">
        <f>'1A'!M22/'1A'!M$28*100</f>
        <v>104.86215003205812</v>
      </c>
      <c r="N22" s="62">
        <f>'1A'!N22/'1A'!N$28*100</f>
        <v>102.61918437679493</v>
      </c>
      <c r="O22" s="62">
        <f>'1A'!O22/'1A'!O$28*100</f>
        <v>101.95083886071011</v>
      </c>
      <c r="P22" s="62">
        <f>'1A'!P22/'1A'!P$28*100</f>
        <v>119.38663745892661</v>
      </c>
      <c r="Q22" s="62">
        <f>'1A'!Q22/'1A'!Q$28*100</f>
        <v>84.971098265895947</v>
      </c>
      <c r="R22" s="62">
        <f>'1A'!R22/'1A'!R$28*100</f>
        <v>95.048629531388144</v>
      </c>
      <c r="S22" s="62">
        <f>'1A'!S22/'1A'!S$28*100</f>
        <v>107.88207365584499</v>
      </c>
      <c r="T22" s="62">
        <f>'1A'!T22/'1A'!T$28*100</f>
        <v>108.54667763635484</v>
      </c>
      <c r="U22" s="62">
        <f>'1A'!U22/'1A'!U$28*100</f>
        <v>104.80540489104577</v>
      </c>
      <c r="X22" s="2">
        <f t="shared" si="2"/>
        <v>1.4384725361028305</v>
      </c>
      <c r="Y22" s="2">
        <f t="shared" si="2"/>
        <v>3.0066280778574095</v>
      </c>
      <c r="Z22" s="2">
        <f t="shared" si="2"/>
        <v>3.0691127264335982</v>
      </c>
      <c r="AA22" s="2">
        <f t="shared" si="2"/>
        <v>8.0645161290322509</v>
      </c>
      <c r="AB22" s="2">
        <f t="shared" ref="AB22:AD34" si="8">((S22/S21)-1)*100</f>
        <v>-0.62645902898852412</v>
      </c>
      <c r="AC22" s="2">
        <f t="shared" si="8"/>
        <v>-1.4456454873011615</v>
      </c>
      <c r="AD22" s="2">
        <f t="shared" si="8"/>
        <v>2.6180937296189422</v>
      </c>
      <c r="AE22" s="2">
        <v>2007</v>
      </c>
      <c r="AF22" s="2">
        <f>((B28/L28))*100</f>
        <v>100</v>
      </c>
      <c r="AG22" s="2">
        <f t="shared" ref="AG22:AH26" si="9">((D28/N28))*100</f>
        <v>100</v>
      </c>
      <c r="AH22" s="2">
        <f t="shared" si="9"/>
        <v>100</v>
      </c>
      <c r="AI22" s="2">
        <f t="shared" ref="AI22:AK26" si="10">((I28/S28))*100</f>
        <v>100</v>
      </c>
      <c r="AJ22" s="2">
        <f t="shared" si="10"/>
        <v>100</v>
      </c>
      <c r="AK22" s="2">
        <f t="shared" si="10"/>
        <v>100</v>
      </c>
      <c r="AL22" s="2"/>
      <c r="AM22" s="2"/>
      <c r="AN22" s="2">
        <v>2008</v>
      </c>
      <c r="AO22" s="2">
        <f>((AF23/AF22)-1)*100</f>
        <v>1.0967723507372629</v>
      </c>
      <c r="AP22" s="2">
        <f t="shared" ref="AP22:AT25" si="11">((AG23/AG22)-1)*100</f>
        <v>-2.0240573675688101</v>
      </c>
      <c r="AQ22" s="2">
        <f t="shared" si="11"/>
        <v>-5.2437466791557252</v>
      </c>
      <c r="AR22" s="2">
        <f t="shared" si="11"/>
        <v>4.0996757125789429</v>
      </c>
      <c r="AS22" s="2">
        <f t="shared" si="11"/>
        <v>4.0290303644805014</v>
      </c>
      <c r="AT22" s="2">
        <f t="shared" si="11"/>
        <v>4.2547142992514164</v>
      </c>
      <c r="AU22" s="2"/>
    </row>
    <row r="23" spans="1:47">
      <c r="A23" s="115">
        <v>2002</v>
      </c>
      <c r="B23" s="62">
        <f>('1A'!B23/'1A'!B$28)*100</f>
        <v>78.453201518108756</v>
      </c>
      <c r="C23" s="62">
        <f>('1A'!C23/'1A'!C$28)*100</f>
        <v>139.09412878209628</v>
      </c>
      <c r="D23" s="62">
        <f>('1A'!D23/'1A'!D$28)*100</f>
        <v>138.90867317633544</v>
      </c>
      <c r="E23" s="62">
        <f>('1A'!E23/'1A'!E$28)*100</f>
        <v>136.29872410160365</v>
      </c>
      <c r="F23" s="62" t="s">
        <v>10</v>
      </c>
      <c r="G23" s="62" t="s">
        <v>10</v>
      </c>
      <c r="H23" s="62" t="s">
        <v>10</v>
      </c>
      <c r="I23" s="62">
        <f>('1A'!I23/'1A'!I$28)*100</f>
        <v>141.44424483510844</v>
      </c>
      <c r="J23" s="62">
        <f>('1A'!J23/'1A'!J$28)*100</f>
        <v>152.30605429995643</v>
      </c>
      <c r="K23" s="62">
        <f>('1A'!K23/'1A'!K$28)*100</f>
        <v>120.08754400989628</v>
      </c>
      <c r="L23" s="62">
        <f>'1A'!L23/'1A'!L$28*100</f>
        <v>91.776046363369673</v>
      </c>
      <c r="M23" s="62">
        <f>'1A'!M23/'1A'!M$28*100</f>
        <v>111.00662534729643</v>
      </c>
      <c r="N23" s="62">
        <f>'1A'!N23/'1A'!N$28*100</f>
        <v>104.42274554853532</v>
      </c>
      <c r="O23" s="62">
        <f>'1A'!O23/'1A'!O$28*100</f>
        <v>111.47093250097542</v>
      </c>
      <c r="P23" s="62">
        <f>'1A'!P23/'1A'!P$28*100</f>
        <v>130.99671412924425</v>
      </c>
      <c r="Q23" s="62">
        <f>'1A'!Q23/'1A'!Q$28*100</f>
        <v>95.183044315992291</v>
      </c>
      <c r="R23" s="62">
        <f>'1A'!R23/'1A'!R$28*100</f>
        <v>101.50309460654287</v>
      </c>
      <c r="S23" s="62">
        <f>'1A'!S23/'1A'!S$28*100</f>
        <v>112.45348389580394</v>
      </c>
      <c r="T23" s="62">
        <f>'1A'!T23/'1A'!T$28*100</f>
        <v>111.23747761699656</v>
      </c>
      <c r="U23" s="62">
        <f>'1A'!U23/'1A'!U$28*100</f>
        <v>115.46293653059283</v>
      </c>
      <c r="X23" s="2">
        <f t="shared" si="2"/>
        <v>2.5494079969172079</v>
      </c>
      <c r="Y23" s="2">
        <f t="shared" si="2"/>
        <v>5.8595740344441261</v>
      </c>
      <c r="Z23" s="2">
        <f t="shared" si="2"/>
        <v>1.7575282659800795</v>
      </c>
      <c r="AA23" s="2">
        <f t="shared" si="2"/>
        <v>9.3379257558362063</v>
      </c>
      <c r="AB23" s="2">
        <f t="shared" si="8"/>
        <v>4.2374141366082974</v>
      </c>
      <c r="AC23" s="2">
        <f t="shared" si="8"/>
        <v>2.4789335235632315</v>
      </c>
      <c r="AD23" s="2">
        <f t="shared" si="8"/>
        <v>10.168875976030511</v>
      </c>
      <c r="AE23" s="2">
        <v>2008</v>
      </c>
      <c r="AF23" s="2">
        <f>((B29/L29))*100</f>
        <v>101.09677235073727</v>
      </c>
      <c r="AG23" s="2">
        <f t="shared" si="9"/>
        <v>97.975942632431185</v>
      </c>
      <c r="AH23" s="2">
        <f t="shared" si="9"/>
        <v>94.75625332084428</v>
      </c>
      <c r="AI23" s="2">
        <f t="shared" si="10"/>
        <v>104.09967571257894</v>
      </c>
      <c r="AJ23" s="2">
        <f t="shared" si="10"/>
        <v>104.0290303644805</v>
      </c>
      <c r="AK23" s="2">
        <f t="shared" si="10"/>
        <v>104.25471429925142</v>
      </c>
      <c r="AL23" s="2"/>
      <c r="AM23" s="2"/>
      <c r="AN23" s="2">
        <v>2009</v>
      </c>
      <c r="AO23" s="2">
        <f t="shared" ref="AO23:AO25" si="12">((AF24/AF23)-1)*100</f>
        <v>1.7079048021145349</v>
      </c>
      <c r="AP23" s="2">
        <f t="shared" si="11"/>
        <v>8.6290949464218123</v>
      </c>
      <c r="AQ23" s="2">
        <f t="shared" si="11"/>
        <v>-15.079491344800388</v>
      </c>
      <c r="AR23" s="2">
        <f t="shared" si="11"/>
        <v>-2.169321864541196</v>
      </c>
      <c r="AS23" s="2">
        <f t="shared" si="11"/>
        <v>1.578439563281675</v>
      </c>
      <c r="AT23" s="2">
        <f t="shared" si="11"/>
        <v>-8.4038198827124599</v>
      </c>
      <c r="AU23" s="2"/>
    </row>
    <row r="24" spans="1:47">
      <c r="A24" s="115">
        <v>2003</v>
      </c>
      <c r="B24" s="62">
        <f>('1A'!B24/'1A'!B$28)*100</f>
        <v>81.653160022107826</v>
      </c>
      <c r="C24" s="62">
        <f>('1A'!C24/'1A'!C$28)*100</f>
        <v>123.10170060757792</v>
      </c>
      <c r="D24" s="62">
        <f>('1A'!D24/'1A'!D$28)*100</f>
        <v>126.20333141872486</v>
      </c>
      <c r="E24" s="62">
        <f>('1A'!E24/'1A'!E$28)*100</f>
        <v>127.67958172382848</v>
      </c>
      <c r="F24" s="62" t="s">
        <v>10</v>
      </c>
      <c r="G24" s="62" t="s">
        <v>10</v>
      </c>
      <c r="H24" s="62" t="s">
        <v>10</v>
      </c>
      <c r="I24" s="62">
        <f>('1A'!I24/'1A'!I$28)*100</f>
        <v>118.47170537662004</v>
      </c>
      <c r="J24" s="62">
        <f>('1A'!J24/'1A'!J$28)*100</f>
        <v>122.5378696220297</v>
      </c>
      <c r="K24" s="62">
        <f>('1A'!K24/'1A'!K$28)*100</f>
        <v>110.47673422780473</v>
      </c>
      <c r="L24" s="62">
        <f>'1A'!L24/'1A'!L$28*100</f>
        <v>92.880491867800188</v>
      </c>
      <c r="M24" s="62">
        <f>'1A'!M24/'1A'!M$28*100</f>
        <v>106.37956828382131</v>
      </c>
      <c r="N24" s="62">
        <f>'1A'!N24/'1A'!N$28*100</f>
        <v>97.219988512349218</v>
      </c>
      <c r="O24" s="62">
        <f>'1A'!O24/'1A'!O$28*100</f>
        <v>108.07647288333983</v>
      </c>
      <c r="P24" s="62">
        <f>'1A'!P24/'1A'!P$28*100</f>
        <v>123.65826944140197</v>
      </c>
      <c r="Q24" s="62">
        <f>'1A'!Q24/'1A'!Q$28*100</f>
        <v>85.74181117533719</v>
      </c>
      <c r="R24" s="62">
        <f>'1A'!R24/'1A'!R$28*100</f>
        <v>108.04597701149426</v>
      </c>
      <c r="S24" s="62">
        <f>'1A'!S24/'1A'!S$28*100</f>
        <v>107.54844090850764</v>
      </c>
      <c r="T24" s="62">
        <f>'1A'!T24/'1A'!T$28*100</f>
        <v>106.33015535014276</v>
      </c>
      <c r="U24" s="62">
        <f>'1A'!U24/'1A'!U$28*100</f>
        <v>110.62898467979825</v>
      </c>
      <c r="X24" s="2">
        <f t="shared" si="2"/>
        <v>1.2034136882053792</v>
      </c>
      <c r="Y24" s="2">
        <f t="shared" si="2"/>
        <v>-4.1682710820177267</v>
      </c>
      <c r="Z24" s="2">
        <f t="shared" si="2"/>
        <v>-6.8976897689768997</v>
      </c>
      <c r="AA24" s="2">
        <f t="shared" si="2"/>
        <v>-3.045152257612882</v>
      </c>
      <c r="AB24" s="2">
        <f t="shared" si="8"/>
        <v>-4.3618417299024381</v>
      </c>
      <c r="AC24" s="2">
        <f t="shared" si="8"/>
        <v>-4.411572764846639</v>
      </c>
      <c r="AD24" s="2">
        <f t="shared" si="8"/>
        <v>-4.1865831547717285</v>
      </c>
      <c r="AE24" s="2">
        <v>2009</v>
      </c>
      <c r="AF24" s="2">
        <f>((B30/L30))*100</f>
        <v>102.82340898049831</v>
      </c>
      <c r="AG24" s="2">
        <f t="shared" si="9"/>
        <v>106.43037974683544</v>
      </c>
      <c r="AH24" s="2">
        <f t="shared" si="9"/>
        <v>80.467492302670436</v>
      </c>
      <c r="AI24" s="2">
        <f t="shared" si="10"/>
        <v>101.84141868642949</v>
      </c>
      <c r="AJ24" s="2">
        <f t="shared" si="10"/>
        <v>105.67106573705178</v>
      </c>
      <c r="AK24" s="2">
        <f t="shared" si="10"/>
        <v>95.493335890305858</v>
      </c>
      <c r="AL24" s="2"/>
      <c r="AM24" s="2"/>
      <c r="AN24" s="2">
        <v>2010</v>
      </c>
      <c r="AO24" s="2">
        <f t="shared" si="12"/>
        <v>2.2044322709558806</v>
      </c>
      <c r="AP24" s="2">
        <f t="shared" si="11"/>
        <v>-26.436129524638297</v>
      </c>
      <c r="AQ24" s="2">
        <f t="shared" si="11"/>
        <v>4.4276430321315452</v>
      </c>
      <c r="AR24" s="2">
        <f t="shared" si="11"/>
        <v>4.3105092353930896</v>
      </c>
      <c r="AS24" s="2">
        <f t="shared" si="11"/>
        <v>2.8592046285351946</v>
      </c>
      <c r="AT24" s="2">
        <f t="shared" si="11"/>
        <v>6.8944033716297204</v>
      </c>
      <c r="AU24" s="2"/>
    </row>
    <row r="25" spans="1:47">
      <c r="A25" s="115">
        <v>2004</v>
      </c>
      <c r="B25" s="62">
        <f>('1A'!B25/'1A'!B$28)*100</f>
        <v>85.51141192596468</v>
      </c>
      <c r="C25" s="62">
        <f>('1A'!C25/'1A'!C$28)*100</f>
        <v>125.52895917931181</v>
      </c>
      <c r="D25" s="62">
        <f>('1A'!D25/'1A'!D$28)*100</f>
        <v>143.0672027570362</v>
      </c>
      <c r="E25" s="62">
        <f>('1A'!E25/'1A'!E$28)*100</f>
        <v>137.36782551016427</v>
      </c>
      <c r="F25" s="62" t="s">
        <v>10</v>
      </c>
      <c r="G25" s="62" t="s">
        <v>10</v>
      </c>
      <c r="H25" s="62" t="s">
        <v>10</v>
      </c>
      <c r="I25" s="62">
        <f>('1A'!I25/'1A'!I$28)*100</f>
        <v>110.8976004106249</v>
      </c>
      <c r="J25" s="62">
        <f>('1A'!J25/'1A'!J$28)*100</f>
        <v>108.22242655955088</v>
      </c>
      <c r="K25" s="62">
        <f>('1A'!K25/'1A'!K$28)*100</f>
        <v>116.15757921781329</v>
      </c>
      <c r="L25" s="62">
        <f>'1A'!L25/'1A'!L$28*100</f>
        <v>94.94407677881685</v>
      </c>
      <c r="M25" s="62">
        <f>'1A'!M25/'1A'!M$28*100</f>
        <v>102.05782676396053</v>
      </c>
      <c r="N25" s="62">
        <f>'1A'!N25/'1A'!N$28*100</f>
        <v>110.7064905226881</v>
      </c>
      <c r="O25" s="62">
        <f>'1A'!O25/'1A'!O$28*100</f>
        <v>101.20952009364026</v>
      </c>
      <c r="P25" s="62">
        <f>'1A'!P25/'1A'!P$28*100</f>
        <v>100.76670317634174</v>
      </c>
      <c r="Q25" s="62">
        <f>'1A'!Q25/'1A'!Q$28*100</f>
        <v>80.924855491329481</v>
      </c>
      <c r="R25" s="62">
        <f>'1A'!R25/'1A'!R$28*100</f>
        <v>121.75066312997347</v>
      </c>
      <c r="S25" s="62">
        <f>'1A'!S25/'1A'!S$28*100</f>
        <v>100.33042474015141</v>
      </c>
      <c r="T25" s="62">
        <f>'1A'!T25/'1A'!T$28*100</f>
        <v>94.671635290132116</v>
      </c>
      <c r="U25" s="62">
        <f>'1A'!U25/'1A'!U$28*100</f>
        <v>114.02607288990387</v>
      </c>
      <c r="X25" s="2">
        <f t="shared" si="2"/>
        <v>2.221763547456046</v>
      </c>
      <c r="Y25" s="2">
        <f t="shared" si="2"/>
        <v>-4.0625672669871609</v>
      </c>
      <c r="Z25" s="2">
        <f t="shared" si="2"/>
        <v>13.872149356020325</v>
      </c>
      <c r="AA25" s="2">
        <f t="shared" si="2"/>
        <v>-6.353790613718413</v>
      </c>
      <c r="AB25" s="2">
        <f t="shared" si="8"/>
        <v>-6.7114093959731669</v>
      </c>
      <c r="AC25" s="2">
        <f t="shared" si="8"/>
        <v>-10.964453142779117</v>
      </c>
      <c r="AD25" s="2">
        <f t="shared" si="8"/>
        <v>3.0707035953896344</v>
      </c>
      <c r="AE25" s="2">
        <v>2010</v>
      </c>
      <c r="AF25" s="2">
        <f>((B31/L31))*100</f>
        <v>105.09008139016136</v>
      </c>
      <c r="AG25" s="2">
        <f t="shared" si="9"/>
        <v>78.294306703397623</v>
      </c>
      <c r="AH25" s="2">
        <f t="shared" si="9"/>
        <v>84.030305618740613</v>
      </c>
      <c r="AI25" s="2">
        <f t="shared" si="10"/>
        <v>106.23130244436338</v>
      </c>
      <c r="AJ25" s="2">
        <f t="shared" si="10"/>
        <v>108.69241773962803</v>
      </c>
      <c r="AK25" s="2">
        <f t="shared" si="10"/>
        <v>102.07703165960879</v>
      </c>
      <c r="AL25" s="2"/>
      <c r="AM25" s="2"/>
      <c r="AN25" s="2">
        <v>2011</v>
      </c>
      <c r="AO25" s="2">
        <f t="shared" si="12"/>
        <v>2.4466716242070197</v>
      </c>
      <c r="AP25" s="2">
        <f t="shared" si="11"/>
        <v>22.392546611869268</v>
      </c>
      <c r="AQ25" s="2">
        <f t="shared" si="11"/>
        <v>-4.2530430850839851</v>
      </c>
      <c r="AR25" s="2">
        <f t="shared" si="11"/>
        <v>-5.7981034726217189</v>
      </c>
      <c r="AS25" s="2">
        <f t="shared" si="11"/>
        <v>-7.5549926750509204</v>
      </c>
      <c r="AT25" s="2">
        <f t="shared" si="11"/>
        <v>-2.3996700337376664</v>
      </c>
      <c r="AU25" s="2"/>
    </row>
    <row r="26" spans="1:47">
      <c r="A26" s="115">
        <v>2005</v>
      </c>
      <c r="B26" s="62">
        <f>('1A'!B26/'1A'!B$28)*100</f>
        <v>88.567886791619628</v>
      </c>
      <c r="C26" s="62">
        <f>('1A'!C26/'1A'!C$28)*100</f>
        <v>131.90394772997894</v>
      </c>
      <c r="D26" s="62">
        <f>('1A'!D26/'1A'!D$28)*100</f>
        <v>150.87880528431936</v>
      </c>
      <c r="E26" s="62">
        <f>('1A'!E26/'1A'!E$28)*100</f>
        <v>132.03792578719421</v>
      </c>
      <c r="F26" s="62" t="s">
        <v>10</v>
      </c>
      <c r="G26" s="62" t="s">
        <v>10</v>
      </c>
      <c r="H26" s="62" t="s">
        <v>10</v>
      </c>
      <c r="I26" s="62">
        <f>('1A'!I26/'1A'!I$28)*100</f>
        <v>126.49493134864622</v>
      </c>
      <c r="J26" s="62">
        <f>('1A'!J26/'1A'!J$28)*100</f>
        <v>133.2913904079756</v>
      </c>
      <c r="K26" s="62">
        <f>('1A'!K26/'1A'!K$28)*100</f>
        <v>113.1316014844419</v>
      </c>
      <c r="L26" s="62">
        <f>'1A'!L26/'1A'!L$28*100</f>
        <v>96.53315632111314</v>
      </c>
      <c r="M26" s="62">
        <f>'1A'!M26/'1A'!M$28*100</f>
        <v>110.13036973712332</v>
      </c>
      <c r="N26" s="62">
        <f>'1A'!N26/'1A'!N$28*100</f>
        <v>119.4371051120046</v>
      </c>
      <c r="O26" s="62">
        <f>'1A'!O26/'1A'!O$28*100</f>
        <v>111.50994927818962</v>
      </c>
      <c r="P26" s="62">
        <f>'1A'!P26/'1A'!P$28*100</f>
        <v>126.28696604600218</v>
      </c>
      <c r="Q26" s="62">
        <f>'1A'!Q26/'1A'!Q$28*100</f>
        <v>96.917148362235068</v>
      </c>
      <c r="R26" s="62">
        <f>'1A'!R26/'1A'!R$28*100</f>
        <v>107.16180371352786</v>
      </c>
      <c r="S26" s="62">
        <f>'1A'!S26/'1A'!S$28*100</f>
        <v>106.3999743359425</v>
      </c>
      <c r="T26" s="62">
        <f>'1A'!T26/'1A'!T$28*100</f>
        <v>106.49954024101049</v>
      </c>
      <c r="U26" s="62">
        <f>'1A'!U26/'1A'!U$28*100</f>
        <v>106.31839375773144</v>
      </c>
      <c r="X26" s="2">
        <f t="shared" si="2"/>
        <v>1.6737005574325892</v>
      </c>
      <c r="Y26" s="2">
        <f t="shared" si="2"/>
        <v>7.9097735363628408</v>
      </c>
      <c r="Z26" s="2">
        <f t="shared" si="2"/>
        <v>7.8862716613053996</v>
      </c>
      <c r="AA26" s="2">
        <f t="shared" si="2"/>
        <v>10.177332305319965</v>
      </c>
      <c r="AB26" s="2">
        <f t="shared" si="8"/>
        <v>6.0495603517186192</v>
      </c>
      <c r="AC26" s="2">
        <f t="shared" si="8"/>
        <v>12.493610060321036</v>
      </c>
      <c r="AD26" s="2">
        <f t="shared" si="8"/>
        <v>-6.7595760660936417</v>
      </c>
      <c r="AE26" s="2">
        <v>2011</v>
      </c>
      <c r="AF26" s="2">
        <f>((B32/L32))*100</f>
        <v>107.6612905913905</v>
      </c>
      <c r="AG26" s="2">
        <f t="shared" si="9"/>
        <v>95.826395826395824</v>
      </c>
      <c r="AH26" s="2">
        <f t="shared" si="9"/>
        <v>80.45646051624783</v>
      </c>
      <c r="AI26" s="2">
        <f t="shared" si="10"/>
        <v>100.07190160832546</v>
      </c>
      <c r="AJ26" s="2">
        <f t="shared" si="10"/>
        <v>100.48071354106338</v>
      </c>
      <c r="AK26" s="2">
        <f t="shared" si="10"/>
        <v>99.627519719544253</v>
      </c>
      <c r="AL26" s="2"/>
      <c r="AM26" s="2"/>
      <c r="AN26" s="2" t="s">
        <v>28</v>
      </c>
      <c r="AO26" s="2">
        <f>((AF26/AF22)^(1/4)-1)*100</f>
        <v>1.8626324238594894</v>
      </c>
      <c r="AP26" s="2">
        <f>((AG26/AG22)^(1/4)-1)*100</f>
        <v>-1.0601406842146499</v>
      </c>
      <c r="AQ26" s="2">
        <f t="shared" ref="AQ26:AT26" si="13">((AH26/AH22)^(1/4)-1)*100</f>
        <v>-5.2912225096111598</v>
      </c>
      <c r="AR26" s="2">
        <f t="shared" si="13"/>
        <v>1.7970557387014807E-2</v>
      </c>
      <c r="AS26" s="2">
        <f t="shared" si="13"/>
        <v>0.11996234810225381</v>
      </c>
      <c r="AT26" s="2">
        <f t="shared" si="13"/>
        <v>-9.3250423668334026E-2</v>
      </c>
      <c r="AU26" s="2"/>
    </row>
    <row r="27" spans="1:47" ht="15.75" thickBot="1">
      <c r="A27" s="115">
        <v>2006</v>
      </c>
      <c r="B27" s="78">
        <f>('1A'!B27/'1A'!B$28)*100</f>
        <v>92.417061445273475</v>
      </c>
      <c r="C27" s="78">
        <f>('1A'!C27/'1A'!C$28)*100</f>
        <v>123.22840655817787</v>
      </c>
      <c r="D27" s="78">
        <f>('1A'!D27/'1A'!D$28)*100</f>
        <v>161.01091326823664</v>
      </c>
      <c r="E27" s="78">
        <f>('1A'!E27/'1A'!E$28)*100</f>
        <v>113.03211206055641</v>
      </c>
      <c r="F27" s="78" t="s">
        <v>10</v>
      </c>
      <c r="G27" s="78" t="s">
        <v>10</v>
      </c>
      <c r="H27" s="78" t="s">
        <v>10</v>
      </c>
      <c r="I27" s="78">
        <f>('1A'!I27/'1A'!I$28)*100</f>
        <v>121.06056717567046</v>
      </c>
      <c r="J27" s="78">
        <f>('1A'!J27/'1A'!J$28)*100</f>
        <v>129.85529690751582</v>
      </c>
      <c r="K27" s="78">
        <f>('1A'!K27/'1A'!K$28)*100</f>
        <v>103.76819868683984</v>
      </c>
      <c r="L27" s="62">
        <f>'1A'!L27/'1A'!L$28*100</f>
        <v>98.082877747664341</v>
      </c>
      <c r="M27" s="62">
        <f>'1A'!M27/'1A'!M$28*100</f>
        <v>106.83601502152476</v>
      </c>
      <c r="N27" s="62">
        <f>'1A'!N27/'1A'!N$28*100</f>
        <v>112.49856404365306</v>
      </c>
      <c r="O27" s="62">
        <f>'1A'!O27/'1A'!O$28*100</f>
        <v>111.43191572376121</v>
      </c>
      <c r="P27" s="62">
        <f>'1A'!P27/'1A'!P$28*100</f>
        <v>119.82475355969331</v>
      </c>
      <c r="Q27" s="62">
        <f>'1A'!Q27/'1A'!Q$28*100</f>
        <v>108.28516377649326</v>
      </c>
      <c r="R27" s="62">
        <f>'1A'!R27/'1A'!R$28*100</f>
        <v>105.74712643678161</v>
      </c>
      <c r="S27" s="62">
        <f>'1A'!S27/'1A'!S$28*100</f>
        <v>101.47889131271654</v>
      </c>
      <c r="T27" s="62">
        <f>'1A'!T27/'1A'!T$28*100</f>
        <v>102.49721724822145</v>
      </c>
      <c r="U27" s="62">
        <f>'1A'!U27/'1A'!U$28*100</f>
        <v>99.153106860785982</v>
      </c>
      <c r="X27" s="2">
        <f t="shared" si="2"/>
        <v>1.6053773497223256</v>
      </c>
      <c r="Y27" s="2">
        <f t="shared" si="2"/>
        <v>-2.9913226691802186</v>
      </c>
      <c r="Z27" s="2">
        <f t="shared" si="2"/>
        <v>-5.8093680869481741</v>
      </c>
      <c r="AA27" s="2">
        <f t="shared" si="2"/>
        <v>-6.9979006298115376E-2</v>
      </c>
      <c r="AB27" s="2">
        <f t="shared" si="8"/>
        <v>-4.625079144933208</v>
      </c>
      <c r="AC27" s="2">
        <f t="shared" si="8"/>
        <v>-3.75806598200491</v>
      </c>
      <c r="AD27" s="2">
        <f t="shared" si="8"/>
        <v>-6.7394612011098083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:47">
      <c r="A28" s="115">
        <v>2007</v>
      </c>
      <c r="B28" s="62">
        <f>('1A'!B28/'1A'!B$28)*100</f>
        <v>100</v>
      </c>
      <c r="C28" s="62">
        <f>('1A'!C28/'1A'!C$28)*100</f>
        <v>100</v>
      </c>
      <c r="D28" s="62">
        <f>('1A'!D28/'1A'!D$28)*100</f>
        <v>100</v>
      </c>
      <c r="E28" s="62">
        <f>('1A'!E28/'1A'!E$28)*100</f>
        <v>100</v>
      </c>
      <c r="F28" s="62">
        <f>('1A'!F28/'1A'!F$28)*100</f>
        <v>100</v>
      </c>
      <c r="G28" s="62">
        <f>('1A'!G28/'1A'!G$28)*100</f>
        <v>100</v>
      </c>
      <c r="H28" s="62">
        <f>('1A'!H28/'1A'!H$28)*100</f>
        <v>100</v>
      </c>
      <c r="I28" s="62">
        <f>('1A'!I28/'1A'!I$28)*100</f>
        <v>100</v>
      </c>
      <c r="J28" s="62">
        <f>('1A'!J28/'1A'!J$28)*100</f>
        <v>100</v>
      </c>
      <c r="K28" s="62">
        <f>('1A'!K28/'1A'!K$28)*100</f>
        <v>100</v>
      </c>
      <c r="L28" s="62">
        <f>'1A'!L28/'1A'!L$28*100</f>
        <v>100</v>
      </c>
      <c r="M28" s="62">
        <f>'1A'!M28/'1A'!M$28*100</f>
        <v>100</v>
      </c>
      <c r="N28" s="62">
        <f>'1A'!N28/'1A'!N$28*100</f>
        <v>100</v>
      </c>
      <c r="O28" s="62">
        <f>'1A'!O28/'1A'!O$28*100</f>
        <v>100</v>
      </c>
      <c r="P28" s="62">
        <f>'1A'!P28/'1A'!P$28*100</f>
        <v>100</v>
      </c>
      <c r="Q28" s="62">
        <f>'1A'!Q28/'1A'!Q$28*100</f>
        <v>100</v>
      </c>
      <c r="R28" s="62">
        <f>'1A'!R28/'1A'!R$28*100</f>
        <v>100</v>
      </c>
      <c r="S28" s="62">
        <f>'1A'!S28/'1A'!S$28*100</f>
        <v>100</v>
      </c>
      <c r="T28" s="62">
        <f>'1A'!T28/'1A'!T$28*100</f>
        <v>100</v>
      </c>
      <c r="U28" s="62">
        <f>'1A'!U28/'1A'!U$28*100</f>
        <v>100</v>
      </c>
      <c r="X28" s="2">
        <f t="shared" si="2"/>
        <v>1.9545942129346905</v>
      </c>
      <c r="Y28" s="2">
        <f t="shared" si="2"/>
        <v>-6.3986053955189863</v>
      </c>
      <c r="Z28" s="2">
        <f t="shared" si="2"/>
        <v>-11.109976513836406</v>
      </c>
      <c r="AA28" s="2">
        <f t="shared" si="2"/>
        <v>-10.25910364145658</v>
      </c>
      <c r="AB28" s="2">
        <f t="shared" si="8"/>
        <v>-1.4573388549932065</v>
      </c>
      <c r="AC28" s="2">
        <f t="shared" si="8"/>
        <v>-2.4363756551300741</v>
      </c>
      <c r="AD28" s="2">
        <f t="shared" si="8"/>
        <v>0.85412667946258569</v>
      </c>
      <c r="AE28" s="2"/>
      <c r="AF28" s="2" t="s">
        <v>31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s="45" customFormat="1">
      <c r="A29" s="46">
        <v>2008</v>
      </c>
      <c r="B29" s="62">
        <f>('1A'!B29/'1A'!B$28)*100</f>
        <v>102.95736110668152</v>
      </c>
      <c r="C29" s="62">
        <f>('1A'!C29/'1A'!C$28)*100</f>
        <v>94.852379934662466</v>
      </c>
      <c r="D29" s="62">
        <f>('1A'!D29/'1A'!D$28)*100</f>
        <v>97.311889718552564</v>
      </c>
      <c r="E29" s="62">
        <f>('1A'!E29/'1A'!E$28)*100</f>
        <v>90.393694642787466</v>
      </c>
      <c r="F29" s="62">
        <f>('1A'!F29/'1A'!F$28)*100</f>
        <v>83.570646221248637</v>
      </c>
      <c r="G29" s="62">
        <f>('1A'!G29/'1A'!G$28)*100</f>
        <v>88.053949903660893</v>
      </c>
      <c r="H29" s="62">
        <f>('1A'!H29/'1A'!H$28)*100</f>
        <v>96.993810786914239</v>
      </c>
      <c r="I29" s="62">
        <f>('1A'!I29/'1A'!I$28)*100</f>
        <v>97.831387142307207</v>
      </c>
      <c r="J29" s="62">
        <f>('1A'!J29/'1A'!J$28)*100</f>
        <v>94.342544645017654</v>
      </c>
      <c r="K29" s="62">
        <f>('1A'!K29/'1A'!K$28)*100</f>
        <v>104.69121705205062</v>
      </c>
      <c r="L29" s="62">
        <f>'1A'!L29/'1A'!L$28*100</f>
        <v>101.84040371683606</v>
      </c>
      <c r="M29" s="62">
        <f>'1A'!M29/'1A'!M$28*100</f>
        <v>95.243183830488803</v>
      </c>
      <c r="N29" s="62">
        <f>'1A'!N29/'1A'!N$28*100</f>
        <v>99.322228604250427</v>
      </c>
      <c r="O29" s="62">
        <f>'1A'!O29/'1A'!O$28*100</f>
        <v>95.396020288724145</v>
      </c>
      <c r="P29" s="62">
        <f>'1A'!P29/'1A'!P$28*100</f>
        <v>88.280394304490699</v>
      </c>
      <c r="Q29" s="62">
        <f>'1A'!Q29/'1A'!Q$28*100</f>
        <v>95.761078998073216</v>
      </c>
      <c r="R29" s="62">
        <f>'1A'!R29/'1A'!R$28*100</f>
        <v>100.97259062776305</v>
      </c>
      <c r="S29" s="62">
        <f>'1A'!S29/'1A'!S$28*100</f>
        <v>93.978570511997944</v>
      </c>
      <c r="T29" s="62">
        <f>'1A'!T29/'1A'!T$28*100</f>
        <v>90.688670570585089</v>
      </c>
      <c r="U29" s="62">
        <f>'1A'!U29/'1A'!U$28*100</f>
        <v>100.41868874298218</v>
      </c>
      <c r="X29" s="44">
        <f t="shared" si="2"/>
        <v>1.8404037168360698</v>
      </c>
      <c r="Y29" s="44">
        <f t="shared" si="2"/>
        <v>-4.7568161695112021</v>
      </c>
      <c r="Z29" s="44">
        <f t="shared" si="2"/>
        <v>-0.67777139574957124</v>
      </c>
      <c r="AA29" s="44">
        <f t="shared" si="2"/>
        <v>-4.6039797112758514</v>
      </c>
      <c r="AB29" s="44">
        <f t="shared" si="8"/>
        <v>-6.0214294880020613</v>
      </c>
      <c r="AC29" s="44">
        <f t="shared" si="8"/>
        <v>-9.3113294294149167</v>
      </c>
      <c r="AD29" s="44">
        <f t="shared" si="8"/>
        <v>0.41868874298218728</v>
      </c>
      <c r="AE29" s="44"/>
      <c r="AF29" s="44" t="s">
        <v>2</v>
      </c>
      <c r="AG29" s="44" t="s">
        <v>23</v>
      </c>
      <c r="AH29" s="44" t="s">
        <v>3</v>
      </c>
      <c r="AI29" s="44" t="s">
        <v>4</v>
      </c>
      <c r="AJ29" s="44" t="s">
        <v>5</v>
      </c>
      <c r="AK29" s="44" t="s">
        <v>6</v>
      </c>
      <c r="AL29" s="44" t="s">
        <v>7</v>
      </c>
      <c r="AM29" s="44"/>
      <c r="AN29" s="44"/>
      <c r="AO29" s="44"/>
      <c r="AP29" s="44"/>
      <c r="AQ29" s="44"/>
      <c r="AR29" s="44"/>
      <c r="AS29" s="44"/>
      <c r="AT29" s="44"/>
      <c r="AU29" s="44"/>
    </row>
    <row r="30" spans="1:47">
      <c r="A30" s="115">
        <v>2009</v>
      </c>
      <c r="B30" s="62">
        <f>('1A'!B30/'1A'!B$28)*100</f>
        <v>103.8509270185579</v>
      </c>
      <c r="C30" s="62">
        <f>('1A'!C30/'1A'!C$28)*100</f>
        <v>80.140750465606217</v>
      </c>
      <c r="D30" s="62">
        <f>('1A'!D30/'1A'!D$28)*100</f>
        <v>96.588167719701318</v>
      </c>
      <c r="E30" s="62">
        <f>('1A'!E30/'1A'!E$28)*100</f>
        <v>66.935892933785951</v>
      </c>
      <c r="F30" s="62">
        <f>('1A'!F30/'1A'!F$28)*100</f>
        <v>52.464403066812707</v>
      </c>
      <c r="G30" s="62">
        <f>('1A'!G30/'1A'!G$28)*100</f>
        <v>73.02504816955684</v>
      </c>
      <c r="H30" s="62">
        <f>('1A'!H30/'1A'!H$28)*100</f>
        <v>75.862068965517238</v>
      </c>
      <c r="I30" s="62">
        <f>('1A'!I30/'1A'!I$28)*100</f>
        <v>86.404465546002825</v>
      </c>
      <c r="J30" s="62">
        <f>('1A'!J30/'1A'!J$28)*100</f>
        <v>82.151672070851276</v>
      </c>
      <c r="K30" s="62">
        <f>('1A'!K30/'1A'!K$28)*100</f>
        <v>94.766390712722412</v>
      </c>
      <c r="L30" s="62">
        <f>'1A'!L30/'1A'!L$28*100</f>
        <v>100.99930361018711</v>
      </c>
      <c r="M30" s="62">
        <f>'1A'!M30/'1A'!M$28*100</f>
        <v>84.986108142765545</v>
      </c>
      <c r="N30" s="62">
        <f>'1A'!N30/'1A'!N$28*100</f>
        <v>90.752441125789773</v>
      </c>
      <c r="O30" s="62">
        <f>'1A'!O30/'1A'!O$28*100</f>
        <v>83.183769020678895</v>
      </c>
      <c r="P30" s="62">
        <f>'1A'!P30/'1A'!P$28*100</f>
        <v>67.360350492880613</v>
      </c>
      <c r="Q30" s="62">
        <f>'1A'!Q30/'1A'!Q$28*100</f>
        <v>96.917148362235068</v>
      </c>
      <c r="R30" s="62">
        <f>'1A'!R30/'1A'!R$28*100</f>
        <v>89.743589743589752</v>
      </c>
      <c r="S30" s="62">
        <f>'1A'!S30/'1A'!S$28*100</f>
        <v>84.842166046451936</v>
      </c>
      <c r="T30" s="62">
        <f>'1A'!T30/'1A'!T$28*100</f>
        <v>77.742825339979674</v>
      </c>
      <c r="U30" s="62">
        <f>'1A'!U30/'1A'!U$28*100</f>
        <v>99.238747740032352</v>
      </c>
      <c r="X30" s="2">
        <f t="shared" si="2"/>
        <v>-0.82590020851409651</v>
      </c>
      <c r="Y30" s="2">
        <f t="shared" si="2"/>
        <v>-10.769354063151138</v>
      </c>
      <c r="Z30" s="2">
        <f t="shared" si="2"/>
        <v>-8.6282674068933645</v>
      </c>
      <c r="AA30" s="2">
        <f t="shared" si="2"/>
        <v>-12.801635991820037</v>
      </c>
      <c r="AB30" s="2">
        <f t="shared" si="8"/>
        <v>-9.7217955282471458</v>
      </c>
      <c r="AC30" s="2">
        <f t="shared" si="8"/>
        <v>-14.275041357596441</v>
      </c>
      <c r="AD30" s="2">
        <f t="shared" si="8"/>
        <v>-1.1750213209513638</v>
      </c>
      <c r="AE30" s="2">
        <v>1984</v>
      </c>
      <c r="AF30" s="2">
        <f t="shared" ref="AF30:AF34" si="14">(L5/$L$21)*100</f>
        <v>67.109727405819683</v>
      </c>
      <c r="AG30" s="2">
        <f t="shared" ref="AG30:AG34" si="15">(M5/$M$21)*100</f>
        <v>86.540457543009097</v>
      </c>
      <c r="AH30" s="2">
        <f t="shared" ref="AH30:AH34" si="16">(N5/$N$21)*100</f>
        <v>55.36699048928778</v>
      </c>
      <c r="AI30" s="2">
        <f t="shared" ref="AI30:AI34" si="17">(O5/$O$21)*100</f>
        <v>110.34746709486205</v>
      </c>
      <c r="AJ30" s="2">
        <f t="shared" ref="AJ30:AJ34" si="18">(S5/$S$21)*100</f>
        <v>77.508628314431704</v>
      </c>
      <c r="AK30" s="2">
        <f t="shared" ref="AK30:AK34" si="19">(T5/$T$21)*100</f>
        <v>83.374388170639648</v>
      </c>
      <c r="AL30" s="2">
        <f t="shared" ref="AL30:AL34" si="20">(U5/$U$21)*100</f>
        <v>67.598543259225394</v>
      </c>
      <c r="AM30" s="2"/>
      <c r="AN30" s="2"/>
      <c r="AO30" s="2"/>
      <c r="AP30" s="2"/>
      <c r="AQ30" s="2"/>
      <c r="AR30" s="2"/>
      <c r="AS30" s="2"/>
      <c r="AT30" s="2"/>
      <c r="AU30" s="2"/>
    </row>
    <row r="31" spans="1:47">
      <c r="A31" s="115">
        <v>2010</v>
      </c>
      <c r="B31" s="62">
        <f>('1A'!B31/'1A'!B$28)*100</f>
        <v>108.31682897654528</v>
      </c>
      <c r="C31" s="62">
        <f>('1A'!C31/'1A'!C$28)*100</f>
        <v>83.340457362684333</v>
      </c>
      <c r="D31" s="62">
        <f>('1A'!D31/'1A'!D$28)*100</f>
        <v>78.35726593911545</v>
      </c>
      <c r="E31" s="62">
        <f>('1A'!E31/'1A'!E$28)*100</f>
        <v>72.784736041203331</v>
      </c>
      <c r="F31" s="62">
        <f>('1A'!F31/'1A'!F$28)*100</f>
        <v>66.265060240963862</v>
      </c>
      <c r="G31" s="62">
        <f>('1A'!G31/'1A'!G$28)*100</f>
        <v>77.071290944123319</v>
      </c>
      <c r="H31" s="62">
        <f>('1A'!H31/'1A'!H$28)*100</f>
        <v>76.127320954907162</v>
      </c>
      <c r="I31" s="62">
        <f>('1A'!I31/'1A'!I$28)*100</f>
        <v>93.410753240087274</v>
      </c>
      <c r="J31" s="62">
        <f>('1A'!J31/'1A'!J$28)*100</f>
        <v>91.922760489764315</v>
      </c>
      <c r="K31" s="62">
        <f>('1A'!K31/'1A'!K$28)*100</f>
        <v>96.33647349890569</v>
      </c>
      <c r="L31" s="62">
        <f>'1A'!L31/'1A'!L$28*100</f>
        <v>103.07045873758931</v>
      </c>
      <c r="M31" s="62">
        <f>'1A'!M31/'1A'!M$28*100</f>
        <v>89.025432784783064</v>
      </c>
      <c r="N31" s="62">
        <f>'1A'!N31/'1A'!N$28*100</f>
        <v>100.08041355542791</v>
      </c>
      <c r="O31" s="62">
        <f>'1A'!O31/'1A'!O$28*100</f>
        <v>86.617245415528672</v>
      </c>
      <c r="P31" s="62">
        <f>'1A'!P31/'1A'!P$28*100</f>
        <v>76.67031763417306</v>
      </c>
      <c r="Q31" s="62">
        <f>'1A'!Q31/'1A'!Q$28*100</f>
        <v>98.843930635838149</v>
      </c>
      <c r="R31" s="62">
        <f>'1A'!R31/'1A'!R$28*100</f>
        <v>89.124668435013263</v>
      </c>
      <c r="S31" s="62">
        <f>'1A'!S31/'1A'!S$28*100</f>
        <v>87.931476966508413</v>
      </c>
      <c r="T31" s="62">
        <f>'1A'!T31/'1A'!T$28*100</f>
        <v>84.57145622610463</v>
      </c>
      <c r="U31" s="62">
        <f>'1A'!U31/'1A'!U$28*100</f>
        <v>94.376248929488995</v>
      </c>
      <c r="X31" s="2">
        <f t="shared" si="2"/>
        <v>2.0506627802068245</v>
      </c>
      <c r="Y31" s="2">
        <f t="shared" si="2"/>
        <v>4.7529234251225905</v>
      </c>
      <c r="Z31" s="2">
        <f t="shared" si="2"/>
        <v>10.278481012658226</v>
      </c>
      <c r="AA31" s="2">
        <f t="shared" si="2"/>
        <v>4.1275797373358181</v>
      </c>
      <c r="AB31" s="2">
        <f t="shared" si="8"/>
        <v>3.6412447536582793</v>
      </c>
      <c r="AC31" s="2">
        <f t="shared" si="8"/>
        <v>8.7836155378486112</v>
      </c>
      <c r="AD31" s="2">
        <f t="shared" si="8"/>
        <v>-4.8997986384121344</v>
      </c>
      <c r="AE31" s="2">
        <v>1985</v>
      </c>
      <c r="AF31" s="2">
        <f t="shared" si="14"/>
        <v>69.75353073075955</v>
      </c>
      <c r="AG31" s="2">
        <f t="shared" si="15"/>
        <v>83.90584071314359</v>
      </c>
      <c r="AH31" s="2">
        <f t="shared" si="16"/>
        <v>53.390670659519337</v>
      </c>
      <c r="AI31" s="2">
        <f t="shared" si="17"/>
        <v>106.54382863968495</v>
      </c>
      <c r="AJ31" s="2">
        <f t="shared" si="18"/>
        <v>75.540857973554452</v>
      </c>
      <c r="AK31" s="2">
        <f t="shared" si="19"/>
        <v>78.403723159209022</v>
      </c>
      <c r="AL31" s="2">
        <f t="shared" si="20"/>
        <v>71.933871520150689</v>
      </c>
      <c r="AM31" s="2"/>
      <c r="AN31" s="2"/>
      <c r="AO31" s="2"/>
      <c r="AP31" s="2"/>
      <c r="AQ31" s="2"/>
      <c r="AR31" s="2"/>
      <c r="AS31" s="2"/>
      <c r="AT31" s="2"/>
      <c r="AU31" s="2"/>
    </row>
    <row r="32" spans="1:47">
      <c r="A32" s="115">
        <v>2011</v>
      </c>
      <c r="B32" s="62">
        <f>('1A'!B32/'1A'!B$28)*100</f>
        <v>113.20021434927507</v>
      </c>
      <c r="C32" s="62">
        <f>('1A'!C32/'1A'!C$28)*100</f>
        <v>80.911672213232379</v>
      </c>
      <c r="D32" s="62">
        <f>('1A'!D32/'1A'!D$28)*100</f>
        <v>99.17288914417</v>
      </c>
      <c r="E32" s="62">
        <f>('1A'!E32/'1A'!E$28)*100</f>
        <v>69.94030200163877</v>
      </c>
      <c r="F32" s="62">
        <f>('1A'!F32/'1A'!F$28)*100</f>
        <v>56.078860898138004</v>
      </c>
      <c r="G32" s="62">
        <f>('1A'!G32/'1A'!G$28)*100</f>
        <v>64.932562620423894</v>
      </c>
      <c r="H32" s="62">
        <f>('1A'!H32/'1A'!H$28)*100</f>
        <v>83.377541998231649</v>
      </c>
      <c r="I32" s="62">
        <f>('1A'!I32/'1A'!I$28)*100</f>
        <v>84.832542024894138</v>
      </c>
      <c r="J32" s="62">
        <f>('1A'!J32/'1A'!J$28)*100</f>
        <v>83.96167061898079</v>
      </c>
      <c r="K32" s="62">
        <f>('1A'!K32/'1A'!K$28)*100</f>
        <v>86.535350651822242</v>
      </c>
      <c r="L32" s="62">
        <f>'1A'!L32/'1A'!L$28*100</f>
        <v>105.14476812181881</v>
      </c>
      <c r="M32" s="62">
        <f>'1A'!M32/'1A'!M$28*100</f>
        <v>88.109486153940111</v>
      </c>
      <c r="N32" s="62">
        <f>'1A'!N32/'1A'!N$28*100</f>
        <v>103.49224583572658</v>
      </c>
      <c r="O32" s="62">
        <f>'1A'!O32/'1A'!O$28*100</f>
        <v>86.929379633242291</v>
      </c>
      <c r="P32" s="62">
        <f>'1A'!P32/'1A'!P$28*100</f>
        <v>73.932092004381161</v>
      </c>
      <c r="Q32" s="62">
        <f>'1A'!Q32/'1A'!Q$28*100</f>
        <v>98.843930635838149</v>
      </c>
      <c r="R32" s="62">
        <f>'1A'!R32/'1A'!R$28*100</f>
        <v>91.8656056587091</v>
      </c>
      <c r="S32" s="62">
        <f>'1A'!S32/'1A'!S$28*100</f>
        <v>84.771589888361348</v>
      </c>
      <c r="T32" s="62">
        <f>'1A'!T32/'1A'!T$28*100</f>
        <v>83.559986449208722</v>
      </c>
      <c r="U32" s="62">
        <f>'1A'!U32/'1A'!U$28*100</f>
        <v>86.858882862308491</v>
      </c>
      <c r="X32" s="2">
        <f t="shared" si="2"/>
        <v>2.012515913517543</v>
      </c>
      <c r="Y32" s="2">
        <f t="shared" si="2"/>
        <v>-1.0288595092339925</v>
      </c>
      <c r="Z32" s="2">
        <f t="shared" si="2"/>
        <v>3.409090909090895</v>
      </c>
      <c r="AA32" s="2">
        <f t="shared" si="2"/>
        <v>0.36036036036035668</v>
      </c>
      <c r="AB32" s="2">
        <f t="shared" si="8"/>
        <v>-3.5935789857716283</v>
      </c>
      <c r="AC32" s="2">
        <f t="shared" si="8"/>
        <v>-1.1959942775393473</v>
      </c>
      <c r="AD32" s="2">
        <f t="shared" si="8"/>
        <v>-7.9653155878201209</v>
      </c>
      <c r="AE32" s="2">
        <v>1986</v>
      </c>
      <c r="AF32" s="2">
        <f t="shared" si="14"/>
        <v>71.839108450347126</v>
      </c>
      <c r="AG32" s="2">
        <f t="shared" si="15"/>
        <v>83.974238288308584</v>
      </c>
      <c r="AH32" s="2">
        <f t="shared" si="16"/>
        <v>55.286126442960324</v>
      </c>
      <c r="AI32" s="2">
        <f t="shared" si="17"/>
        <v>105.72652814332922</v>
      </c>
      <c r="AJ32" s="2">
        <f t="shared" si="18"/>
        <v>75.774171747504766</v>
      </c>
      <c r="AK32" s="2">
        <f t="shared" si="19"/>
        <v>82.550311897508493</v>
      </c>
      <c r="AL32" s="2">
        <f t="shared" si="20"/>
        <v>63.877177671090088</v>
      </c>
      <c r="AM32" s="2"/>
      <c r="AN32" s="2"/>
      <c r="AO32" s="2"/>
      <c r="AP32" s="2"/>
      <c r="AQ32" s="2"/>
      <c r="AR32" s="2"/>
      <c r="AS32" s="2"/>
      <c r="AT32" s="2"/>
      <c r="AU32" s="2"/>
    </row>
    <row r="33" spans="1:47">
      <c r="A33" s="115">
        <v>2012</v>
      </c>
      <c r="B33" s="10" t="s">
        <v>10</v>
      </c>
      <c r="C33" s="10" t="s">
        <v>10</v>
      </c>
      <c r="D33" s="10" t="s">
        <v>10</v>
      </c>
      <c r="E33" s="10" t="s">
        <v>10</v>
      </c>
      <c r="F33" s="29" t="s">
        <v>10</v>
      </c>
      <c r="G33" s="29" t="s">
        <v>10</v>
      </c>
      <c r="H33" s="29" t="s">
        <v>10</v>
      </c>
      <c r="I33" s="10" t="s">
        <v>10</v>
      </c>
      <c r="J33" s="10" t="s">
        <v>10</v>
      </c>
      <c r="K33" s="10" t="s">
        <v>10</v>
      </c>
      <c r="L33" s="62">
        <f>'1A'!L33/'1A'!L$28*100</f>
        <v>106.55815555883441</v>
      </c>
      <c r="M33" s="62">
        <f>'1A'!M33/'1A'!M$28*100</f>
        <v>85.86389033065673</v>
      </c>
      <c r="N33" s="62">
        <f>'1A'!N33/'1A'!N$28*100</f>
        <v>103.57265939115452</v>
      </c>
      <c r="O33" s="62">
        <f>'1A'!O33/'1A'!O$28*100</f>
        <v>88.099882949668356</v>
      </c>
      <c r="P33" s="62">
        <f>'1A'!P33/'1A'!P$28*100</f>
        <v>76.67031763417306</v>
      </c>
      <c r="Q33" s="62">
        <f>'1A'!Q33/'1A'!Q$28*100</f>
        <v>92.678227360308284</v>
      </c>
      <c r="R33" s="62">
        <f>'1A'!R33/'1A'!R$28*100</f>
        <v>94.518125552608311</v>
      </c>
      <c r="S33" s="62">
        <f>'1A'!S33/'1A'!S$28*100</f>
        <v>79.064545104581043</v>
      </c>
      <c r="T33" s="62">
        <f>'1A'!T33/'1A'!T$28*100</f>
        <v>78.860765619706712</v>
      </c>
      <c r="U33" s="62">
        <f>'1A'!U33/'1A'!U$28*100</f>
        <v>79.179750689884855</v>
      </c>
      <c r="X33" s="2">
        <f t="shared" si="2"/>
        <v>1.3442299243820344</v>
      </c>
      <c r="Y33" s="2">
        <f t="shared" si="2"/>
        <v>-2.5486425143372182</v>
      </c>
      <c r="Z33" s="2">
        <f t="shared" si="2"/>
        <v>7.7700077700093573E-2</v>
      </c>
      <c r="AA33" s="2">
        <f t="shared" si="2"/>
        <v>1.3464991023339312</v>
      </c>
      <c r="AB33" s="2">
        <f t="shared" si="8"/>
        <v>-6.7322611163670665</v>
      </c>
      <c r="AC33" s="2">
        <f t="shared" si="8"/>
        <v>-5.6237692575002889</v>
      </c>
      <c r="AD33" s="2">
        <f t="shared" si="8"/>
        <v>-8.8409290096406643</v>
      </c>
      <c r="AE33" s="2">
        <v>1987</v>
      </c>
      <c r="AF33" s="2">
        <f t="shared" si="14"/>
        <v>75.193922229765576</v>
      </c>
      <c r="AG33" s="2">
        <f t="shared" si="15"/>
        <v>79.618976415398734</v>
      </c>
      <c r="AH33" s="2">
        <f t="shared" si="16"/>
        <v>45.060142062887081</v>
      </c>
      <c r="AI33" s="2">
        <f t="shared" si="17"/>
        <v>98.962668682920835</v>
      </c>
      <c r="AJ33" s="2">
        <f t="shared" si="18"/>
        <v>74.643700872468671</v>
      </c>
      <c r="AK33" s="2">
        <f t="shared" si="19"/>
        <v>79.717003721690119</v>
      </c>
      <c r="AL33" s="2">
        <f t="shared" si="20"/>
        <v>66.320498511785004</v>
      </c>
      <c r="AM33" s="2"/>
      <c r="AN33" s="2"/>
      <c r="AO33" s="2"/>
      <c r="AP33" s="2"/>
      <c r="AQ33" s="2"/>
      <c r="AR33" s="2"/>
      <c r="AS33" s="2"/>
      <c r="AT33" s="2"/>
      <c r="AU33" s="2"/>
    </row>
    <row r="34" spans="1:47">
      <c r="A34" s="115">
        <v>2013</v>
      </c>
      <c r="B34" s="10" t="s">
        <v>10</v>
      </c>
      <c r="C34" s="10" t="s">
        <v>10</v>
      </c>
      <c r="D34" s="10" t="s">
        <v>10</v>
      </c>
      <c r="E34" s="10" t="s">
        <v>10</v>
      </c>
      <c r="F34" s="29" t="s">
        <v>10</v>
      </c>
      <c r="G34" s="29" t="s">
        <v>10</v>
      </c>
      <c r="H34" s="29" t="s">
        <v>10</v>
      </c>
      <c r="I34" s="10" t="s">
        <v>10</v>
      </c>
      <c r="J34" s="10" t="s">
        <v>10</v>
      </c>
      <c r="K34" s="10" t="s">
        <v>10</v>
      </c>
      <c r="L34" s="62">
        <f>'1A'!L34/'1A'!L$28*100</f>
        <v>107.72940121340756</v>
      </c>
      <c r="M34" s="62">
        <f>'1A'!M34/'1A'!M$28*100</f>
        <v>88.680426220498887</v>
      </c>
      <c r="N34" s="62">
        <f>'1A'!N34/'1A'!N$28*100</f>
        <v>105.35324526134406</v>
      </c>
      <c r="O34" s="62">
        <f>'1A'!O34/'1A'!O$28*100</f>
        <v>95.044869293796324</v>
      </c>
      <c r="P34" s="62">
        <f>'1A'!P34/'1A'!P$28*100</f>
        <v>82.365826944140196</v>
      </c>
      <c r="Q34" s="62">
        <f>'1A'!Q34/'1A'!Q$28*100</f>
        <v>103.85356454720616</v>
      </c>
      <c r="R34" s="62">
        <f>'1A'!R34/'1A'!R$28*100</f>
        <v>100.8841732979664</v>
      </c>
      <c r="S34" s="62">
        <f>'1A'!S34/'1A'!S$28*100</f>
        <v>78.78224047221866</v>
      </c>
      <c r="T34" s="62">
        <f>'1A'!T34/'1A'!T$28*100</f>
        <v>78.841407346464692</v>
      </c>
      <c r="U34" s="62">
        <f>'1A'!U34/'1A'!U$28*100</f>
        <v>78.380435816918819</v>
      </c>
      <c r="X34" s="2">
        <f t="shared" si="2"/>
        <v>1.0991609684220416</v>
      </c>
      <c r="Y34" s="2">
        <f t="shared" si="2"/>
        <v>3.2802332610319063</v>
      </c>
      <c r="Z34" s="2">
        <f t="shared" si="2"/>
        <v>1.7191659272404625</v>
      </c>
      <c r="AA34" s="2">
        <f t="shared" si="2"/>
        <v>7.8830823737821021</v>
      </c>
      <c r="AB34" s="2">
        <f t="shared" si="8"/>
        <v>-0.35705591170981377</v>
      </c>
      <c r="AC34" s="2">
        <f t="shared" si="8"/>
        <v>-2.4547407180108838E-2</v>
      </c>
      <c r="AD34" s="2">
        <f t="shared" si="8"/>
        <v>-1.0094940511957806</v>
      </c>
      <c r="AE34" s="2">
        <v>1988</v>
      </c>
      <c r="AF34" s="2">
        <f t="shared" si="14"/>
        <v>78.366367089206761</v>
      </c>
      <c r="AG34" s="2">
        <f t="shared" si="15"/>
        <v>76.203878220529774</v>
      </c>
      <c r="AH34" s="2">
        <f t="shared" si="16"/>
        <v>43.777405165802847</v>
      </c>
      <c r="AI34" s="2">
        <f t="shared" si="17"/>
        <v>88.484697342077965</v>
      </c>
      <c r="AJ34" s="2">
        <f t="shared" si="18"/>
        <v>75.729235859188222</v>
      </c>
      <c r="AK34" s="2">
        <f t="shared" si="19"/>
        <v>80.054787635765081</v>
      </c>
      <c r="AL34" s="2">
        <f t="shared" si="20"/>
        <v>69.026946212247026</v>
      </c>
      <c r="AM34" s="2"/>
      <c r="AN34" s="2"/>
      <c r="AO34" s="2"/>
      <c r="AP34" s="2"/>
      <c r="AQ34" s="2"/>
      <c r="AR34" s="2"/>
      <c r="AS34" s="2"/>
      <c r="AT34" s="2"/>
      <c r="AU34" s="2"/>
    </row>
    <row r="35" spans="1:47">
      <c r="A35" s="115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</row>
    <row r="36" spans="1:47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X36" s="2"/>
      <c r="Y36" s="2"/>
      <c r="Z36" s="2"/>
      <c r="AA36" s="2"/>
      <c r="AB36" s="2"/>
      <c r="AC36" s="2"/>
      <c r="AD36" s="2"/>
      <c r="AE36" s="2">
        <v>1989</v>
      </c>
      <c r="AF36" s="2">
        <f t="shared" ref="AF36" si="21">(L10/$L$21)*100</f>
        <v>79.615698430226828</v>
      </c>
      <c r="AG36" s="2">
        <f>(M10/$M$21)*100</f>
        <v>77.869235716661535</v>
      </c>
      <c r="AH36" s="2">
        <f t="shared" ref="AH36" si="22">(N10/$N$21)*100</f>
        <v>43.170612463267815</v>
      </c>
      <c r="AI36" s="2">
        <f>(O10/$O$21)*100</f>
        <v>98.314605834737037</v>
      </c>
      <c r="AJ36" s="2">
        <f>(S10/$S$21)*100</f>
        <v>72.142696306202751</v>
      </c>
      <c r="AK36" s="2">
        <f t="shared" ref="AK36" si="23">(T10/$T$21)*100</f>
        <v>73.610685895697131</v>
      </c>
      <c r="AL36" s="2">
        <f>(U10/$U$21)*100</f>
        <v>71.382558099686193</v>
      </c>
      <c r="AM36" s="2"/>
      <c r="AN36" s="2"/>
      <c r="AO36" s="2"/>
      <c r="AP36" s="2"/>
      <c r="AQ36" s="2"/>
      <c r="AR36" s="2"/>
      <c r="AS36" s="2"/>
      <c r="AT36" s="2"/>
      <c r="AU36" s="2"/>
    </row>
    <row r="37" spans="1:47" ht="30" customHeight="1">
      <c r="A37" s="115" t="s">
        <v>29</v>
      </c>
      <c r="B37" s="7">
        <f>((B21/B5)^(1/16)-1)*100</f>
        <v>5.2653062254551353</v>
      </c>
      <c r="C37" s="7">
        <f t="shared" ref="C37:K37" si="24">((C21/C5)^(1/16)-1)*100</f>
        <v>6.4592665138088812</v>
      </c>
      <c r="D37" s="7">
        <f t="shared" si="24"/>
        <v>5.7204834272919225</v>
      </c>
      <c r="E37" s="7">
        <f t="shared" si="24"/>
        <v>9.0194933979142355</v>
      </c>
      <c r="F37" s="7" t="s">
        <v>10</v>
      </c>
      <c r="G37" s="7" t="s">
        <v>10</v>
      </c>
      <c r="H37" s="7" t="s">
        <v>10</v>
      </c>
      <c r="I37" s="7">
        <f t="shared" si="24"/>
        <v>5.3548667245187698</v>
      </c>
      <c r="J37" s="7">
        <f t="shared" si="24"/>
        <v>4.8483911826863846</v>
      </c>
      <c r="K37" s="7">
        <f t="shared" si="24"/>
        <v>7.6611198694965577</v>
      </c>
      <c r="L37" s="11">
        <v>2.5240863723126283</v>
      </c>
      <c r="M37" s="11">
        <v>0.90758230307728116</v>
      </c>
      <c r="N37" s="11">
        <v>3.7640269067226173</v>
      </c>
      <c r="O37" s="11">
        <v>-0.61402405409158867</v>
      </c>
      <c r="P37" s="7" t="s">
        <v>10</v>
      </c>
      <c r="Q37" s="7" t="s">
        <v>10</v>
      </c>
      <c r="R37" s="7" t="s">
        <v>10</v>
      </c>
      <c r="S37" s="11">
        <v>1.6051267144392867</v>
      </c>
      <c r="T37" s="11">
        <v>1.1429132876353831</v>
      </c>
      <c r="U37" s="11">
        <v>2.4775930740042584</v>
      </c>
      <c r="X37" s="2"/>
      <c r="Y37" s="2"/>
      <c r="Z37" s="2"/>
      <c r="AA37" s="2"/>
      <c r="AB37" s="2"/>
      <c r="AC37" s="2"/>
      <c r="AD37" s="2"/>
      <c r="AE37" s="2">
        <v>1991</v>
      </c>
      <c r="AF37" s="2">
        <f>(L12/$L$21)*100</f>
        <v>77.959189013383821</v>
      </c>
      <c r="AG37" s="2">
        <f>(M12/$M$21)*100</f>
        <v>86.688282033852019</v>
      </c>
      <c r="AH37" s="2">
        <f>(N12/$N$21)*100</f>
        <v>60.306594542743838</v>
      </c>
      <c r="AI37" s="2">
        <f>(O12/$O$21)*100</f>
        <v>108.77698949356369</v>
      </c>
      <c r="AJ37" s="2">
        <f>(S12/$S$21)*100</f>
        <v>77.656981615588265</v>
      </c>
      <c r="AK37" s="2">
        <f>(T12/$T$21)*100</f>
        <v>79.009404660308959</v>
      </c>
      <c r="AL37" s="2">
        <f>(U12/$U$21)*100</f>
        <v>77.321707220144575</v>
      </c>
      <c r="AM37" s="2"/>
      <c r="AN37" s="2"/>
      <c r="AO37" s="2"/>
      <c r="AP37" s="2"/>
      <c r="AQ37" s="2"/>
      <c r="AR37" s="2"/>
      <c r="AS37" s="2"/>
      <c r="AT37" s="2"/>
      <c r="AU37" s="2"/>
    </row>
    <row r="38" spans="1:47" ht="30" customHeight="1">
      <c r="A38" s="325" t="s">
        <v>68</v>
      </c>
      <c r="B38" s="7">
        <f>((B28/B21)^(1/7)-1)*100</f>
        <v>4.5261604444237324</v>
      </c>
      <c r="C38" s="7">
        <f t="shared" ref="C38:U38" si="25">((C28/C21)^(1/7)-1)*100</f>
        <v>-4.8775781273064256</v>
      </c>
      <c r="D38" s="7">
        <f t="shared" si="25"/>
        <v>-4.3104865274945841</v>
      </c>
      <c r="E38" s="7">
        <f t="shared" si="25"/>
        <v>-3.288051288540994</v>
      </c>
      <c r="F38" s="7" t="s">
        <v>10</v>
      </c>
      <c r="G38" s="7" t="s">
        <v>10</v>
      </c>
      <c r="H38" s="7" t="s">
        <v>10</v>
      </c>
      <c r="I38" s="7">
        <f t="shared" si="25"/>
        <v>-6.1814278523601773</v>
      </c>
      <c r="J38" s="7">
        <f t="shared" si="25"/>
        <v>-8.4223074726016538</v>
      </c>
      <c r="K38" s="7">
        <f t="shared" si="25"/>
        <v>5.1763415179073569E-2</v>
      </c>
      <c r="L38" s="7">
        <f t="shared" si="25"/>
        <v>1.8057620553368237</v>
      </c>
      <c r="M38" s="7">
        <f t="shared" si="25"/>
        <v>-0.2547220932956118</v>
      </c>
      <c r="N38" s="7">
        <f t="shared" si="25"/>
        <v>6.2517577924459111E-2</v>
      </c>
      <c r="O38" s="7">
        <f t="shared" si="25"/>
        <v>0.83543753789112607</v>
      </c>
      <c r="P38" s="7">
        <f t="shared" si="25"/>
        <v>-1.1357645246177328</v>
      </c>
      <c r="Q38" s="7">
        <f t="shared" si="25"/>
        <v>3.9773174916057918</v>
      </c>
      <c r="R38" s="7">
        <f t="shared" si="25"/>
        <v>0.9713658599822983</v>
      </c>
      <c r="S38" s="7">
        <f t="shared" si="25"/>
        <v>-1.1667518838158975</v>
      </c>
      <c r="T38" s="7">
        <f t="shared" si="25"/>
        <v>-1.370128127303949</v>
      </c>
      <c r="U38" s="7">
        <f t="shared" si="25"/>
        <v>-0.30084760981717862</v>
      </c>
      <c r="X38" s="2"/>
      <c r="Y38" s="2"/>
      <c r="Z38" s="2"/>
      <c r="AA38" s="2"/>
      <c r="AB38" s="2"/>
      <c r="AC38" s="2"/>
      <c r="AD38" s="2"/>
      <c r="AE38" s="2">
        <v>1992</v>
      </c>
      <c r="AF38" s="2">
        <f>(L13/$L$21)*100</f>
        <v>78.503466424257724</v>
      </c>
      <c r="AG38" s="2"/>
      <c r="AH38" s="2">
        <f>(N13/$N$21)*100</f>
        <v>63.179074524173792</v>
      </c>
      <c r="AI38" s="2">
        <f>(O13/$O$21)*100</f>
        <v>107.26427045110407</v>
      </c>
      <c r="AJ38" s="2"/>
      <c r="AK38" s="2">
        <f>(T13/$T$21)*100</f>
        <v>80.130497823402564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30" customHeight="1">
      <c r="A39" s="115" t="s">
        <v>69</v>
      </c>
      <c r="B39" s="7" t="s">
        <v>10</v>
      </c>
      <c r="C39" s="7" t="s">
        <v>10</v>
      </c>
      <c r="D39" s="7" t="s">
        <v>10</v>
      </c>
      <c r="E39" s="7" t="s">
        <v>10</v>
      </c>
      <c r="F39" s="7" t="s">
        <v>10</v>
      </c>
      <c r="G39" s="7" t="s">
        <v>10</v>
      </c>
      <c r="H39" s="7" t="s">
        <v>10</v>
      </c>
      <c r="I39" s="7" t="s">
        <v>10</v>
      </c>
      <c r="J39" s="7" t="s">
        <v>10</v>
      </c>
      <c r="K39" s="7" t="s">
        <v>10</v>
      </c>
      <c r="L39" s="11">
        <f>((L34/L28)^(1/6)-1)*100</f>
        <v>1.2486033113679129</v>
      </c>
      <c r="M39" s="11">
        <f t="shared" ref="M39:U39" si="26">((M34/M28)^(1/6)-1)*100</f>
        <v>-1.9822726643278776</v>
      </c>
      <c r="N39" s="11">
        <f t="shared" si="26"/>
        <v>0.87293401279902039</v>
      </c>
      <c r="O39" s="11">
        <f t="shared" si="26"/>
        <v>-0.84344119897061809</v>
      </c>
      <c r="P39" s="11">
        <f t="shared" si="26"/>
        <v>-3.1816128106715524</v>
      </c>
      <c r="Q39" s="11">
        <f t="shared" si="26"/>
        <v>0.63218470101829016</v>
      </c>
      <c r="R39" s="11">
        <f t="shared" si="26"/>
        <v>0.14682224090030171</v>
      </c>
      <c r="S39" s="11">
        <f t="shared" si="26"/>
        <v>-3.8967544747670391</v>
      </c>
      <c r="T39" s="11">
        <f t="shared" si="26"/>
        <v>-3.8847290273695045</v>
      </c>
      <c r="U39" s="11">
        <f t="shared" si="26"/>
        <v>-3.9786194723289148</v>
      </c>
      <c r="X39" s="2"/>
      <c r="Y39" s="2"/>
      <c r="Z39" s="2"/>
      <c r="AA39" s="2"/>
      <c r="AB39" s="2"/>
      <c r="AC39" s="2"/>
      <c r="AD39" s="2"/>
      <c r="AE39" s="2">
        <v>1993</v>
      </c>
      <c r="AF39" s="2">
        <f>(L14/$L$21)*100</f>
        <v>80.387564708301539</v>
      </c>
      <c r="AG39" s="2"/>
      <c r="AH39" s="2">
        <f>(N14/$N$21)*100</f>
        <v>66.77093778409629</v>
      </c>
      <c r="AI39" s="2">
        <f>(O14/$O$21)*100</f>
        <v>99.755262434237522</v>
      </c>
      <c r="AJ39" s="2"/>
      <c r="AK39" s="2">
        <f>(T14/$T$21)*100</f>
        <v>87.852936962426625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s="259" customFormat="1" ht="30" customHeight="1">
      <c r="A40" s="325" t="s">
        <v>15</v>
      </c>
      <c r="B40" s="7" t="s">
        <v>10</v>
      </c>
      <c r="C40" s="7" t="s">
        <v>10</v>
      </c>
      <c r="D40" s="7" t="s">
        <v>10</v>
      </c>
      <c r="E40" s="7" t="s">
        <v>10</v>
      </c>
      <c r="F40" s="7" t="s">
        <v>10</v>
      </c>
      <c r="G40" s="7" t="s">
        <v>10</v>
      </c>
      <c r="H40" s="7" t="s">
        <v>10</v>
      </c>
      <c r="I40" s="7" t="s">
        <v>10</v>
      </c>
      <c r="J40" s="7" t="s">
        <v>10</v>
      </c>
      <c r="K40" s="7" t="s">
        <v>10</v>
      </c>
      <c r="L40" s="7">
        <f t="shared" ref="L40:U40" si="27">((L34/L21)^(1/13)-1)*100</f>
        <v>1.5482319043684134</v>
      </c>
      <c r="M40" s="7">
        <f t="shared" si="27"/>
        <v>-1.0558044506406739</v>
      </c>
      <c r="N40" s="7">
        <f t="shared" si="27"/>
        <v>0.4357437018724708</v>
      </c>
      <c r="O40" s="7">
        <f t="shared" si="27"/>
        <v>5.706702822898535E-2</v>
      </c>
      <c r="P40" s="7">
        <f t="shared" si="27"/>
        <v>-2.0853194254902063</v>
      </c>
      <c r="Q40" s="7">
        <f t="shared" si="27"/>
        <v>2.4198120626695685</v>
      </c>
      <c r="R40" s="7">
        <f t="shared" si="27"/>
        <v>0.58996706015261857</v>
      </c>
      <c r="S40" s="7">
        <f t="shared" si="27"/>
        <v>-2.4362585327697306</v>
      </c>
      <c r="T40" s="7">
        <f t="shared" si="27"/>
        <v>-2.5387854339564808</v>
      </c>
      <c r="U40" s="7">
        <f t="shared" si="27"/>
        <v>-2.015465534661165</v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>
      <c r="X41" s="2"/>
      <c r="Y41" s="2"/>
      <c r="Z41" s="2"/>
      <c r="AA41" s="2"/>
      <c r="AB41" s="2"/>
      <c r="AC41" s="2"/>
      <c r="AD41" s="2"/>
      <c r="AE41" s="2">
        <v>1995</v>
      </c>
      <c r="AF41" s="2">
        <f>(L16/$L$21)*100</f>
        <v>84.00640142875406</v>
      </c>
      <c r="AG41" s="2"/>
      <c r="AH41" s="2">
        <f>(N16/$N$21)*100</f>
        <v>61.899598926891777</v>
      </c>
      <c r="AI41" s="2">
        <f t="shared" ref="AI41:AI44" si="28">(O16/$O$21)*100</f>
        <v>108.74483550243916</v>
      </c>
      <c r="AJ41" s="2"/>
      <c r="AK41" s="2">
        <f>(T16/$T$21)*100</f>
        <v>93.799098622263372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s="116" customFormat="1">
      <c r="A42" s="116" t="s">
        <v>39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84.324777654321323</v>
      </c>
      <c r="AG42" s="24"/>
      <c r="AH42" s="24">
        <f>(N17/$N$21)*100</f>
        <v>62.307142500479827</v>
      </c>
      <c r="AI42" s="24">
        <f t="shared" si="28"/>
        <v>95.201598568646432</v>
      </c>
      <c r="AJ42" s="24"/>
      <c r="AK42" s="24">
        <f>(T17/$T$21)*100</f>
        <v>81.935894605527338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116" customFormat="1" ht="15" customHeight="1">
      <c r="A43" s="116" t="s">
        <v>9</v>
      </c>
      <c r="B43" s="28" t="s">
        <v>42</v>
      </c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86.924403423795837</v>
      </c>
      <c r="AG43" s="24">
        <f t="shared" ref="AG43:AG44" si="29">(M18/$M$21)*100</f>
        <v>84.402836201299024</v>
      </c>
      <c r="AH43" s="24">
        <f>(N18/$N$21)*100</f>
        <v>61.659166955117108</v>
      </c>
      <c r="AI43" s="24">
        <f t="shared" si="28"/>
        <v>82.754342431761785</v>
      </c>
      <c r="AJ43" s="24">
        <f t="shared" ref="AJ43:AJ44" si="30">(S18/$S$21)*100</f>
        <v>91.40059498595862</v>
      </c>
      <c r="AK43" s="24">
        <f>(T18/$T$21)*100</f>
        <v>92.54405666565728</v>
      </c>
      <c r="AL43" s="24">
        <f t="shared" ref="AL43:AL44" si="31">(U18/$U$21)*100</f>
        <v>91.95657256338373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116" customFormat="1">
      <c r="A44" s="116" t="s">
        <v>10</v>
      </c>
      <c r="B44" s="28" t="s">
        <v>43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89.824547743773849</v>
      </c>
      <c r="AG44" s="24">
        <f t="shared" si="29"/>
        <v>89.605014545781714</v>
      </c>
      <c r="AH44" s="24">
        <f>(N19/$N$21)*100</f>
        <v>70.820353063343717</v>
      </c>
      <c r="AI44" s="24">
        <f t="shared" si="28"/>
        <v>89.164598842018194</v>
      </c>
      <c r="AJ44" s="24">
        <f t="shared" si="30"/>
        <v>94.73419816199285</v>
      </c>
      <c r="AK44" s="24">
        <f>(T19/$T$21)*100</f>
        <v>90.126548905879247</v>
      </c>
      <c r="AL44" s="24">
        <f t="shared" si="31"/>
        <v>113.14637100531073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131" customFormat="1">
      <c r="A45" s="231" t="s">
        <v>144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116" customFormat="1">
      <c r="A46" s="116" t="s">
        <v>41</v>
      </c>
      <c r="X46" s="24"/>
      <c r="Y46" s="24"/>
      <c r="Z46" s="24"/>
      <c r="AA46" s="24"/>
      <c r="AB46" s="24"/>
      <c r="AC46" s="24"/>
      <c r="AD46" s="24"/>
      <c r="AE46" s="24">
        <v>2003</v>
      </c>
      <c r="AF46" s="24">
        <f>(L24/$L$21)*100</f>
        <v>105.27639877759034</v>
      </c>
      <c r="AG46" s="24">
        <f>(M24/$M$21)*100</f>
        <v>104.49719581321415</v>
      </c>
      <c r="AH46" s="24">
        <f>(N24/$N$21)*100</f>
        <v>97.646244375216341</v>
      </c>
      <c r="AI46" s="24">
        <f>(O24/$O$21)*100</f>
        <v>114.55748552522745</v>
      </c>
      <c r="AJ46" s="24">
        <f>(S24/$S$21)*100</f>
        <v>99.066221447356753</v>
      </c>
      <c r="AK46" s="24">
        <f>(T24/$T$21)*100</f>
        <v>96.541875384480178</v>
      </c>
      <c r="AL46" s="24">
        <f>(U24/$U$21)*100</f>
        <v>108.32013416565731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116" customFormat="1" ht="15" customHeight="1">
      <c r="A47" s="28" t="s">
        <v>145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>
        <v>2004</v>
      </c>
      <c r="AF47" s="24">
        <f>(L25/$L$21)*100</f>
        <v>107.61539142970528</v>
      </c>
      <c r="AG47" s="24">
        <f>(M25/$M$21)*100</f>
        <v>100.25192694118704</v>
      </c>
      <c r="AH47" s="24">
        <f>(N25/$N$21)*100</f>
        <v>111.19187723549094</v>
      </c>
      <c r="AI47" s="24">
        <f>(O25/$O$21)*100</f>
        <v>107.27874276261373</v>
      </c>
      <c r="AJ47" s="24">
        <f>(S25/$S$21)*100</f>
        <v>92.417481752903257</v>
      </c>
      <c r="AK47" s="24">
        <f>(T25/$T$21)*100</f>
        <v>85.956586694788641</v>
      </c>
      <c r="AL47" s="24">
        <f>(U25/$U$21)*100</f>
        <v>111.64632442001306</v>
      </c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>
      <c r="X48" s="3"/>
      <c r="Y48" s="3"/>
      <c r="Z48" s="3"/>
      <c r="AA48" s="3"/>
      <c r="AB48" s="2"/>
      <c r="AC48" s="2"/>
      <c r="AD48" s="2"/>
      <c r="AE48" s="2">
        <v>2011</v>
      </c>
      <c r="AF48" s="2">
        <f>(L32/$L$21)*100</f>
        <v>119.17747543720058</v>
      </c>
      <c r="AG48" s="2">
        <f>(M32/$M$21)*100</f>
        <v>86.550400383888686</v>
      </c>
      <c r="AH48" s="2">
        <f>(N32/$N$21)*100</f>
        <v>103.94600207684319</v>
      </c>
      <c r="AI48" s="2">
        <f>(O32/$O$21)*100</f>
        <v>92.14226633581471</v>
      </c>
      <c r="AJ48" s="2">
        <f>(S32/$S$21)*100</f>
        <v>78.085753967081345</v>
      </c>
      <c r="AK48" s="2">
        <f>(T32/$T$21)*100</f>
        <v>75.867826698303887</v>
      </c>
      <c r="AL48" s="2">
        <f>(U32/$U$21)*100</f>
        <v>85.046119444703265</v>
      </c>
      <c r="AM48" s="2"/>
      <c r="AN48" s="3"/>
      <c r="AO48" s="3"/>
      <c r="AP48" s="3"/>
      <c r="AQ48" s="3"/>
      <c r="AR48" s="3"/>
      <c r="AS48" s="3"/>
      <c r="AT48" s="3"/>
    </row>
    <row r="49" spans="24:46">
      <c r="X49" s="3"/>
      <c r="Y49" s="3"/>
      <c r="Z49" s="3"/>
      <c r="AA49" s="3"/>
      <c r="AB49" s="2"/>
      <c r="AC49" s="2"/>
      <c r="AD49" s="2"/>
      <c r="AE49" s="2">
        <v>2012</v>
      </c>
      <c r="AF49" s="2">
        <f>(L33/$L$21)*100</f>
        <v>120.77949472515049</v>
      </c>
      <c r="AG49" s="2">
        <f>(M33/$M$21)*100</f>
        <v>84.344540083375819</v>
      </c>
      <c r="AH49" s="2">
        <f>(N33/$N$21)*100</f>
        <v>104.02676820122305</v>
      </c>
      <c r="AI49" s="2">
        <f>(O33/$O$21)*100</f>
        <v>93.382961124896596</v>
      </c>
      <c r="AJ49" s="2">
        <f>(S33/$S$21)*100</f>
        <v>72.828817115333464</v>
      </c>
      <c r="AK49" s="2">
        <f>(T33/$T$21)*100</f>
        <v>71.601195184111077</v>
      </c>
      <c r="AL49" s="2">
        <f>(U33/$U$21)*100</f>
        <v>77.527252399142839</v>
      </c>
      <c r="AM49" s="2"/>
      <c r="AN49" s="3"/>
      <c r="AO49" s="3"/>
      <c r="AP49" s="3"/>
      <c r="AQ49" s="3"/>
      <c r="AR49" s="3"/>
      <c r="AS49" s="3"/>
      <c r="AT49" s="3"/>
    </row>
    <row r="50" spans="24:46">
      <c r="X50" s="3"/>
      <c r="Y50" s="3"/>
      <c r="Z50" s="3"/>
      <c r="AA50" s="3"/>
      <c r="AB50" s="2"/>
      <c r="AC50" s="2"/>
      <c r="AD50" s="2"/>
      <c r="AE50" s="2">
        <v>2013</v>
      </c>
      <c r="AF50" s="2">
        <f>(L34/$L$21)*100</f>
        <v>122.1070557890267</v>
      </c>
      <c r="AG50" s="2">
        <f>(M34/$M$21)*100</f>
        <v>87.111237741055106</v>
      </c>
      <c r="AH50" s="2">
        <f>(N34/$N$21)*100</f>
        <v>105.81516095534789</v>
      </c>
      <c r="AI50" s="2">
        <f>(O34/$O$21)*100</f>
        <v>100.74441687344913</v>
      </c>
      <c r="AJ50" s="2">
        <f>(S34/$S$21)*100</f>
        <v>72.568777518394839</v>
      </c>
      <c r="AK50" s="2">
        <f>(T34/$T$21)*100</f>
        <v>71.583618947183396</v>
      </c>
      <c r="AL50" s="2">
        <f>(U34/$U$21)*100</f>
        <v>76.744619398117948</v>
      </c>
      <c r="AM50" s="2"/>
      <c r="AN50" s="3"/>
      <c r="AO50" s="3"/>
      <c r="AP50" s="3"/>
      <c r="AQ50" s="3"/>
      <c r="AR50" s="3"/>
      <c r="AS50" s="3"/>
      <c r="AT50" s="3"/>
    </row>
    <row r="51" spans="24:46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24:46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</row>
  </sheetData>
  <mergeCells count="4">
    <mergeCell ref="A1:U1"/>
    <mergeCell ref="B2:K2"/>
    <mergeCell ref="L2:U2"/>
    <mergeCell ref="A36:U36"/>
  </mergeCells>
  <printOptions gridLines="1"/>
  <pageMargins left="0.70866141732283472" right="0.70866141732283472" top="0.74803149606299213" bottom="0.74803149606299213" header="0.31496062992125984" footer="0.31496062992125984"/>
  <pageSetup scale="46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view="pageBreakPreview" zoomScaleNormal="100" zoomScaleSheetLayoutView="100" workbookViewId="0">
      <selection activeCell="E24" sqref="E24:H27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5" width="9.28515625" style="3" bestFit="1" customWidth="1"/>
    <col min="6" max="8" width="9.28515625" style="3" customWidth="1"/>
    <col min="9" max="11" width="9.28515625" style="3" bestFit="1" customWidth="1"/>
    <col min="12" max="12" width="9.140625" style="3"/>
    <col min="13" max="14" width="9.28515625" style="3" hidden="1" customWidth="1"/>
    <col min="15" max="15" width="14.7109375" style="3" hidden="1" customWidth="1"/>
    <col min="16" max="20" width="9.28515625" style="3" hidden="1" customWidth="1"/>
    <col min="21" max="23" width="0" style="3" hidden="1" customWidth="1"/>
    <col min="24" max="16384" width="9.140625" style="3"/>
  </cols>
  <sheetData>
    <row r="1" spans="1:20" ht="45" customHeight="1">
      <c r="A1" s="460" t="s">
        <v>236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</row>
    <row r="2" spans="1:20" ht="135">
      <c r="A2" s="67"/>
      <c r="B2" s="67" t="s">
        <v>2</v>
      </c>
      <c r="C2" s="67" t="s">
        <v>8</v>
      </c>
      <c r="D2" s="67" t="s">
        <v>20</v>
      </c>
      <c r="E2" s="67" t="s">
        <v>4</v>
      </c>
      <c r="F2" s="66" t="s">
        <v>36</v>
      </c>
      <c r="G2" s="66" t="s">
        <v>37</v>
      </c>
      <c r="H2" s="66" t="s">
        <v>38</v>
      </c>
      <c r="I2" s="67" t="s">
        <v>5</v>
      </c>
      <c r="J2" s="67" t="s">
        <v>6</v>
      </c>
      <c r="K2" s="67" t="s">
        <v>7</v>
      </c>
    </row>
    <row r="3" spans="1:20">
      <c r="A3" s="67"/>
      <c r="B3" s="13"/>
      <c r="C3" s="13"/>
    </row>
    <row r="4" spans="1:20">
      <c r="A4" s="20">
        <v>1997</v>
      </c>
      <c r="B4" s="71">
        <f>'4E'!B4/'4E'!$B4*100</f>
        <v>100</v>
      </c>
      <c r="C4" s="399" t="s">
        <v>9</v>
      </c>
      <c r="D4" s="71">
        <f>'4E'!D4/'4E'!$B4*100</f>
        <v>0.45074183268831897</v>
      </c>
      <c r="E4" s="71">
        <f>'4E'!E4/'4E'!$B4*100</f>
        <v>1.0516779643507077</v>
      </c>
      <c r="F4" s="399">
        <f>'4E'!F4/'4E'!$B4*100</f>
        <v>0.55659305291766337</v>
      </c>
      <c r="G4" s="399">
        <f>'4E'!G4/'4E'!$B4*100</f>
        <v>0.16656468288341267</v>
      </c>
      <c r="H4" s="399">
        <f>'4E'!H4/'4E'!$B4*100</f>
        <v>0.3285202285496317</v>
      </c>
      <c r="I4" s="399" t="s">
        <v>9</v>
      </c>
      <c r="J4" s="399" t="s">
        <v>9</v>
      </c>
      <c r="K4" s="399" t="s">
        <v>9</v>
      </c>
    </row>
    <row r="5" spans="1:20">
      <c r="A5" s="20">
        <v>1998</v>
      </c>
      <c r="B5" s="71">
        <f>'4E'!B5/'4E'!$B5*100</f>
        <v>100</v>
      </c>
      <c r="C5" s="71">
        <f>'4E'!C5/'4E'!$B5*100</f>
        <v>2.5674656269111251</v>
      </c>
      <c r="D5" s="71">
        <f>'4E'!D5/'4E'!$B5*100</f>
        <v>0.48878237465347518</v>
      </c>
      <c r="E5" s="71">
        <f>'4E'!E5/'4E'!$B5*100</f>
        <v>1.0672809171537934</v>
      </c>
      <c r="F5" s="399">
        <f>'4E'!F5/'4E'!$B5*100</f>
        <v>0.57756723279948596</v>
      </c>
      <c r="G5" s="399">
        <f>'4E'!G5/'4E'!$B5*100</f>
        <v>0.16949836555147502</v>
      </c>
      <c r="H5" s="399">
        <f>'4E'!H5/'4E'!$B5*100</f>
        <v>0.32021531880283244</v>
      </c>
      <c r="I5" s="71">
        <f>'4E'!I5/'4E'!$B5*100</f>
        <v>1.0114023351038566</v>
      </c>
      <c r="J5" s="71">
        <f>'4E'!J5/'4E'!$B5*100</f>
        <v>0.65703899393717391</v>
      </c>
      <c r="K5" s="71">
        <f>'4E'!K5/'4E'!$B5*100</f>
        <v>0.35436334116668272</v>
      </c>
    </row>
    <row r="6" spans="1:20">
      <c r="A6" s="20">
        <v>1999</v>
      </c>
      <c r="B6" s="71">
        <f>'4E'!B6/'4E'!$B6*100</f>
        <v>100</v>
      </c>
      <c r="C6" s="71">
        <f>'4E'!C6/'4E'!$B6*100</f>
        <v>2.5966873337367158</v>
      </c>
      <c r="D6" s="71">
        <f>'4E'!D6/'4E'!$B6*100</f>
        <v>0.496733959129599</v>
      </c>
      <c r="E6" s="71">
        <f>'4E'!E6/'4E'!$B6*100</f>
        <v>1.1152371482159373</v>
      </c>
      <c r="F6" s="399">
        <f>'4E'!F6/'4E'!$B6*100</f>
        <v>0.60265960898044302</v>
      </c>
      <c r="G6" s="399">
        <f>'4E'!G6/'4E'!$B6*100</f>
        <v>0.17322314249112383</v>
      </c>
      <c r="H6" s="399">
        <f>'4E'!H6/'4E'!$B6*100</f>
        <v>0.33935439674437062</v>
      </c>
      <c r="I6" s="71">
        <f>'4E'!I6/'4E'!$B6*100</f>
        <v>0.98471622639117951</v>
      </c>
      <c r="J6" s="71">
        <f>'4E'!J6/'4E'!$B6*100</f>
        <v>0.63736459397430922</v>
      </c>
      <c r="K6" s="71">
        <f>'4E'!K6/'4E'!$B6*100</f>
        <v>0.34735163241687028</v>
      </c>
    </row>
    <row r="7" spans="1:20">
      <c r="A7" s="20">
        <v>2000</v>
      </c>
      <c r="B7" s="71">
        <f>'4E'!B7/'4E'!$B7*100</f>
        <v>100</v>
      </c>
      <c r="C7" s="71">
        <f>'4E'!C7/'4E'!$B7*100</f>
        <v>2.6272102226446834</v>
      </c>
      <c r="D7" s="71">
        <f>'4E'!D7/'4E'!$B7*100</f>
        <v>0.44038145696930636</v>
      </c>
      <c r="E7" s="71">
        <f>'4E'!E7/'4E'!$B7*100</f>
        <v>1.2172208515224132</v>
      </c>
      <c r="F7" s="399">
        <f>'4E'!F7/'4E'!$B7*100</f>
        <v>0.60003636584035402</v>
      </c>
      <c r="G7" s="399">
        <f>'4E'!G7/'4E'!$B7*100</f>
        <v>0.17872480076397831</v>
      </c>
      <c r="H7" s="399">
        <f>'4E'!H7/'4E'!$B7*100</f>
        <v>0.43845968491808074</v>
      </c>
      <c r="I7" s="71">
        <f>'4E'!I7/'4E'!$B7*100</f>
        <v>0.96960791415296421</v>
      </c>
      <c r="J7" s="71">
        <f>'4E'!J7/'4E'!$B7*100</f>
        <v>0.62531505974493651</v>
      </c>
      <c r="K7" s="71">
        <f>'4E'!K7/'4E'!$B7*100</f>
        <v>0.3442928544080277</v>
      </c>
    </row>
    <row r="8" spans="1:20">
      <c r="A8" s="20">
        <v>2001</v>
      </c>
      <c r="B8" s="71">
        <f>'4E'!B8/'4E'!$B8*100</f>
        <v>100</v>
      </c>
      <c r="C8" s="71">
        <f>'4E'!C8/'4E'!$B8*100</f>
        <v>2.4367835629204477</v>
      </c>
      <c r="D8" s="71">
        <f>'4E'!D8/'4E'!$B8*100</f>
        <v>0.3978272623769703</v>
      </c>
      <c r="E8" s="71">
        <f>'4E'!E8/'4E'!$B8*100</f>
        <v>1.1545049724744563</v>
      </c>
      <c r="F8" s="399">
        <f>'4E'!F8/'4E'!$B8*100</f>
        <v>0.555053285408458</v>
      </c>
      <c r="G8" s="399">
        <f>'4E'!G8/'4E'!$B8*100</f>
        <v>0.18140337046876212</v>
      </c>
      <c r="H8" s="399">
        <f>'4E'!H8/'4E'!$B8*100</f>
        <v>0.41804831659723612</v>
      </c>
      <c r="I8" s="71">
        <f>'4E'!I8/'4E'!$B8*100</f>
        <v>0.88445132806902127</v>
      </c>
      <c r="J8" s="71">
        <f>'4E'!J8/'4E'!$B8*100</f>
        <v>0.56487075376177542</v>
      </c>
      <c r="K8" s="71">
        <f>'4E'!K8/'4E'!$B8*100</f>
        <v>0.31958057430724573</v>
      </c>
      <c r="M8" s="3">
        <v>2000</v>
      </c>
      <c r="N8" s="3" t="e">
        <f>((#REF!/#REF!)-1)*100</f>
        <v>#REF!</v>
      </c>
      <c r="O8" s="3" t="e">
        <f>((#REF!/#REF!)-1)*100</f>
        <v>#REF!</v>
      </c>
      <c r="P8" s="3" t="e">
        <f>((#REF!/#REF!)-1)*100</f>
        <v>#REF!</v>
      </c>
      <c r="Q8" s="3" t="e">
        <f>((#REF!/#REF!)-1)*100</f>
        <v>#REF!</v>
      </c>
      <c r="R8" s="3" t="e">
        <f>((#REF!/#REF!)-1)*100</f>
        <v>#REF!</v>
      </c>
      <c r="S8" s="3" t="e">
        <f>((#REF!/#REF!)-1)*100</f>
        <v>#REF!</v>
      </c>
      <c r="T8" s="3" t="e">
        <f>((#REF!/#REF!)-1)*100</f>
        <v>#REF!</v>
      </c>
    </row>
    <row r="9" spans="1:20">
      <c r="A9" s="20">
        <v>2002</v>
      </c>
      <c r="B9" s="71">
        <f>'4E'!B9/'4E'!$B9*100</f>
        <v>100</v>
      </c>
      <c r="C9" s="71">
        <f>'4E'!C9/'4E'!$B9*100</f>
        <v>2.3305568796910832</v>
      </c>
      <c r="D9" s="71">
        <f>'4E'!D9/'4E'!$B9*100</f>
        <v>0.38135103193250763</v>
      </c>
      <c r="E9" s="71">
        <f>'4E'!E9/'4E'!$B9*100</f>
        <v>1.1293857484155034</v>
      </c>
      <c r="F9" s="399">
        <f>'4E'!F9/'4E'!$B9*100</f>
        <v>0.52083186424805872</v>
      </c>
      <c r="G9" s="399">
        <f>'4E'!G9/'4E'!$B9*100</f>
        <v>0.1830597779025129</v>
      </c>
      <c r="H9" s="399">
        <f>'4E'!H9/'4E'!$B9*100</f>
        <v>0.42549410626493178</v>
      </c>
      <c r="I9" s="71">
        <f>'4E'!I9/'4E'!$B9*100</f>
        <v>0.8198200993430721</v>
      </c>
      <c r="J9" s="71">
        <f>'4E'!J9/'4E'!$B9*100</f>
        <v>0.5161778020979948</v>
      </c>
      <c r="K9" s="71">
        <f>'4E'!K9/'4E'!$B9*100</f>
        <v>0.30364229724507724</v>
      </c>
      <c r="M9" s="3">
        <v>2001</v>
      </c>
      <c r="N9" s="3" t="e">
        <f>((B8/#REF!)-1)*100</f>
        <v>#REF!</v>
      </c>
      <c r="O9" s="3" t="e">
        <f>((C8/#REF!)-1)*100</f>
        <v>#REF!</v>
      </c>
      <c r="P9" s="3" t="e">
        <f>((D9/#REF!)-1)*100</f>
        <v>#REF!</v>
      </c>
      <c r="Q9" s="3" t="e">
        <f>((I9/#REF!)-1)*100</f>
        <v>#REF!</v>
      </c>
      <c r="R9" s="3" t="e">
        <f>((#REF!/#REF!)-1)*100</f>
        <v>#REF!</v>
      </c>
      <c r="S9" s="3" t="e">
        <f>((#REF!/#REF!)-1)*100</f>
        <v>#REF!</v>
      </c>
      <c r="T9" s="3" t="e">
        <f>((#REF!/#REF!)-1)*100</f>
        <v>#REF!</v>
      </c>
    </row>
    <row r="10" spans="1:20">
      <c r="A10" s="20">
        <v>2003</v>
      </c>
      <c r="B10" s="71">
        <f>'4E'!B10/'4E'!$B10*100</f>
        <v>100</v>
      </c>
      <c r="C10" s="71">
        <f>'4E'!C10/'4E'!$B10*100</f>
        <v>2.2718220555126201</v>
      </c>
      <c r="D10" s="71">
        <f>'4E'!D10/'4E'!$B10*100</f>
        <v>0.38152523447031578</v>
      </c>
      <c r="E10" s="71">
        <f>'4E'!E10/'4E'!$B10*100</f>
        <v>1.1004138081389254</v>
      </c>
      <c r="F10" s="399">
        <f>'4E'!F10/'4E'!$B10*100</f>
        <v>0.48019073466666851</v>
      </c>
      <c r="G10" s="399">
        <f>'4E'!G10/'4E'!$B10*100</f>
        <v>0.1650480959375249</v>
      </c>
      <c r="H10" s="399">
        <f>'4E'!H10/'4E'!$B10*100</f>
        <v>0.45517497753473207</v>
      </c>
      <c r="I10" s="71">
        <f>'4E'!I10/'4E'!$B10*100</f>
        <v>0.78988301290337914</v>
      </c>
      <c r="J10" s="71">
        <f>'4E'!J10/'4E'!$B10*100</f>
        <v>0.50674377296313733</v>
      </c>
      <c r="K10" s="71">
        <f>'4E'!K10/'4E'!$B10*100</f>
        <v>0.2831392399402417</v>
      </c>
      <c r="M10" s="3">
        <v>2002</v>
      </c>
      <c r="N10" s="3">
        <f t="shared" ref="N10:O20" si="0">((B9/B8)-1)*100</f>
        <v>0</v>
      </c>
      <c r="O10" s="3">
        <f t="shared" si="0"/>
        <v>-4.3592990713567374</v>
      </c>
      <c r="P10" s="3">
        <f t="shared" ref="P10:P20" si="1">((D10/D9)-1)*100</f>
        <v>4.5680363555167247E-2</v>
      </c>
      <c r="Q10" s="3">
        <f t="shared" ref="Q10:Q18" si="2">((I10/I9)-1)*100</f>
        <v>-3.6516653426381884</v>
      </c>
      <c r="R10" s="3" t="e">
        <f>((#REF!/#REF!)-1)*100</f>
        <v>#REF!</v>
      </c>
      <c r="S10" s="3" t="e">
        <f>((#REF!/#REF!)-1)*100</f>
        <v>#REF!</v>
      </c>
      <c r="T10" s="3" t="e">
        <f>((#REF!/#REF!)-1)*100</f>
        <v>#REF!</v>
      </c>
    </row>
    <row r="11" spans="1:20">
      <c r="A11" s="20">
        <v>2004</v>
      </c>
      <c r="B11" s="71">
        <f>'4E'!B11/'4E'!$B11*100</f>
        <v>100</v>
      </c>
      <c r="C11" s="71">
        <f>'4E'!C11/'4E'!$B11*100</f>
        <v>2.1666132464670449</v>
      </c>
      <c r="D11" s="71">
        <f>'4E'!D11/'4E'!$B11*100</f>
        <v>0.36151489598192976</v>
      </c>
      <c r="E11" s="71">
        <f>'4E'!E11/'4E'!$B11*100</f>
        <v>1.0359850386757659</v>
      </c>
      <c r="F11" s="399">
        <f>'4E'!F11/'4E'!$B11*100</f>
        <v>0.46413670435427357</v>
      </c>
      <c r="G11" s="399">
        <f>'4E'!G11/'4E'!$B11*100</f>
        <v>0.14815507723460364</v>
      </c>
      <c r="H11" s="399">
        <f>'4E'!H11/'4E'!$B11*100</f>
        <v>0.42369325708688876</v>
      </c>
      <c r="I11" s="71">
        <f>'4E'!I11/'4E'!$B11*100</f>
        <v>0.76911331180934905</v>
      </c>
      <c r="J11" s="71">
        <f>'4E'!J11/'4E'!$B11*100</f>
        <v>0.49054875154930044</v>
      </c>
      <c r="K11" s="71">
        <f>'4E'!K11/'4E'!$B11*100</f>
        <v>0.27856456026004861</v>
      </c>
      <c r="M11" s="3">
        <v>2003</v>
      </c>
      <c r="N11" s="3">
        <f t="shared" si="0"/>
        <v>0</v>
      </c>
      <c r="O11" s="3">
        <f t="shared" si="0"/>
        <v>-2.5202055650428212</v>
      </c>
      <c r="P11" s="3">
        <f t="shared" si="1"/>
        <v>-5.2448269945150621</v>
      </c>
      <c r="Q11" s="3">
        <f t="shared" si="2"/>
        <v>-2.6294654720686705</v>
      </c>
      <c r="R11" s="3" t="e">
        <f>((#REF!/#REF!)-1)*100</f>
        <v>#REF!</v>
      </c>
      <c r="S11" s="3" t="e">
        <f>((#REF!/#REF!)-1)*100</f>
        <v>#REF!</v>
      </c>
      <c r="T11" s="3" t="e">
        <f>((#REF!/#REF!)-1)*100</f>
        <v>#REF!</v>
      </c>
    </row>
    <row r="12" spans="1:20">
      <c r="A12" s="20">
        <v>2005</v>
      </c>
      <c r="B12" s="71">
        <f>'4E'!B12/'4E'!$B12*100</f>
        <v>100</v>
      </c>
      <c r="C12" s="71">
        <f>'4E'!C12/'4E'!$B12*100</f>
        <v>2.1968097007798391</v>
      </c>
      <c r="D12" s="71">
        <f>'4E'!D12/'4E'!$B12*100</f>
        <v>0.36386110247048997</v>
      </c>
      <c r="E12" s="71">
        <f>'4E'!E12/'4E'!$B12*100</f>
        <v>0.98939659359429821</v>
      </c>
      <c r="F12" s="399">
        <f>'4E'!F12/'4E'!$B12*100</f>
        <v>0.4481753736841243</v>
      </c>
      <c r="G12" s="399">
        <f>'4E'!G12/'4E'!$B12*100</f>
        <v>0.13001860916924521</v>
      </c>
      <c r="H12" s="399">
        <f>'4E'!H12/'4E'!$B12*100</f>
        <v>0.41120261074092868</v>
      </c>
      <c r="I12" s="71">
        <f>'4E'!I12/'4E'!$B12*100</f>
        <v>0.84355200471505054</v>
      </c>
      <c r="J12" s="71">
        <f>'4E'!J12/'4E'!$B12*100</f>
        <v>0.56509662033474672</v>
      </c>
      <c r="K12" s="71">
        <f>'4E'!K12/'4E'!$B12*100</f>
        <v>0.27845538438030376</v>
      </c>
      <c r="M12" s="3">
        <v>2004</v>
      </c>
      <c r="N12" s="3">
        <f t="shared" si="0"/>
        <v>0</v>
      </c>
      <c r="O12" s="3">
        <f t="shared" si="0"/>
        <v>-4.6310321176028735</v>
      </c>
      <c r="P12" s="3">
        <f t="shared" si="1"/>
        <v>0.64899303310519407</v>
      </c>
      <c r="Q12" s="3">
        <f t="shared" si="2"/>
        <v>9.6785079341018765</v>
      </c>
      <c r="R12" s="3" t="e">
        <f>((#REF!/#REF!)-1)*100</f>
        <v>#REF!</v>
      </c>
      <c r="S12" s="3" t="e">
        <f>((#REF!/#REF!)-1)*100</f>
        <v>#REF!</v>
      </c>
      <c r="T12" s="3" t="e">
        <f>((#REF!/#REF!)-1)*100</f>
        <v>#REF!</v>
      </c>
    </row>
    <row r="13" spans="1:20">
      <c r="A13" s="20">
        <v>2006</v>
      </c>
      <c r="B13" s="453">
        <f>'4E'!B13/'4E'!$B13*100</f>
        <v>100</v>
      </c>
      <c r="C13" s="453">
        <f>'4E'!C13/'4E'!$B13*100</f>
        <v>2.0251407960172143</v>
      </c>
      <c r="D13" s="453">
        <f>'4E'!D13/'4E'!$B13*100</f>
        <v>0.35246251289167752</v>
      </c>
      <c r="E13" s="453">
        <f>'4E'!E13/'4E'!$B13*100</f>
        <v>0.88473355399925491</v>
      </c>
      <c r="F13" s="453">
        <f>'4E'!F13/'4E'!$B13*100</f>
        <v>0.37662597126303343</v>
      </c>
      <c r="G13" s="453">
        <f>'4E'!G13/'4E'!$B13*100</f>
        <v>0.13148161147318801</v>
      </c>
      <c r="H13" s="453">
        <f>'4E'!H13/'4E'!$B13*100</f>
        <v>0.37662597126303343</v>
      </c>
      <c r="I13" s="453">
        <f>'4E'!I13/'4E'!$B13*100</f>
        <v>0.78794472912628177</v>
      </c>
      <c r="J13" s="453">
        <f>'4E'!J13/'4E'!$B13*100</f>
        <v>0.53483587747101735</v>
      </c>
      <c r="K13" s="453">
        <f>'4E'!K13/'4E'!$B13*100</f>
        <v>0.25310885165526437</v>
      </c>
      <c r="M13" s="3">
        <v>2005</v>
      </c>
      <c r="N13" s="3">
        <f t="shared" si="0"/>
        <v>0</v>
      </c>
      <c r="O13" s="3">
        <f t="shared" si="0"/>
        <v>1.3937168694982072</v>
      </c>
      <c r="P13" s="3">
        <f t="shared" si="1"/>
        <v>-3.1326760407804022</v>
      </c>
      <c r="Q13" s="3">
        <f t="shared" si="2"/>
        <v>-6.5920388165697901</v>
      </c>
      <c r="R13" s="3" t="e">
        <f>((#REF!/#REF!)-1)*100</f>
        <v>#REF!</v>
      </c>
      <c r="S13" s="3" t="e">
        <f>((#REF!/#REF!)-1)*100</f>
        <v>#REF!</v>
      </c>
      <c r="T13" s="3" t="e">
        <f>((#REF!/#REF!)-1)*100</f>
        <v>#REF!</v>
      </c>
    </row>
    <row r="14" spans="1:20">
      <c r="A14" s="20">
        <v>2007</v>
      </c>
      <c r="B14" s="71">
        <f>'4E'!B14/'4E'!$B14*100</f>
        <v>100</v>
      </c>
      <c r="C14" s="71">
        <f>'4E'!C14/'4E'!$B14*100</f>
        <v>1.8558118728952708</v>
      </c>
      <c r="D14" s="71">
        <f>'4E'!D14/'4E'!$B14*100</f>
        <v>0.3055631879983487</v>
      </c>
      <c r="E14" s="71">
        <f>'4E'!E14/'4E'!$B14*100</f>
        <v>0.77837642676903429</v>
      </c>
      <c r="F14" s="71">
        <f>'4E'!F14/'4E'!$B14*100</f>
        <v>0.33104891002080006</v>
      </c>
      <c r="G14" s="71">
        <f>'4E'!G14/'4E'!$B14*100</f>
        <v>9.9420863514666905E-2</v>
      </c>
      <c r="H14" s="71">
        <f>'4E'!H14/'4E'!$B14*100</f>
        <v>0.34790665323356734</v>
      </c>
      <c r="I14" s="71">
        <f>'4E'!I14/'4E'!$B14*100</f>
        <v>0.77187225812788796</v>
      </c>
      <c r="J14" s="71">
        <f>'4E'!J14/'4E'!$B14*100</f>
        <v>0.49312217350732646</v>
      </c>
      <c r="K14" s="71">
        <f>'4E'!K14/'4E'!$B14*100</f>
        <v>0.27875008462056139</v>
      </c>
      <c r="M14" s="3">
        <v>2006</v>
      </c>
      <c r="N14" s="3">
        <f t="shared" si="0"/>
        <v>0</v>
      </c>
      <c r="O14" s="3">
        <f t="shared" si="0"/>
        <v>-7.8144640704055801</v>
      </c>
      <c r="P14" s="3">
        <f t="shared" si="1"/>
        <v>-13.306188084672254</v>
      </c>
      <c r="Q14" s="3">
        <f t="shared" si="2"/>
        <v>-2.0397967527768013</v>
      </c>
      <c r="R14" s="3" t="e">
        <f>((#REF!/#REF!)-1)*100</f>
        <v>#REF!</v>
      </c>
      <c r="S14" s="3" t="e">
        <f>((#REF!/#REF!)-1)*100</f>
        <v>#REF!</v>
      </c>
      <c r="T14" s="3" t="e">
        <f>((#REF!/#REF!)-1)*100</f>
        <v>#REF!</v>
      </c>
    </row>
    <row r="15" spans="1:20">
      <c r="A15" s="20">
        <v>2008</v>
      </c>
      <c r="B15" s="71">
        <f>'4E'!B15/'4E'!$B15*100</f>
        <v>100</v>
      </c>
      <c r="C15" s="71">
        <f>'4E'!C15/'4E'!$B15*100</f>
        <v>1.6892876093764633</v>
      </c>
      <c r="D15" s="71">
        <f>'4E'!D15/'4E'!$B15*100</f>
        <v>0.30615005254231997</v>
      </c>
      <c r="E15" s="71">
        <f>'4E'!E15/'4E'!$B15*100</f>
        <v>0.70255844682821267</v>
      </c>
      <c r="F15" s="71">
        <f>'4E'!F15/'4E'!$B15*100</f>
        <v>0.26232143414522491</v>
      </c>
      <c r="G15" s="71">
        <f>'4E'!G15/'4E'!$B15*100</f>
        <v>9.0388396991041786E-2</v>
      </c>
      <c r="H15" s="71">
        <f>'4E'!H15/'4E'!$B15*100</f>
        <v>0.34984861569194597</v>
      </c>
      <c r="I15" s="71">
        <f>'4E'!I15/'4E'!$B15*100</f>
        <v>0.68057911000593052</v>
      </c>
      <c r="J15" s="71">
        <f>'4E'!J15/'4E'!$B15*100</f>
        <v>0.42671126694619876</v>
      </c>
      <c r="K15" s="71">
        <f>'4E'!K15/'4E'!$B15*100</f>
        <v>0.25386784305973176</v>
      </c>
      <c r="M15" s="3">
        <v>2007</v>
      </c>
      <c r="N15" s="3">
        <f t="shared" si="0"/>
        <v>0</v>
      </c>
      <c r="O15" s="3">
        <f t="shared" si="0"/>
        <v>-8.3613407746739306</v>
      </c>
      <c r="P15" s="3">
        <f t="shared" si="1"/>
        <v>0.19205996239783918</v>
      </c>
      <c r="Q15" s="3">
        <f t="shared" si="2"/>
        <v>-11.827494402167193</v>
      </c>
      <c r="R15" s="3" t="e">
        <f>((#REF!/#REF!)-1)*100</f>
        <v>#REF!</v>
      </c>
      <c r="S15" s="3" t="e">
        <f>((#REF!/#REF!)-1)*100</f>
        <v>#REF!</v>
      </c>
      <c r="T15" s="3" t="e">
        <f>((#REF!/#REF!)-1)*100</f>
        <v>#REF!</v>
      </c>
    </row>
    <row r="16" spans="1:20">
      <c r="A16" s="20">
        <v>2009</v>
      </c>
      <c r="B16" s="71">
        <f>'4E'!B16/'4E'!$B16*100</f>
        <v>100</v>
      </c>
      <c r="C16" s="71">
        <f>'4E'!C16/'4E'!$B16*100</f>
        <v>1.5880763371231756</v>
      </c>
      <c r="D16" s="71">
        <f>'4E'!D16/'4E'!$B16*100</f>
        <v>0.30614312289666384</v>
      </c>
      <c r="E16" s="71">
        <f>'4E'!E16/'4E'!$B16*100</f>
        <v>0.66583169100989081</v>
      </c>
      <c r="F16" s="71">
        <f>'4E'!F16/'4E'!$B16*100</f>
        <v>0.19760505826849553</v>
      </c>
      <c r="G16" s="71">
        <f>'4E'!G16/'4E'!$B16*100</f>
        <v>9.2750709773162021E-2</v>
      </c>
      <c r="H16" s="71">
        <f>'4E'!H16/'4E'!$B16*100</f>
        <v>0.37547592296823318</v>
      </c>
      <c r="I16" s="71">
        <f>'4E'!I16/'4E'!$B16*100</f>
        <v>0.61610152321662093</v>
      </c>
      <c r="J16" s="71">
        <f>'4E'!J16/'4E'!$B16*100</f>
        <v>0.36652975521706294</v>
      </c>
      <c r="K16" s="71">
        <f>'4E'!K16/'4E'!$B16*100</f>
        <v>0.24957176799955796</v>
      </c>
      <c r="M16" s="3">
        <v>2008</v>
      </c>
      <c r="N16" s="3">
        <f t="shared" si="0"/>
        <v>0</v>
      </c>
      <c r="O16" s="3">
        <f t="shared" si="0"/>
        <v>-8.9731220039567567</v>
      </c>
      <c r="P16" s="3">
        <f t="shared" si="1"/>
        <v>-2.263480145958674E-3</v>
      </c>
      <c r="Q16" s="3">
        <f t="shared" si="2"/>
        <v>-9.4739297520824213</v>
      </c>
      <c r="R16" s="3" t="e">
        <f>((#REF!/#REF!)-1)*100</f>
        <v>#REF!</v>
      </c>
      <c r="S16" s="3" t="e">
        <f>((#REF!/#REF!)-1)*100</f>
        <v>#REF!</v>
      </c>
      <c r="T16" s="3" t="e">
        <f>((#REF!/#REF!)-1)*100</f>
        <v>#REF!</v>
      </c>
    </row>
    <row r="17" spans="1:20">
      <c r="A17" s="20">
        <v>2010</v>
      </c>
      <c r="B17" s="71">
        <f>'4E'!B17/'4E'!$B17*100</f>
        <v>100</v>
      </c>
      <c r="C17" s="71">
        <f>'4E'!C17/'4E'!$B17*100</f>
        <v>1.5601576385132523</v>
      </c>
      <c r="D17" s="71">
        <f>'4E'!D17/'4E'!$B17*100</f>
        <v>0.23259408082837493</v>
      </c>
      <c r="E17" s="71">
        <f>'4E'!E17/'4E'!$B17*100</f>
        <v>0.72032042861190537</v>
      </c>
      <c r="F17" s="71">
        <f>'4E'!F17/'4E'!$B17*100</f>
        <v>0.21288926667181826</v>
      </c>
      <c r="G17" s="71">
        <f>'4E'!G17/'4E'!$B17*100</f>
        <v>0.13741854055585606</v>
      </c>
      <c r="H17" s="71">
        <f>'4E'!H17/'4E'!$B17*100</f>
        <v>0.37001262138423097</v>
      </c>
      <c r="I17" s="71">
        <f>'4E'!I17/'4E'!$B17*100</f>
        <v>0.60724312907297218</v>
      </c>
      <c r="J17" s="71">
        <f>'4E'!J17/'4E'!$B17*100</f>
        <v>0.33910310898178914</v>
      </c>
      <c r="K17" s="71">
        <f>'4E'!K17/'4E'!$B17*100</f>
        <v>0.26814002009118304</v>
      </c>
      <c r="M17" s="3">
        <v>2009</v>
      </c>
      <c r="N17" s="3">
        <f t="shared" si="0"/>
        <v>0</v>
      </c>
      <c r="O17" s="3">
        <f t="shared" si="0"/>
        <v>-5.9913582323998682</v>
      </c>
      <c r="P17" s="3">
        <f t="shared" si="1"/>
        <v>-24.024397926166973</v>
      </c>
      <c r="Q17" s="3">
        <f t="shared" si="2"/>
        <v>-1.4378140306162135</v>
      </c>
      <c r="R17" s="3" t="e">
        <f>((#REF!/#REF!)-1)*100</f>
        <v>#REF!</v>
      </c>
      <c r="S17" s="3" t="e">
        <f>((#REF!/#REF!)-1)*100</f>
        <v>#REF!</v>
      </c>
      <c r="T17" s="3" t="e">
        <f>((#REF!/#REF!)-1)*100</f>
        <v>#REF!</v>
      </c>
    </row>
    <row r="18" spans="1:20">
      <c r="A18" s="20">
        <v>2011</v>
      </c>
      <c r="B18" s="71">
        <f>'4E'!B18/'4E'!$B18*100</f>
        <v>100</v>
      </c>
      <c r="C18" s="71">
        <f>'4E'!C18/'4E'!$B18*100</f>
        <v>1.4550153514294508</v>
      </c>
      <c r="D18" s="71">
        <f>'4E'!D18/'4E'!$B18*100</f>
        <v>0.26442105905785213</v>
      </c>
      <c r="E18" s="71">
        <f>'4E'!E18/'4E'!$B18*100</f>
        <v>0.65984437440699217</v>
      </c>
      <c r="F18" s="71">
        <f>'4E'!F18/'4E'!$B18*100</f>
        <v>0.18747313181879463</v>
      </c>
      <c r="G18" s="71">
        <f>'4E'!G18/'4E'!$B18*100</f>
        <v>0.12095451042040278</v>
      </c>
      <c r="H18" s="71">
        <f>'4E'!H18/'4E'!$B18*100</f>
        <v>0.35141673216779479</v>
      </c>
      <c r="I18" s="71">
        <f>'4E'!I18/'4E'!$B18*100</f>
        <v>0.53074991796460647</v>
      </c>
      <c r="J18" s="71">
        <f>'4E'!J18/'4E'!$B18*100</f>
        <v>0.30219549606611673</v>
      </c>
      <c r="K18" s="71">
        <f>'4E'!K18/'4E'!$B18*100</f>
        <v>0.22855442189848979</v>
      </c>
      <c r="M18" s="3">
        <v>2010</v>
      </c>
      <c r="N18" s="3">
        <f t="shared" si="0"/>
        <v>0</v>
      </c>
      <c r="O18" s="3">
        <f t="shared" si="0"/>
        <v>-1.7580199362770221</v>
      </c>
      <c r="P18" s="3">
        <f t="shared" si="1"/>
        <v>13.68348588929118</v>
      </c>
      <c r="Q18" s="3">
        <f t="shared" si="2"/>
        <v>-12.596801420403313</v>
      </c>
      <c r="R18" s="3" t="e">
        <f>((#REF!/#REF!)-1)*100</f>
        <v>#REF!</v>
      </c>
      <c r="S18" s="3" t="e">
        <f>((#REF!/#REF!)-1)*100</f>
        <v>#REF!</v>
      </c>
      <c r="T18" s="3" t="e">
        <f>((#REF!/#REF!)-1)*100</f>
        <v>#REF!</v>
      </c>
    </row>
    <row r="19" spans="1:20">
      <c r="A19" s="20">
        <v>2012</v>
      </c>
      <c r="B19" s="71">
        <f>'4E'!B19/'4E'!$B19*100</f>
        <v>100</v>
      </c>
      <c r="C19" s="71">
        <f>'4E'!C19/'4E'!$B19*100</f>
        <v>1.3265767301171296</v>
      </c>
      <c r="D19" s="71">
        <f>'4E'!D19/'4E'!$B19*100</f>
        <v>0.20098117190202419</v>
      </c>
      <c r="E19" s="71">
        <f>'4E'!E19/'4E'!$B19*100</f>
        <v>0.59852495979114118</v>
      </c>
      <c r="F19" s="71">
        <f>'4E'!F19/'4E'!$B19*100</f>
        <v>0.13154672181024449</v>
      </c>
      <c r="G19" s="71">
        <f>'4E'!G19/'4E'!$B19*100</f>
        <v>0.12043720979555975</v>
      </c>
      <c r="H19" s="71">
        <f>'4E'!H19/'4E'!$B19*100</f>
        <v>0.34654102818533694</v>
      </c>
      <c r="I19" s="71">
        <f>'4E'!I19/'4E'!$B19*100</f>
        <v>0.52707059842396431</v>
      </c>
      <c r="J19" s="71">
        <f>'4E'!J19/'4E'!$B19*100</f>
        <v>0.31182380313944708</v>
      </c>
      <c r="K19" s="71">
        <f>'4E'!K19/'4E'!$B19*100</f>
        <v>0.21524679528451712</v>
      </c>
      <c r="M19" s="3">
        <v>2011</v>
      </c>
      <c r="N19" s="3">
        <f t="shared" si="0"/>
        <v>0</v>
      </c>
      <c r="O19" s="3">
        <f t="shared" si="0"/>
        <v>-6.7392091983728308</v>
      </c>
      <c r="P19" s="3">
        <f t="shared" si="1"/>
        <v>-23.991994957537798</v>
      </c>
      <c r="Q19" s="3">
        <f>((F19/I18)-1)*100</f>
        <v>-75.214933180824943</v>
      </c>
      <c r="R19" s="3" t="e">
        <f>((J19/#REF!)-1)*100</f>
        <v>#REF!</v>
      </c>
      <c r="S19" s="3" t="e">
        <f>((K19/#REF!)-1)*100</f>
        <v>#REF!</v>
      </c>
      <c r="T19" s="3" t="e">
        <f>((#REF!/#REF!)-1)*100</f>
        <v>#REF!</v>
      </c>
    </row>
    <row r="20" spans="1:20">
      <c r="A20" s="20">
        <v>2013</v>
      </c>
      <c r="B20" s="71">
        <f>'4E'!B20/'4E'!$B20*100</f>
        <v>100</v>
      </c>
      <c r="C20" s="71">
        <f>'4E'!C20/'4E'!$B20*100</f>
        <v>1.2468643294653268</v>
      </c>
      <c r="D20" s="71">
        <f>'4E'!D20/'4E'!$B20*100</f>
        <v>0.1769402882997293</v>
      </c>
      <c r="E20" s="71">
        <f>'4E'!E20/'4E'!$B20*100</f>
        <v>0.59594994974142879</v>
      </c>
      <c r="F20" s="71">
        <f>'4E'!F20/'4E'!$B20*100</f>
        <v>0.13665813755915263</v>
      </c>
      <c r="G20" s="71">
        <f>'4E'!G20/'4E'!$B20*100</f>
        <v>0.1170817652366294</v>
      </c>
      <c r="H20" s="71">
        <f>'4E'!H20/'4E'!$B20*100</f>
        <v>0.34221004694564672</v>
      </c>
      <c r="I20" s="71">
        <f>'4E'!I20/'4E'!$B20*100</f>
        <v>0.47397409142416852</v>
      </c>
      <c r="J20" s="71">
        <f>'4E'!J20/'4E'!$B20*100</f>
        <v>0.27432019164766541</v>
      </c>
      <c r="K20" s="71">
        <f>'4E'!K20/'4E'!$B20*100</f>
        <v>0.19965389977650308</v>
      </c>
      <c r="M20" s="3">
        <v>2012</v>
      </c>
      <c r="N20" s="3">
        <f t="shared" si="0"/>
        <v>0</v>
      </c>
      <c r="O20" s="3">
        <f t="shared" si="0"/>
        <v>-8.8273035185600808</v>
      </c>
      <c r="P20" s="3">
        <f t="shared" si="1"/>
        <v>-11.961759091550384</v>
      </c>
      <c r="Q20" s="3">
        <f t="shared" ref="Q20" si="3">((F20/F19)-1)*100</f>
        <v>3.8856276147126945</v>
      </c>
      <c r="R20" s="3">
        <f t="shared" ref="R20:S20" si="4">((J20/J19)-1)*100</f>
        <v>-12.027180450688723</v>
      </c>
      <c r="S20" s="3">
        <f t="shared" si="4"/>
        <v>-7.24419403661879</v>
      </c>
      <c r="T20" s="3" t="e">
        <f>((#REF!/#REF!)-1)*100</f>
        <v>#REF!</v>
      </c>
    </row>
    <row r="21" spans="1:20">
      <c r="A21" s="13"/>
      <c r="B21" s="13"/>
      <c r="C21" s="13"/>
      <c r="D21" s="14"/>
      <c r="E21" s="13"/>
      <c r="F21" s="13"/>
      <c r="G21" s="13"/>
      <c r="H21" s="13"/>
      <c r="I21" s="13"/>
      <c r="J21" s="13"/>
      <c r="K21" s="13"/>
    </row>
    <row r="22" spans="1:20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20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N23" s="3" t="s">
        <v>27</v>
      </c>
    </row>
    <row r="24" spans="1:20" ht="30">
      <c r="A24" s="67" t="s">
        <v>19</v>
      </c>
      <c r="B24" s="13">
        <f>((B7/B4)^(1/3)-1)*100</f>
        <v>0</v>
      </c>
      <c r="C24" s="62" t="s">
        <v>9</v>
      </c>
      <c r="D24" s="13">
        <f t="shared" ref="D24:E24" si="5">((D7/D4)^(1/3)-1)*100</f>
        <v>-0.7721185168198974</v>
      </c>
      <c r="E24" s="13">
        <f t="shared" si="5"/>
        <v>4.9934491563329519</v>
      </c>
      <c r="F24" s="13">
        <f t="shared" ref="F24:H24" si="6">((F7/F4)^(1/3)-1)*100</f>
        <v>2.5368402539911905</v>
      </c>
      <c r="G24" s="13">
        <f t="shared" si="6"/>
        <v>2.3765837046375582</v>
      </c>
      <c r="H24" s="13">
        <f t="shared" si="6"/>
        <v>10.100472740476828</v>
      </c>
      <c r="I24" s="62" t="s">
        <v>9</v>
      </c>
      <c r="J24" s="62" t="s">
        <v>9</v>
      </c>
      <c r="K24" s="62" t="s">
        <v>9</v>
      </c>
    </row>
    <row r="25" spans="1:20" ht="30">
      <c r="A25" s="327" t="s">
        <v>68</v>
      </c>
      <c r="B25" s="13">
        <f>((B14/B7)^(1/7)-1)*100</f>
        <v>0</v>
      </c>
      <c r="C25" s="13">
        <f t="shared" ref="C25:K25" si="7">((C14/C7)^(1/7)-1)*100</f>
        <v>-4.8444419628783431</v>
      </c>
      <c r="D25" s="13">
        <f t="shared" si="7"/>
        <v>-5.0872465416670014</v>
      </c>
      <c r="E25" s="13">
        <f t="shared" si="7"/>
        <v>-6.1876442867663251</v>
      </c>
      <c r="F25" s="13">
        <f t="shared" ref="F25:H25" si="8">((F14/F7)^(1/7)-1)*100</f>
        <v>-8.1451516872372505</v>
      </c>
      <c r="G25" s="13">
        <f t="shared" si="8"/>
        <v>-8.0369758862180003</v>
      </c>
      <c r="H25" s="13">
        <f t="shared" si="8"/>
        <v>-3.2507558145059234</v>
      </c>
      <c r="I25" s="13">
        <f t="shared" si="7"/>
        <v>-3.2056746374474754</v>
      </c>
      <c r="J25" s="13">
        <f t="shared" si="7"/>
        <v>-3.3359266829113499</v>
      </c>
      <c r="K25" s="13">
        <f t="shared" si="7"/>
        <v>-2.971762480670892</v>
      </c>
      <c r="M25" s="3">
        <v>1999</v>
      </c>
      <c r="N25" s="3" t="e">
        <f>#REF!/#REF!</f>
        <v>#REF!</v>
      </c>
      <c r="O25" s="3" t="e">
        <f>#REF!/#REF!</f>
        <v>#REF!</v>
      </c>
      <c r="P25" s="3" t="e">
        <f>#REF!/#REF!</f>
        <v>#REF!</v>
      </c>
      <c r="Q25" s="3" t="e">
        <f>#REF!/#REF!</f>
        <v>#REF!</v>
      </c>
      <c r="R25" s="3" t="e">
        <f>#REF!/#REF!</f>
        <v>#REF!</v>
      </c>
      <c r="S25" s="3" t="e">
        <f>#REF!/#REF!</f>
        <v>#REF!</v>
      </c>
      <c r="T25" s="3" t="e">
        <f>#REF!/#REF!</f>
        <v>#REF!</v>
      </c>
    </row>
    <row r="26" spans="1:20" ht="30">
      <c r="A26" s="67" t="s">
        <v>69</v>
      </c>
      <c r="B26" s="13">
        <f>((B20/B14)^(1/6)-1)*100</f>
        <v>0</v>
      </c>
      <c r="C26" s="13">
        <f t="shared" ref="C26:K26" si="9">((C20/C14)^(1/6)-1)*100</f>
        <v>-6.4132838515370327</v>
      </c>
      <c r="D26" s="13">
        <f t="shared" si="9"/>
        <v>-8.7034675108119242</v>
      </c>
      <c r="E26" s="13">
        <f t="shared" si="9"/>
        <v>-4.3532937944255607</v>
      </c>
      <c r="F26" s="13">
        <f t="shared" ref="F26:H26" si="10">((F20/F14)^(1/6)-1)*100</f>
        <v>-13.710645030986434</v>
      </c>
      <c r="G26" s="13">
        <f t="shared" si="10"/>
        <v>2.7626484200018231</v>
      </c>
      <c r="H26" s="13">
        <f t="shared" si="10"/>
        <v>-0.27477987155101191</v>
      </c>
      <c r="I26" s="13">
        <f t="shared" si="9"/>
        <v>-7.8062397968760351</v>
      </c>
      <c r="J26" s="13">
        <f t="shared" si="9"/>
        <v>-9.3118503871120755</v>
      </c>
      <c r="K26" s="13">
        <f t="shared" si="9"/>
        <v>-5.4103108440462293</v>
      </c>
      <c r="M26" s="3">
        <v>2000</v>
      </c>
      <c r="N26" s="3" t="e">
        <f>#REF!/#REF!</f>
        <v>#REF!</v>
      </c>
      <c r="O26" s="3" t="e">
        <f>#REF!/#REF!</f>
        <v>#REF!</v>
      </c>
      <c r="P26" s="3" t="e">
        <f>#REF!/#REF!</f>
        <v>#REF!</v>
      </c>
      <c r="Q26" s="3" t="e">
        <f>#REF!/#REF!</f>
        <v>#REF!</v>
      </c>
      <c r="R26" s="3" t="e">
        <f>#REF!/#REF!</f>
        <v>#REF!</v>
      </c>
      <c r="S26" s="3" t="e">
        <f>#REF!/#REF!</f>
        <v>#REF!</v>
      </c>
      <c r="T26" s="3" t="e">
        <f>#REF!/#REF!</f>
        <v>#REF!</v>
      </c>
    </row>
    <row r="27" spans="1:20" ht="30">
      <c r="A27" s="327" t="s">
        <v>15</v>
      </c>
      <c r="B27" s="13">
        <f>((B20/B7)^(1/13)-1)*100</f>
        <v>0</v>
      </c>
      <c r="C27" s="13">
        <f t="shared" ref="C27:K27" si="11">((C20/C7)^(1/13)-1)*100</f>
        <v>-5.5717643778524391</v>
      </c>
      <c r="D27" s="13">
        <f t="shared" si="11"/>
        <v>-6.7737349896083483</v>
      </c>
      <c r="E27" s="13">
        <f t="shared" si="11"/>
        <v>-5.3454337822530951</v>
      </c>
      <c r="F27" s="13">
        <f t="shared" ref="F27:H27" si="12">((F20/F7)^(1/13)-1)*100</f>
        <v>-10.757097515333825</v>
      </c>
      <c r="G27" s="13">
        <f t="shared" si="12"/>
        <v>-3.2012894107755541</v>
      </c>
      <c r="H27" s="13">
        <f t="shared" si="12"/>
        <v>-1.8884272577888495</v>
      </c>
      <c r="I27" s="13">
        <f t="shared" si="11"/>
        <v>-5.3568663061630106</v>
      </c>
      <c r="J27" s="13">
        <f t="shared" si="11"/>
        <v>-6.1414672979297809</v>
      </c>
      <c r="K27" s="13">
        <f t="shared" si="11"/>
        <v>-4.1049615642301918</v>
      </c>
    </row>
    <row r="28" spans="1:20">
      <c r="A28" s="67"/>
      <c r="B28" s="13"/>
      <c r="C28" s="13"/>
      <c r="D28" s="13"/>
      <c r="E28" s="13"/>
      <c r="F28" s="62"/>
      <c r="G28" s="62"/>
      <c r="H28" s="62"/>
      <c r="I28" s="13"/>
      <c r="J28" s="13"/>
      <c r="K28" s="13"/>
    </row>
    <row r="29" spans="1:20">
      <c r="A29" s="231" t="s">
        <v>144</v>
      </c>
      <c r="B29" s="13"/>
      <c r="C29" s="13"/>
      <c r="D29" s="13"/>
      <c r="E29" s="13"/>
      <c r="F29" s="62"/>
      <c r="G29" s="62"/>
      <c r="H29" s="62"/>
      <c r="I29" s="13"/>
      <c r="J29" s="13"/>
      <c r="K29" s="13"/>
    </row>
    <row r="30" spans="1:20">
      <c r="A30" s="237" t="s">
        <v>312</v>
      </c>
      <c r="B30" s="57"/>
      <c r="C30" s="57"/>
      <c r="D30" s="57"/>
      <c r="E30" s="57"/>
      <c r="F30" s="57"/>
      <c r="G30" s="57"/>
      <c r="H30" s="57"/>
      <c r="I30" s="57"/>
      <c r="M30" s="3">
        <v>2004</v>
      </c>
      <c r="N30" s="3" t="e">
        <f>B11/#REF!</f>
        <v>#REF!</v>
      </c>
      <c r="O30" s="3" t="e">
        <f>C11/#REF!</f>
        <v>#REF!</v>
      </c>
      <c r="P30" s="3" t="e">
        <f>D12/#REF!</f>
        <v>#REF!</v>
      </c>
      <c r="Q30" s="3" t="e">
        <f>I12/#REF!</f>
        <v>#REF!</v>
      </c>
      <c r="R30" s="3" t="e">
        <f>#REF!/#REF!</f>
        <v>#REF!</v>
      </c>
      <c r="S30" s="3" t="e">
        <f>#REF!/#REF!</f>
        <v>#REF!</v>
      </c>
      <c r="T30" s="3" t="e">
        <f>#REF!/#REF!</f>
        <v>#REF!</v>
      </c>
    </row>
    <row r="31" spans="1:20">
      <c r="A31" s="56"/>
      <c r="B31" s="57"/>
      <c r="C31" s="57"/>
      <c r="D31" s="57"/>
      <c r="E31" s="57"/>
      <c r="F31" s="57"/>
      <c r="G31" s="57"/>
      <c r="H31" s="57"/>
      <c r="I31" s="57"/>
      <c r="M31" s="3">
        <v>2005</v>
      </c>
      <c r="N31" s="3" t="e">
        <f>B12/#REF!</f>
        <v>#REF!</v>
      </c>
      <c r="O31" s="3" t="e">
        <f>C12/#REF!</f>
        <v>#REF!</v>
      </c>
      <c r="P31" s="3" t="e">
        <f>D13/#REF!</f>
        <v>#REF!</v>
      </c>
      <c r="Q31" s="3" t="e">
        <f>I13/#REF!</f>
        <v>#REF!</v>
      </c>
      <c r="R31" s="3" t="e">
        <f>#REF!/#REF!</f>
        <v>#REF!</v>
      </c>
      <c r="S31" s="3" t="e">
        <f>#REF!/#REF!</f>
        <v>#REF!</v>
      </c>
      <c r="T31" s="3" t="e">
        <f>#REF!/#REF!</f>
        <v>#REF!</v>
      </c>
    </row>
    <row r="32" spans="1:20">
      <c r="A32" s="56"/>
      <c r="B32" s="57"/>
      <c r="C32" s="57"/>
      <c r="D32" s="57"/>
      <c r="E32" s="57"/>
      <c r="F32" s="57"/>
      <c r="G32" s="57"/>
      <c r="H32" s="57"/>
      <c r="I32" s="57"/>
      <c r="M32" s="3">
        <v>2006</v>
      </c>
      <c r="N32" s="3" t="e">
        <f>B13/#REF!</f>
        <v>#REF!</v>
      </c>
      <c r="O32" s="3" t="e">
        <f>C13/#REF!</f>
        <v>#REF!</v>
      </c>
      <c r="P32" s="3" t="e">
        <f>D14/#REF!</f>
        <v>#REF!</v>
      </c>
      <c r="Q32" s="3" t="e">
        <f>I14/#REF!</f>
        <v>#REF!</v>
      </c>
      <c r="R32" s="3" t="e">
        <f>#REF!/#REF!</f>
        <v>#REF!</v>
      </c>
      <c r="S32" s="3" t="e">
        <f>#REF!/#REF!</f>
        <v>#REF!</v>
      </c>
      <c r="T32" s="3" t="e">
        <f>#REF!/#REF!</f>
        <v>#REF!</v>
      </c>
    </row>
    <row r="33" spans="1:20">
      <c r="A33" s="56"/>
      <c r="B33" s="57"/>
      <c r="C33" s="57"/>
      <c r="D33" s="57"/>
      <c r="E33" s="57"/>
      <c r="F33" s="57"/>
      <c r="G33" s="57"/>
      <c r="H33" s="57"/>
      <c r="I33" s="57"/>
      <c r="M33" s="3">
        <v>2007</v>
      </c>
      <c r="N33" s="3" t="e">
        <f>B14/#REF!</f>
        <v>#REF!</v>
      </c>
      <c r="O33" s="3" t="e">
        <f>C14/#REF!</f>
        <v>#REF!</v>
      </c>
      <c r="P33" s="3" t="e">
        <f>D15/#REF!</f>
        <v>#REF!</v>
      </c>
      <c r="Q33" s="3" t="e">
        <f>I15/#REF!</f>
        <v>#REF!</v>
      </c>
      <c r="R33" s="3" t="e">
        <f>#REF!/#REF!</f>
        <v>#REF!</v>
      </c>
      <c r="S33" s="3" t="e">
        <f>#REF!/#REF!</f>
        <v>#REF!</v>
      </c>
      <c r="T33" s="3" t="e">
        <f>#REF!/#REF!</f>
        <v>#REF!</v>
      </c>
    </row>
    <row r="34" spans="1:20">
      <c r="M34" s="3">
        <v>2008</v>
      </c>
      <c r="N34" s="3" t="e">
        <f>B15/#REF!</f>
        <v>#REF!</v>
      </c>
      <c r="O34" s="3" t="e">
        <f>C15/#REF!</f>
        <v>#REF!</v>
      </c>
      <c r="P34" s="3" t="e">
        <f>D16/#REF!</f>
        <v>#REF!</v>
      </c>
      <c r="Q34" s="3" t="e">
        <f>I16/#REF!</f>
        <v>#REF!</v>
      </c>
      <c r="R34" s="3" t="e">
        <f>#REF!/#REF!</f>
        <v>#REF!</v>
      </c>
      <c r="S34" s="3" t="e">
        <f>#REF!/#REF!</f>
        <v>#REF!</v>
      </c>
      <c r="T34" s="3" t="e">
        <f>#REF!/#REF!</f>
        <v>#REF!</v>
      </c>
    </row>
    <row r="35" spans="1:20">
      <c r="M35" s="3">
        <v>2009</v>
      </c>
      <c r="N35" s="3" t="e">
        <f>B16/#REF!</f>
        <v>#REF!</v>
      </c>
      <c r="O35" s="3" t="e">
        <f>C16/#REF!</f>
        <v>#REF!</v>
      </c>
      <c r="P35" s="3" t="e">
        <f>D17/#REF!</f>
        <v>#REF!</v>
      </c>
      <c r="Q35" s="3" t="e">
        <f>I17/#REF!</f>
        <v>#REF!</v>
      </c>
      <c r="R35" s="3" t="e">
        <f>#REF!/#REF!</f>
        <v>#REF!</v>
      </c>
      <c r="S35" s="3" t="e">
        <f>#REF!/#REF!</f>
        <v>#REF!</v>
      </c>
      <c r="T35" s="3" t="e">
        <f>#REF!/#REF!</f>
        <v>#REF!</v>
      </c>
    </row>
    <row r="36" spans="1:20">
      <c r="M36" s="3">
        <v>2010</v>
      </c>
      <c r="N36" s="3" t="e">
        <f>B17/#REF!</f>
        <v>#REF!</v>
      </c>
      <c r="O36" s="3" t="e">
        <f>C17/#REF!</f>
        <v>#REF!</v>
      </c>
      <c r="P36" s="3" t="e">
        <f>D18/#REF!</f>
        <v>#REF!</v>
      </c>
      <c r="Q36" s="3" t="e">
        <f>I18/#REF!</f>
        <v>#REF!</v>
      </c>
      <c r="R36" s="3" t="e">
        <f>#REF!/#REF!</f>
        <v>#REF!</v>
      </c>
      <c r="S36" s="3" t="e">
        <f>#REF!/#REF!</f>
        <v>#REF!</v>
      </c>
      <c r="T36" s="3" t="e">
        <f>#REF!/#REF!</f>
        <v>#REF!</v>
      </c>
    </row>
    <row r="37" spans="1:20">
      <c r="M37" s="3">
        <v>2011</v>
      </c>
      <c r="N37" s="3" t="e">
        <f>B18/#REF!</f>
        <v>#REF!</v>
      </c>
      <c r="O37" s="3" t="e">
        <f>C18/#REF!</f>
        <v>#REF!</v>
      </c>
      <c r="P37" s="3" t="e">
        <f>D19/#REF!</f>
        <v>#REF!</v>
      </c>
      <c r="Q37" s="3" t="e">
        <f>F19/#REF!</f>
        <v>#REF!</v>
      </c>
      <c r="R37" s="3" t="e">
        <f>J19/#REF!</f>
        <v>#REF!</v>
      </c>
      <c r="S37" s="3" t="e">
        <f>K19/#REF!</f>
        <v>#REF!</v>
      </c>
      <c r="T37" s="3" t="e">
        <f>#REF!/#REF!</f>
        <v>#REF!</v>
      </c>
    </row>
    <row r="38" spans="1:20">
      <c r="M38" s="3">
        <v>2012</v>
      </c>
      <c r="N38" s="3" t="e">
        <f>B19/#REF!</f>
        <v>#REF!</v>
      </c>
      <c r="O38" s="3" t="e">
        <f>C19/#REF!</f>
        <v>#REF!</v>
      </c>
      <c r="P38" s="3" t="e">
        <f>D20/#REF!</f>
        <v>#REF!</v>
      </c>
      <c r="Q38" s="3" t="e">
        <f>F20/#REF!</f>
        <v>#REF!</v>
      </c>
      <c r="R38" s="3" t="e">
        <f>J20/#REF!</f>
        <v>#REF!</v>
      </c>
      <c r="S38" s="3" t="e">
        <f>K20/#REF!</f>
        <v>#REF!</v>
      </c>
      <c r="T38" s="3" t="e">
        <f>#REF!/#REF!</f>
        <v>#REF!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2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view="pageBreakPreview" zoomScaleNormal="100" zoomScaleSheetLayoutView="100" workbookViewId="0">
      <selection activeCell="X28" sqref="X28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2" width="9.140625" style="3"/>
    <col min="13" max="22" width="0" style="3" hidden="1" customWidth="1"/>
    <col min="23" max="16384" width="9.140625" style="3"/>
  </cols>
  <sheetData>
    <row r="1" spans="1:20">
      <c r="A1" s="454" t="s">
        <v>237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66"/>
      <c r="B2" s="66" t="s">
        <v>2</v>
      </c>
      <c r="C2" s="66" t="s">
        <v>8</v>
      </c>
      <c r="D2" s="66" t="s">
        <v>20</v>
      </c>
      <c r="E2" s="66" t="s">
        <v>4</v>
      </c>
      <c r="F2" s="66" t="s">
        <v>36</v>
      </c>
      <c r="G2" s="66" t="s">
        <v>37</v>
      </c>
      <c r="H2" s="66" t="s">
        <v>38</v>
      </c>
      <c r="I2" s="66" t="s">
        <v>5</v>
      </c>
      <c r="J2" s="66" t="s">
        <v>6</v>
      </c>
      <c r="K2" s="66" t="s">
        <v>7</v>
      </c>
    </row>
    <row r="3" spans="1:20">
      <c r="A3" s="66"/>
      <c r="B3" s="52"/>
      <c r="C3" s="52"/>
      <c r="D3" s="52"/>
      <c r="E3" s="52"/>
      <c r="F3" s="52"/>
      <c r="G3" s="52"/>
      <c r="H3" s="52"/>
      <c r="I3" s="52"/>
      <c r="J3" s="52"/>
      <c r="K3" s="52"/>
    </row>
    <row r="4" spans="1:20">
      <c r="A4" s="66">
        <v>1997</v>
      </c>
      <c r="B4" s="71">
        <f>'4F'!B4/'4F'!$B4*100</f>
        <v>100</v>
      </c>
      <c r="C4" s="71">
        <f>'4F'!C4/'4F'!$B4*100</f>
        <v>1.3538229941856166</v>
      </c>
      <c r="D4" s="71">
        <f>'4F'!D4/'4F'!$B4*100</f>
        <v>0.18345637732834252</v>
      </c>
      <c r="E4" s="71">
        <f>'4F'!E4/'4F'!$B4*100</f>
        <v>0.54195455016200389</v>
      </c>
      <c r="F4" s="399">
        <f>'4F'!F4/'4F'!$B4*100</f>
        <v>0.16292849639744936</v>
      </c>
      <c r="G4" s="399">
        <f>'4F'!G4/'4F'!$B4*100</f>
        <v>0.1174342737938483</v>
      </c>
      <c r="H4" s="399">
        <f>'4F'!H4/'4F'!$B4*100</f>
        <v>0.26159177997070615</v>
      </c>
      <c r="I4" s="71">
        <f>'4F'!I4/'4F'!$B4*100</f>
        <v>0.62841206669527017</v>
      </c>
      <c r="J4" s="71">
        <f>'4F'!J4/'4F'!$B4*100</f>
        <v>0.31596292405793669</v>
      </c>
      <c r="K4" s="71">
        <f>'4F'!K4/'4F'!$B4*100</f>
        <v>0.31244914263733337</v>
      </c>
    </row>
    <row r="5" spans="1:20">
      <c r="A5" s="66">
        <v>1998</v>
      </c>
      <c r="B5" s="71">
        <f>'4F'!B5/'4F'!$B5*100</f>
        <v>100</v>
      </c>
      <c r="C5" s="71">
        <f>'4F'!C5/'4F'!$B5*100</f>
        <v>1.2669405271411134</v>
      </c>
      <c r="D5" s="71">
        <f>'4F'!D5/'4F'!$B5*100</f>
        <v>0.14937844060729322</v>
      </c>
      <c r="E5" s="71">
        <f>'4F'!E5/'4F'!$B5*100</f>
        <v>0.55354205119525146</v>
      </c>
      <c r="F5" s="399">
        <f>'4F'!F5/'4F'!$B5*100</f>
        <v>0.16164753315117761</v>
      </c>
      <c r="G5" s="399">
        <f>'4F'!G5/'4F'!$B5*100</f>
        <v>0.11839226527748299</v>
      </c>
      <c r="H5" s="399">
        <f>'4F'!H5/'4F'!$B5*100</f>
        <v>0.27350225276659079</v>
      </c>
      <c r="I5" s="71">
        <f>'4F'!I5/'4F'!$B5*100</f>
        <v>0.56402003533856881</v>
      </c>
      <c r="J5" s="71">
        <f>'4F'!J5/'4F'!$B5*100</f>
        <v>0.26786026130480456</v>
      </c>
      <c r="K5" s="71">
        <f>'4F'!K5/'4F'!$B5*100</f>
        <v>0.29615977403376414</v>
      </c>
    </row>
    <row r="6" spans="1:20">
      <c r="A6" s="66">
        <v>1999</v>
      </c>
      <c r="B6" s="71">
        <f>'4F'!B6/'4F'!$B6*100</f>
        <v>100</v>
      </c>
      <c r="C6" s="71">
        <f>'4F'!C6/'4F'!$B6*100</f>
        <v>1.2888294777453182</v>
      </c>
      <c r="D6" s="71">
        <f>'4F'!D6/'4F'!$B6*100</f>
        <v>0.15350455686756775</v>
      </c>
      <c r="E6" s="71">
        <f>'4F'!E6/'4F'!$B6*100</f>
        <v>0.55496463307192623</v>
      </c>
      <c r="F6" s="399">
        <f>'4F'!F6/'4F'!$B6*100</f>
        <v>0.14898204301084622</v>
      </c>
      <c r="G6" s="399">
        <f>'4F'!G6/'4F'!$B6*100</f>
        <v>0.13271838741071296</v>
      </c>
      <c r="H6" s="399">
        <f>'4F'!H6/'4F'!$B6*100</f>
        <v>0.27326420265036705</v>
      </c>
      <c r="I6" s="71">
        <f>'4F'!I6/'4F'!$B6*100</f>
        <v>0.58036028780582416</v>
      </c>
      <c r="J6" s="71">
        <f>'4F'!J6/'4F'!$B6*100</f>
        <v>0.28074374479802194</v>
      </c>
      <c r="K6" s="71">
        <f>'4F'!K6/'4F'!$B6*100</f>
        <v>0.29961654300780222</v>
      </c>
    </row>
    <row r="7" spans="1:20">
      <c r="A7" s="66">
        <v>2000</v>
      </c>
      <c r="B7" s="71">
        <f>'4F'!B7/'4F'!$B7*100</f>
        <v>100</v>
      </c>
      <c r="C7" s="71">
        <f>'4F'!C7/'4F'!$B7*100</f>
        <v>1.2456448418641974</v>
      </c>
      <c r="D7" s="71">
        <f>'4F'!D7/'4F'!$B7*100</f>
        <v>0.1556845097709961</v>
      </c>
      <c r="E7" s="71">
        <f>'4F'!E7/'4F'!$B7*100</f>
        <v>0.52367374939772449</v>
      </c>
      <c r="F7" s="399">
        <f>'4F'!F7/'4F'!$B7*100</f>
        <v>0.1357703936160069</v>
      </c>
      <c r="G7" s="399">
        <f>'4F'!G7/'4F'!$B7*100</f>
        <v>0.12125671574033681</v>
      </c>
      <c r="H7" s="399">
        <f>'4F'!H7/'4F'!$B7*100</f>
        <v>0.26664664004138083</v>
      </c>
      <c r="I7" s="71">
        <f>'4F'!I7/'4F'!$B7*100</f>
        <v>0.56628658269547694</v>
      </c>
      <c r="J7" s="71">
        <f>'4F'!J7/'4F'!$B7*100</f>
        <v>0.25280801695062566</v>
      </c>
      <c r="K7" s="71">
        <f>'4F'!K7/'4F'!$B7*100</f>
        <v>0.31347856574485122</v>
      </c>
    </row>
    <row r="8" spans="1:20">
      <c r="A8" s="66">
        <v>2001</v>
      </c>
      <c r="B8" s="71">
        <f>'4F'!B8/'4F'!$B8*100</f>
        <v>100</v>
      </c>
      <c r="C8" s="71">
        <f>'4F'!C8/'4F'!$B8*100</f>
        <v>1.2288587782556673</v>
      </c>
      <c r="D8" s="71">
        <f>'4F'!D8/'4F'!$B8*100</f>
        <v>0.13781128808778131</v>
      </c>
      <c r="E8" s="71">
        <f>'4F'!E8/'4F'!$B8*100</f>
        <v>0.51840924977425318</v>
      </c>
      <c r="F8" s="399">
        <f>'4F'!F8/'4F'!$B8*100</f>
        <v>0.14129388381563138</v>
      </c>
      <c r="G8" s="399">
        <f>'4F'!G8/'4F'!$B8*100</f>
        <v>0.11674987582887851</v>
      </c>
      <c r="H8" s="399">
        <f>'4F'!H8/'4F'!$B8*100</f>
        <v>0.2603654901297433</v>
      </c>
      <c r="I8" s="71">
        <f>'4F'!I8/'4F'!$B8*100</f>
        <v>0.57263824039363287</v>
      </c>
      <c r="J8" s="71">
        <f>'4F'!J8/'4F'!$B8*100</f>
        <v>0.2410453757347655</v>
      </c>
      <c r="K8" s="71">
        <f>'4F'!K8/'4F'!$B8*100</f>
        <v>0.33159286465886728</v>
      </c>
      <c r="M8" s="3">
        <v>2000</v>
      </c>
      <c r="N8" s="3" t="e">
        <f>((#REF!/#REF!)-1)*100</f>
        <v>#REF!</v>
      </c>
      <c r="O8" s="3" t="e">
        <f>((#REF!/#REF!)-1)*100</f>
        <v>#REF!</v>
      </c>
      <c r="P8" s="3" t="e">
        <f>((#REF!/#REF!)-1)*100</f>
        <v>#REF!</v>
      </c>
      <c r="Q8" s="3" t="e">
        <f>((#REF!/#REF!)-1)*100</f>
        <v>#REF!</v>
      </c>
      <c r="R8" s="3" t="e">
        <f>((#REF!/#REF!)-1)*100</f>
        <v>#REF!</v>
      </c>
      <c r="S8" s="3" t="e">
        <f>((#REF!/#REF!)-1)*100</f>
        <v>#REF!</v>
      </c>
      <c r="T8" s="3" t="e">
        <f>((#REF!/#REF!)-1)*100</f>
        <v>#REF!</v>
      </c>
    </row>
    <row r="9" spans="1:20">
      <c r="A9" s="66">
        <v>2002</v>
      </c>
      <c r="B9" s="71">
        <f>'4F'!B9/'4F'!$B9*100</f>
        <v>100</v>
      </c>
      <c r="C9" s="71">
        <f>'4F'!C9/'4F'!$B9*100</f>
        <v>1.1853561484191315</v>
      </c>
      <c r="D9" s="71">
        <f>'4F'!D9/'4F'!$B9*100</f>
        <v>0.13144382161102564</v>
      </c>
      <c r="E9" s="71">
        <f>'4F'!E9/'4F'!$B9*100</f>
        <v>0.50158766871270566</v>
      </c>
      <c r="F9" s="399">
        <f>'4F'!F9/'4F'!$B9*100</f>
        <v>0.126068795448493</v>
      </c>
      <c r="G9" s="399">
        <f>'4F'!G9/'4F'!$B9*100</f>
        <v>0.11197971171943014</v>
      </c>
      <c r="H9" s="399">
        <f>'4F'!H9/'4F'!$B9*100</f>
        <v>0.26353916154478252</v>
      </c>
      <c r="I9" s="71">
        <f>'4F'!I9/'4F'!$B9*100</f>
        <v>0.55232465809540021</v>
      </c>
      <c r="J9" s="71">
        <f>'4F'!J9/'4F'!$B9*100</f>
        <v>0.22062039203486275</v>
      </c>
      <c r="K9" s="71">
        <f>'4F'!K9/'4F'!$B9*100</f>
        <v>0.33170426606053749</v>
      </c>
      <c r="M9" s="3">
        <v>2001</v>
      </c>
      <c r="N9" s="3" t="e">
        <f>((B8/#REF!)-1)*100</f>
        <v>#REF!</v>
      </c>
      <c r="O9" s="3" t="e">
        <f>((C8/#REF!)-1)*100</f>
        <v>#REF!</v>
      </c>
      <c r="P9" s="3" t="e">
        <f>((D8/#REF!)-1)*100</f>
        <v>#REF!</v>
      </c>
      <c r="Q9" s="3" t="e">
        <f>((E8/#REF!)-1)*100</f>
        <v>#REF!</v>
      </c>
      <c r="R9" s="3" t="e">
        <f>((I8/#REF!)-1)*100</f>
        <v>#REF!</v>
      </c>
      <c r="S9" s="3" t="e">
        <f>((J8/#REF!)-1)*100</f>
        <v>#REF!</v>
      </c>
      <c r="T9" s="3" t="e">
        <f>((K8/#REF!)-1)*100</f>
        <v>#REF!</v>
      </c>
    </row>
    <row r="10" spans="1:20">
      <c r="A10" s="66">
        <v>2003</v>
      </c>
      <c r="B10" s="71">
        <f>'4F'!B10/'4F'!$B10*100</f>
        <v>100</v>
      </c>
      <c r="C10" s="71">
        <f>'4F'!C10/'4F'!$B10*100</f>
        <v>1.1529449166113748</v>
      </c>
      <c r="D10" s="71">
        <f>'4F'!D10/'4F'!$B10*100</f>
        <v>0.12423873132563755</v>
      </c>
      <c r="E10" s="71">
        <f>'4F'!E10/'4F'!$B10*100</f>
        <v>0.48319455658793464</v>
      </c>
      <c r="F10" s="399">
        <f>'4F'!F10/'4F'!$B10*100</f>
        <v>0.11807029017770646</v>
      </c>
      <c r="G10" s="399">
        <f>'4F'!G10/'4F'!$B10*100</f>
        <v>0.11727946438951017</v>
      </c>
      <c r="H10" s="399">
        <f>'4F'!H10/'4F'!$B10*100</f>
        <v>0.24784480202071804</v>
      </c>
      <c r="I10" s="71">
        <f>'4F'!I10/'4F'!$B10*100</f>
        <v>0.54551162869780245</v>
      </c>
      <c r="J10" s="71">
        <f>'4F'!J10/'4F'!$B10*100</f>
        <v>0.20514020945811826</v>
      </c>
      <c r="K10" s="71">
        <f>'4F'!K10/'4F'!$B10*100</f>
        <v>0.34037141923968428</v>
      </c>
      <c r="M10" s="3">
        <v>2002</v>
      </c>
      <c r="N10" s="3">
        <f t="shared" ref="N10:Q20" si="0">((B9/B8)-1)*100</f>
        <v>0</v>
      </c>
      <c r="O10" s="3">
        <f t="shared" si="0"/>
        <v>-3.5400837432505106</v>
      </c>
      <c r="P10" s="3">
        <f t="shared" si="0"/>
        <v>-4.6204244696557817</v>
      </c>
      <c r="Q10" s="3">
        <f t="shared" si="0"/>
        <v>-3.2448458566031846</v>
      </c>
      <c r="R10" s="3">
        <f t="shared" ref="R10:T20" si="1">((I9/I8)-1)*100</f>
        <v>-3.5473674067364125</v>
      </c>
      <c r="S10" s="3">
        <f t="shared" si="1"/>
        <v>-8.4735015710807104</v>
      </c>
      <c r="T10" s="3">
        <f t="shared" si="1"/>
        <v>3.3595838012012713E-2</v>
      </c>
    </row>
    <row r="11" spans="1:20">
      <c r="A11" s="66">
        <v>2004</v>
      </c>
      <c r="B11" s="71">
        <f>'4F'!B11/'4F'!$B11*100</f>
        <v>100</v>
      </c>
      <c r="C11" s="71">
        <f>'4F'!C11/'4F'!$B11*100</f>
        <v>1.1017033056556234</v>
      </c>
      <c r="D11" s="71">
        <f>'4F'!D11/'4F'!$B11*100</f>
        <v>0.11943174810815278</v>
      </c>
      <c r="E11" s="71">
        <f>'4F'!E11/'4F'!$B11*100</f>
        <v>0.46244721264853933</v>
      </c>
      <c r="F11" s="399">
        <f>'4F'!F11/'4F'!$B11*100</f>
        <v>0.11865216750692462</v>
      </c>
      <c r="G11" s="399">
        <f>'4F'!G11/'4F'!$B11*100</f>
        <v>0.10898536805169555</v>
      </c>
      <c r="H11" s="399">
        <f>'4F'!H11/'4F'!$B11*100</f>
        <v>0.23480967708991918</v>
      </c>
      <c r="I11" s="71">
        <f>'4F'!I11/'4F'!$B11*100</f>
        <v>0.51982434489893126</v>
      </c>
      <c r="J11" s="71">
        <f>'4F'!J11/'4F'!$B11*100</f>
        <v>0.19785755659170479</v>
      </c>
      <c r="K11" s="71">
        <f>'4F'!K11/'4F'!$B11*100</f>
        <v>0.32196678830722647</v>
      </c>
      <c r="M11" s="3">
        <v>2003</v>
      </c>
      <c r="N11" s="3">
        <f t="shared" si="0"/>
        <v>0</v>
      </c>
      <c r="O11" s="3">
        <f t="shared" si="0"/>
        <v>-2.7343032599090544</v>
      </c>
      <c r="P11" s="3">
        <f t="shared" si="0"/>
        <v>-5.4814978726879238</v>
      </c>
      <c r="Q11" s="3">
        <f t="shared" si="0"/>
        <v>-3.6669785307872127</v>
      </c>
      <c r="R11" s="3">
        <f t="shared" si="1"/>
        <v>-1.2335189634827048</v>
      </c>
      <c r="S11" s="3">
        <f t="shared" si="1"/>
        <v>-7.0166598989173661</v>
      </c>
      <c r="T11" s="3">
        <f t="shared" si="1"/>
        <v>2.612915800595994</v>
      </c>
    </row>
    <row r="12" spans="1:20">
      <c r="A12" s="66">
        <v>2005</v>
      </c>
      <c r="B12" s="453">
        <f>'4F'!B12/'4F'!$B12*100</f>
        <v>100</v>
      </c>
      <c r="C12" s="453">
        <f>'4F'!C12/'4F'!$B12*100</f>
        <v>1.0624215978266727</v>
      </c>
      <c r="D12" s="453">
        <f>'4F'!D12/'4F'!$B12*100</f>
        <v>0.11582357875618558</v>
      </c>
      <c r="E12" s="453">
        <f>'4F'!E12/'4F'!$B12*100</f>
        <v>0.44513194652875582</v>
      </c>
      <c r="F12" s="453">
        <f>'4F'!F12/'4F'!$B12*100</f>
        <v>0.11590053794472792</v>
      </c>
      <c r="G12" s="453">
        <f>'4F'!G12/'4F'!$B12*100</f>
        <v>0.10235572076128029</v>
      </c>
      <c r="H12" s="453">
        <f>'4F'!H12/'4F'!$B12*100</f>
        <v>0.22687568782274758</v>
      </c>
      <c r="I12" s="453">
        <f>'4F'!I12/'4F'!$B12*100</f>
        <v>0.50146607254173114</v>
      </c>
      <c r="J12" s="453">
        <f>'4F'!J12/'4F'!$B12*100</f>
        <v>0.16954109235872217</v>
      </c>
      <c r="K12" s="453">
        <f>'4F'!K12/'4F'!$B12*100</f>
        <v>0.33192498018300898</v>
      </c>
      <c r="M12" s="3">
        <v>2004</v>
      </c>
      <c r="N12" s="3">
        <f t="shared" si="0"/>
        <v>0</v>
      </c>
      <c r="O12" s="3">
        <f t="shared" si="0"/>
        <v>-4.4444110223718081</v>
      </c>
      <c r="P12" s="3">
        <f t="shared" si="0"/>
        <v>-3.8691502772073227</v>
      </c>
      <c r="Q12" s="3">
        <f t="shared" si="0"/>
        <v>-4.2937867690195253</v>
      </c>
      <c r="R12" s="3">
        <f t="shared" si="1"/>
        <v>-4.7088425704488905</v>
      </c>
      <c r="S12" s="3">
        <f t="shared" si="1"/>
        <v>-3.5500855174374291</v>
      </c>
      <c r="T12" s="3">
        <f t="shared" si="1"/>
        <v>-5.4072198463577692</v>
      </c>
    </row>
    <row r="13" spans="1:20">
      <c r="A13" s="66">
        <v>2006</v>
      </c>
      <c r="B13" s="453">
        <f>'4F'!B13/'4F'!$B13*100</f>
        <v>100</v>
      </c>
      <c r="C13" s="453">
        <f>'4F'!C13/'4F'!$B13*100</f>
        <v>0.98750839530456236</v>
      </c>
      <c r="D13" s="453">
        <f>'4F'!D13/'4F'!$B13*100</f>
        <v>0.10755117237623438</v>
      </c>
      <c r="E13" s="453">
        <f>'4F'!E13/'4F'!$B13*100</f>
        <v>0.42191396971072992</v>
      </c>
      <c r="F13" s="453">
        <f>'4F'!F13/'4F'!$B13*100</f>
        <v>0.10724692577828181</v>
      </c>
      <c r="G13" s="453">
        <f>'4F'!G13/'4F'!$B13*100</f>
        <v>9.0437301241402188E-2</v>
      </c>
      <c r="H13" s="453">
        <f>'4F'!H13/'4F'!$B13*100</f>
        <v>0.22422974269104595</v>
      </c>
      <c r="I13" s="453">
        <f>'4F'!I13/'4F'!$B13*100</f>
        <v>0.45804325321759792</v>
      </c>
      <c r="J13" s="453">
        <f>'4F'!J13/'4F'!$B13*100</f>
        <v>0.14413682578003123</v>
      </c>
      <c r="K13" s="453">
        <f>'4F'!K13/'4F'!$B13*100</f>
        <v>0.31390642743756669</v>
      </c>
      <c r="M13" s="3">
        <v>2005</v>
      </c>
      <c r="N13" s="3">
        <f t="shared" si="0"/>
        <v>0</v>
      </c>
      <c r="O13" s="3">
        <f t="shared" si="0"/>
        <v>-3.56554324810473</v>
      </c>
      <c r="P13" s="3">
        <f t="shared" si="0"/>
        <v>-3.0211140748771292</v>
      </c>
      <c r="Q13" s="3">
        <f t="shared" si="0"/>
        <v>-3.7442686746050557</v>
      </c>
      <c r="R13" s="3">
        <f t="shared" si="1"/>
        <v>-3.5316299702680354</v>
      </c>
      <c r="S13" s="3">
        <f t="shared" si="1"/>
        <v>-14.311540443924486</v>
      </c>
      <c r="T13" s="3">
        <f t="shared" si="1"/>
        <v>3.0929251827925164</v>
      </c>
    </row>
    <row r="14" spans="1:20">
      <c r="A14" s="66">
        <v>2007</v>
      </c>
      <c r="B14" s="71">
        <f>'4F'!B14/'4F'!$B14*100</f>
        <v>100</v>
      </c>
      <c r="C14" s="71">
        <f>'4F'!C14/'4F'!$B14*100</f>
        <v>0.86599579435344165</v>
      </c>
      <c r="D14" s="71">
        <f>'4F'!D14/'4F'!$B14*100</f>
        <v>9.065438426705856E-2</v>
      </c>
      <c r="E14" s="71">
        <f>'4F'!E14/'4F'!$B14*100</f>
        <v>0.36926353393789502</v>
      </c>
      <c r="F14" s="71">
        <f>'4F'!F14/'4F'!$B14*100</f>
        <v>8.4904476862970008E-2</v>
      </c>
      <c r="G14" s="71">
        <f>'4F'!G14/'4F'!$B14*100</f>
        <v>7.3180639688399815E-2</v>
      </c>
      <c r="H14" s="71">
        <f>'4F'!H14/'4F'!$B14*100</f>
        <v>0.21117841738652518</v>
      </c>
      <c r="I14" s="71">
        <f>'4F'!I14/'4F'!$B14*100</f>
        <v>0.40607787614848795</v>
      </c>
      <c r="J14" s="71">
        <f>'4F'!J14/'4F'!$B14*100</f>
        <v>0.12754340059978256</v>
      </c>
      <c r="K14" s="71">
        <f>'4F'!K14/'4F'!$B14*100</f>
        <v>0.27853447554870542</v>
      </c>
      <c r="M14" s="3">
        <v>2006</v>
      </c>
      <c r="N14" s="3">
        <f t="shared" si="0"/>
        <v>0</v>
      </c>
      <c r="O14" s="3">
        <f t="shared" si="0"/>
        <v>-7.05117466318036</v>
      </c>
      <c r="P14" s="3">
        <f t="shared" si="0"/>
        <v>-7.142247259830425</v>
      </c>
      <c r="Q14" s="3">
        <f t="shared" si="0"/>
        <v>-5.2159762962611822</v>
      </c>
      <c r="R14" s="3">
        <f t="shared" si="1"/>
        <v>-8.6591739106177794</v>
      </c>
      <c r="S14" s="3">
        <f t="shared" si="1"/>
        <v>-14.984135247247032</v>
      </c>
      <c r="T14" s="3">
        <f t="shared" si="1"/>
        <v>-5.4285015654765285</v>
      </c>
    </row>
    <row r="15" spans="1:20">
      <c r="A15" s="66">
        <v>2008</v>
      </c>
      <c r="B15" s="71">
        <f>'4F'!B15/'4F'!$B15*100</f>
        <v>100</v>
      </c>
      <c r="C15" s="71">
        <f>'4F'!C15/'4F'!$B15*100</f>
        <v>0.78212992387850133</v>
      </c>
      <c r="D15" s="71">
        <f>'4F'!D15/'4F'!$B15*100</f>
        <v>8.454659670386519E-2</v>
      </c>
      <c r="E15" s="71">
        <f>'4F'!E15/'4F'!$B15*100</f>
        <v>0.32606607050476683</v>
      </c>
      <c r="F15" s="71">
        <f>'4F'!F15/'4F'!$B15*100</f>
        <v>6.5035843618357847E-2</v>
      </c>
      <c r="G15" s="71">
        <f>'4F'!G15/'4F'!$B15*100</f>
        <v>6.0010346611484737E-2</v>
      </c>
      <c r="H15" s="71">
        <f>'4F'!H15/'4F'!$B15*100</f>
        <v>0.20101988027492423</v>
      </c>
      <c r="I15" s="71">
        <f>'4F'!I15/'4F'!$B15*100</f>
        <v>0.37151725666986918</v>
      </c>
      <c r="J15" s="71">
        <f>'4F'!J15/'4F'!$B15*100</f>
        <v>0.11469957874510385</v>
      </c>
      <c r="K15" s="71">
        <f>'4F'!K15/'4F'!$B15*100</f>
        <v>0.25681767792476534</v>
      </c>
      <c r="M15" s="3">
        <v>2007</v>
      </c>
      <c r="N15" s="3">
        <f t="shared" si="0"/>
        <v>0</v>
      </c>
      <c r="O15" s="3">
        <f t="shared" si="0"/>
        <v>-12.30496890243089</v>
      </c>
      <c r="P15" s="3">
        <f t="shared" si="0"/>
        <v>-15.710463899052307</v>
      </c>
      <c r="Q15" s="3">
        <f t="shared" si="0"/>
        <v>-12.478950580596504</v>
      </c>
      <c r="R15" s="3">
        <f t="shared" si="1"/>
        <v>-11.34508077655787</v>
      </c>
      <c r="S15" s="3">
        <f t="shared" si="1"/>
        <v>-11.512273210159407</v>
      </c>
      <c r="T15" s="3">
        <f t="shared" si="1"/>
        <v>-11.268310807651893</v>
      </c>
    </row>
    <row r="16" spans="1:20">
      <c r="A16" s="66">
        <v>2009</v>
      </c>
      <c r="B16" s="71">
        <f>'4F'!B16/'4F'!$B16*100</f>
        <v>100</v>
      </c>
      <c r="C16" s="71">
        <f>'4F'!C16/'4F'!$B16*100</f>
        <v>0.69486654096495615</v>
      </c>
      <c r="D16" s="71">
        <f>'4F'!D16/'4F'!$B16*100</f>
        <v>6.456657510273503E-2</v>
      </c>
      <c r="E16" s="71">
        <f>'4F'!E16/'4F'!$B16*100</f>
        <v>0.27348069853010748</v>
      </c>
      <c r="F16" s="71">
        <f>'4F'!F16/'4F'!$B16*100</f>
        <v>4.9427870506548628E-2</v>
      </c>
      <c r="G16" s="71">
        <f>'4F'!G16/'4F'!$B16*100</f>
        <v>5.3742401316461748E-2</v>
      </c>
      <c r="H16" s="71">
        <f>'4F'!H16/'4F'!$B16*100</f>
        <v>0.17031042670709709</v>
      </c>
      <c r="I16" s="71">
        <f>'4F'!I16/'4F'!$B16*100</f>
        <v>0.35681926733211367</v>
      </c>
      <c r="J16" s="71">
        <f>'4F'!J16/'4F'!$B16*100</f>
        <v>0.1018077884093536</v>
      </c>
      <c r="K16" s="71">
        <f>'4F'!K16/'4F'!$B16*100</f>
        <v>0.25501147892276005</v>
      </c>
      <c r="M16" s="3">
        <v>2008</v>
      </c>
      <c r="N16" s="3">
        <f t="shared" si="0"/>
        <v>0</v>
      </c>
      <c r="O16" s="3">
        <f t="shared" si="0"/>
        <v>-9.6843276863203602</v>
      </c>
      <c r="P16" s="3">
        <f t="shared" si="0"/>
        <v>-6.7374431061165811</v>
      </c>
      <c r="Q16" s="3">
        <f t="shared" si="0"/>
        <v>-11.69827493456026</v>
      </c>
      <c r="R16" s="3">
        <f t="shared" si="1"/>
        <v>-8.5108353615357295</v>
      </c>
      <c r="S16" s="3">
        <f t="shared" si="1"/>
        <v>-10.070157918229917</v>
      </c>
      <c r="T16" s="3">
        <f t="shared" si="1"/>
        <v>-7.7968077672103453</v>
      </c>
    </row>
    <row r="17" spans="1:20">
      <c r="A17" s="66">
        <v>2010</v>
      </c>
      <c r="B17" s="71">
        <f>'4F'!B17/'4F'!$B17*100</f>
        <v>100</v>
      </c>
      <c r="C17" s="71">
        <f>'4F'!C17/'4F'!$B17*100</f>
        <v>0.6573741554568141</v>
      </c>
      <c r="D17" s="71">
        <f>'4F'!D17/'4F'!$B17*100</f>
        <v>6.3317542299532806E-2</v>
      </c>
      <c r="E17" s="71">
        <f>'4F'!E17/'4F'!$B17*100</f>
        <v>0.26759641264925643</v>
      </c>
      <c r="F17" s="71">
        <f>'4F'!F17/'4F'!$B17*100</f>
        <v>5.0921259106072099E-2</v>
      </c>
      <c r="G17" s="71">
        <f>'4F'!G17/'4F'!$B17*100</f>
        <v>5.3073907085774863E-2</v>
      </c>
      <c r="H17" s="71">
        <f>'4F'!H17/'4F'!$B17*100</f>
        <v>0.1636012464574095</v>
      </c>
      <c r="I17" s="71">
        <f>'4F'!I17/'4F'!$B17*100</f>
        <v>0.32646020050802493</v>
      </c>
      <c r="J17" s="71">
        <f>'4F'!J17/'4F'!$B17*100</f>
        <v>8.9000859574607072E-2</v>
      </c>
      <c r="K17" s="71">
        <f>'4F'!K17/'4F'!$B17*100</f>
        <v>0.23745934093341783</v>
      </c>
      <c r="M17" s="3">
        <v>2009</v>
      </c>
      <c r="N17" s="3">
        <f t="shared" si="0"/>
        <v>0</v>
      </c>
      <c r="O17" s="3">
        <f t="shared" si="0"/>
        <v>-11.157146690004538</v>
      </c>
      <c r="P17" s="3">
        <f t="shared" si="0"/>
        <v>-23.631964360567505</v>
      </c>
      <c r="Q17" s="3">
        <f t="shared" si="0"/>
        <v>-16.127213694222931</v>
      </c>
      <c r="R17" s="3">
        <f t="shared" si="1"/>
        <v>-3.9562063602381126</v>
      </c>
      <c r="S17" s="3">
        <f t="shared" si="1"/>
        <v>-11.239614370685347</v>
      </c>
      <c r="T17" s="3">
        <f t="shared" si="1"/>
        <v>-0.703300106363558</v>
      </c>
    </row>
    <row r="18" spans="1:20">
      <c r="A18" s="66">
        <v>2011</v>
      </c>
      <c r="B18" s="71">
        <f>'4F'!B18/'4F'!$B18*100</f>
        <v>100</v>
      </c>
      <c r="C18" s="71">
        <f>'4F'!C18/'4F'!$B18*100</f>
        <v>0.6318837333930557</v>
      </c>
      <c r="D18" s="71">
        <f>'4F'!D18/'4F'!$B18*100</f>
        <v>7.0168907102911238E-2</v>
      </c>
      <c r="E18" s="71">
        <f>'4F'!E18/'4F'!$B18*100</f>
        <v>0.24780894860800157</v>
      </c>
      <c r="F18" s="71">
        <f>'4F'!F18/'4F'!$B18*100</f>
        <v>4.9736303065690456E-2</v>
      </c>
      <c r="G18" s="71">
        <f>'4F'!G18/'4F'!$B18*100</f>
        <v>4.3846477702648171E-2</v>
      </c>
      <c r="H18" s="71">
        <f>'4F'!H18/'4F'!$B18*100</f>
        <v>0.15422616783966295</v>
      </c>
      <c r="I18" s="71">
        <f>'4F'!I18/'4F'!$B18*100</f>
        <v>0.31390587768214284</v>
      </c>
      <c r="J18" s="71">
        <f>'4F'!J18/'4F'!$B18*100</f>
        <v>8.9583516632939536E-2</v>
      </c>
      <c r="K18" s="71">
        <f>'4F'!K18/'4F'!$B18*100</f>
        <v>0.22432236104920331</v>
      </c>
      <c r="M18" s="3">
        <v>2010</v>
      </c>
      <c r="N18" s="3">
        <f t="shared" si="0"/>
        <v>0</v>
      </c>
      <c r="O18" s="3">
        <f t="shared" si="0"/>
        <v>-5.3956239504749597</v>
      </c>
      <c r="P18" s="3">
        <f t="shared" si="0"/>
        <v>-1.9344882413459663</v>
      </c>
      <c r="Q18" s="3">
        <f t="shared" si="0"/>
        <v>-2.1516274868675023</v>
      </c>
      <c r="R18" s="3">
        <f t="shared" si="1"/>
        <v>-8.50824762100968</v>
      </c>
      <c r="S18" s="3">
        <f t="shared" si="1"/>
        <v>-12.579517770538162</v>
      </c>
      <c r="T18" s="3">
        <f t="shared" si="1"/>
        <v>-6.8828815328185851</v>
      </c>
    </row>
    <row r="19" spans="1:20">
      <c r="A19" s="66">
        <v>2012</v>
      </c>
      <c r="B19" s="71">
        <f>'4F'!B19/'4F'!$B19*100</f>
        <v>100</v>
      </c>
      <c r="C19" s="71">
        <f>'4F'!C19/'4F'!$B19*100</f>
        <v>0.57684515426149974</v>
      </c>
      <c r="D19" s="71">
        <f>'4F'!D19/'4F'!$B19*100</f>
        <v>6.0236029554072167E-2</v>
      </c>
      <c r="E19" s="71">
        <f>'4F'!E19/'4F'!$B19*100</f>
        <v>0.22644687885309439</v>
      </c>
      <c r="F19" s="71">
        <f>'4F'!F19/'4F'!$B19*100</f>
        <v>3.0734147449971841E-2</v>
      </c>
      <c r="G19" s="71">
        <f>'4F'!G19/'4F'!$B19*100</f>
        <v>4.3564204286398761E-2</v>
      </c>
      <c r="H19" s="71">
        <f>'4F'!H19/'4F'!$B19*100</f>
        <v>0.1521485271167238</v>
      </c>
      <c r="I19" s="71">
        <f>'4F'!I19/'4F'!$B19*100</f>
        <v>0.2901622458543332</v>
      </c>
      <c r="J19" s="71">
        <f>'4F'!J19/'4F'!$B19*100</f>
        <v>8.3214153944735067E-2</v>
      </c>
      <c r="K19" s="71">
        <f>'4F'!K19/'4F'!$B19*100</f>
        <v>0.20694809190959809</v>
      </c>
      <c r="M19" s="3">
        <v>2011</v>
      </c>
      <c r="N19" s="3">
        <f t="shared" si="0"/>
        <v>0</v>
      </c>
      <c r="O19" s="3">
        <f t="shared" si="0"/>
        <v>-3.8776124452359895</v>
      </c>
      <c r="P19" s="3">
        <f t="shared" si="0"/>
        <v>10.820642360006749</v>
      </c>
      <c r="Q19" s="3">
        <f t="shared" si="0"/>
        <v>-7.3945176788265288</v>
      </c>
      <c r="R19" s="3">
        <f t="shared" si="1"/>
        <v>-3.8455906129891249</v>
      </c>
      <c r="S19" s="3">
        <f t="shared" si="1"/>
        <v>0.65466452921618679</v>
      </c>
      <c r="T19" s="3">
        <f t="shared" si="1"/>
        <v>-5.5323070604740066</v>
      </c>
    </row>
    <row r="20" spans="1:20">
      <c r="A20" s="20">
        <v>2013</v>
      </c>
      <c r="B20" s="71">
        <f>'4F'!B20/'4F'!$B20*100</f>
        <v>100</v>
      </c>
      <c r="C20" s="71">
        <f>'4F'!C20/'4F'!$B20*100</f>
        <v>0.57026380843922064</v>
      </c>
      <c r="D20" s="71">
        <f>'4F'!D20/'4F'!$B20*100</f>
        <v>6.0751221256232696E-2</v>
      </c>
      <c r="E20" s="71">
        <f>'4F'!E20/'4F'!$B20*100</f>
        <v>0.22505727921417976</v>
      </c>
      <c r="F20" s="71">
        <f>'4F'!F20/'4F'!$B20*100</f>
        <v>2.9699014377314228E-2</v>
      </c>
      <c r="G20" s="71">
        <f>'4F'!G20/'4F'!$B20*100</f>
        <v>4.686319295029439E-2</v>
      </c>
      <c r="H20" s="71">
        <f>'4F'!H20/'4F'!$B20*100</f>
        <v>0.14849507188657113</v>
      </c>
      <c r="I20" s="71">
        <f>'4F'!I20/'4F'!$B20*100</f>
        <v>0.28445530796880825</v>
      </c>
      <c r="J20" s="71">
        <f>'4F'!J20/'4F'!$B20*100</f>
        <v>8.6319437470755017E-2</v>
      </c>
      <c r="K20" s="71">
        <f>'4F'!K20/'4F'!$B20*100</f>
        <v>0.19813587049805317</v>
      </c>
      <c r="M20" s="3">
        <v>2012</v>
      </c>
      <c r="N20" s="3">
        <f t="shared" si="0"/>
        <v>0</v>
      </c>
      <c r="O20" s="3">
        <f t="shared" si="0"/>
        <v>-8.710238327550023</v>
      </c>
      <c r="P20" s="3">
        <f t="shared" si="0"/>
        <v>-14.155668028677281</v>
      </c>
      <c r="Q20" s="3">
        <f t="shared" si="0"/>
        <v>-8.6203786727245824</v>
      </c>
      <c r="R20" s="3">
        <f t="shared" si="1"/>
        <v>-7.5639334959672677</v>
      </c>
      <c r="S20" s="3">
        <f t="shared" si="1"/>
        <v>-7.1099717086373859</v>
      </c>
      <c r="T20" s="3">
        <f t="shared" si="1"/>
        <v>-7.7452239082818402</v>
      </c>
    </row>
    <row r="21" spans="1:20">
      <c r="A21" s="52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20">
      <c r="A22" s="52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20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N23" s="3" t="s">
        <v>27</v>
      </c>
    </row>
    <row r="24" spans="1:20" ht="30">
      <c r="A24" s="67" t="s">
        <v>19</v>
      </c>
      <c r="B24" s="13">
        <f>((B7/B4)^(1/3)-1)*100</f>
        <v>0</v>
      </c>
      <c r="C24" s="13">
        <f t="shared" ref="C24:E24" si="2">((C7/C4)^(1/3)-1)*100</f>
        <v>-2.7377939148973018</v>
      </c>
      <c r="D24" s="13">
        <f t="shared" si="2"/>
        <v>-5.3245168619242893</v>
      </c>
      <c r="E24" s="13">
        <f t="shared" si="2"/>
        <v>-1.1372593335823411</v>
      </c>
      <c r="F24" s="13">
        <f t="shared" ref="F24:K24" si="3">((F7/F4)^(1/3)-1)*100</f>
        <v>-5.8971718515420601</v>
      </c>
      <c r="G24" s="13">
        <f t="shared" si="3"/>
        <v>1.07342398709529</v>
      </c>
      <c r="H24" s="13">
        <f t="shared" si="3"/>
        <v>0.64001068406756012</v>
      </c>
      <c r="I24" s="13">
        <f t="shared" si="3"/>
        <v>-3.4103515594797851</v>
      </c>
      <c r="J24" s="13">
        <f t="shared" si="3"/>
        <v>-7.1636110850443639</v>
      </c>
      <c r="K24" s="13">
        <f t="shared" si="3"/>
        <v>0.10970261381277879</v>
      </c>
    </row>
    <row r="25" spans="1:20" ht="30">
      <c r="A25" s="327" t="s">
        <v>68</v>
      </c>
      <c r="B25" s="13">
        <f>((B14/B7)^(1/7)-1)*100</f>
        <v>0</v>
      </c>
      <c r="C25" s="13">
        <f t="shared" ref="C25:E25" si="4">((C14/C7)^(1/7)-1)*100</f>
        <v>-5.0607196137686721</v>
      </c>
      <c r="D25" s="13">
        <f t="shared" si="4"/>
        <v>-7.4345198058005657</v>
      </c>
      <c r="E25" s="13">
        <f t="shared" si="4"/>
        <v>-4.8683371148086625</v>
      </c>
      <c r="F25" s="13">
        <f t="shared" ref="F25:K25" si="5">((F14/F7)^(1/7)-1)*100</f>
        <v>-6.486336059763409</v>
      </c>
      <c r="G25" s="13">
        <f t="shared" si="5"/>
        <v>-6.9599238471993008</v>
      </c>
      <c r="H25" s="13">
        <f t="shared" si="5"/>
        <v>-3.2768375132276262</v>
      </c>
      <c r="I25" s="13">
        <f t="shared" si="5"/>
        <v>-4.6397063838360513</v>
      </c>
      <c r="J25" s="13">
        <f t="shared" si="5"/>
        <v>-9.3114516911055105</v>
      </c>
      <c r="K25" s="13">
        <f t="shared" si="5"/>
        <v>-1.6742424926749266</v>
      </c>
      <c r="M25" s="3">
        <v>1999</v>
      </c>
      <c r="N25" s="3" t="e">
        <f>#REF!/#REF!</f>
        <v>#REF!</v>
      </c>
      <c r="O25" s="3" t="e">
        <f>#REF!/#REF!</f>
        <v>#REF!</v>
      </c>
      <c r="P25" s="3" t="e">
        <f>#REF!/#REF!</f>
        <v>#REF!</v>
      </c>
      <c r="Q25" s="3" t="e">
        <f>#REF!/#REF!</f>
        <v>#REF!</v>
      </c>
      <c r="R25" s="3" t="e">
        <f>#REF!/#REF!</f>
        <v>#REF!</v>
      </c>
      <c r="S25" s="3" t="e">
        <f>#REF!/#REF!</f>
        <v>#REF!</v>
      </c>
      <c r="T25" s="3" t="e">
        <f>#REF!/#REF!</f>
        <v>#REF!</v>
      </c>
    </row>
    <row r="26" spans="1:20" ht="30">
      <c r="A26" s="67" t="s">
        <v>69</v>
      </c>
      <c r="B26" s="13">
        <f>((B20/B14)^(1/6)-1)*100</f>
        <v>0</v>
      </c>
      <c r="C26" s="13">
        <f t="shared" ref="C26:E26" si="6">((C20/C14)^(1/6)-1)*100</f>
        <v>-6.7261282363495489</v>
      </c>
      <c r="D26" s="13">
        <f t="shared" si="6"/>
        <v>-6.4534662158491791</v>
      </c>
      <c r="E26" s="13">
        <f t="shared" si="6"/>
        <v>-7.9212446017745801</v>
      </c>
      <c r="F26" s="13">
        <f t="shared" ref="F26:K26" si="7">((F20/F14)^(1/6)-1)*100</f>
        <v>-16.060075477902224</v>
      </c>
      <c r="G26" s="13">
        <f t="shared" si="7"/>
        <v>-7.159113443816933</v>
      </c>
      <c r="H26" s="13">
        <f t="shared" si="7"/>
        <v>-5.7002767130496013</v>
      </c>
      <c r="I26" s="13">
        <f t="shared" si="7"/>
        <v>-5.7602514066456116</v>
      </c>
      <c r="J26" s="13">
        <f t="shared" si="7"/>
        <v>-6.2995302328718967</v>
      </c>
      <c r="K26" s="13">
        <f t="shared" si="7"/>
        <v>-5.5183740992086561</v>
      </c>
      <c r="M26" s="3">
        <v>2000</v>
      </c>
      <c r="N26" s="3" t="e">
        <f>#REF!/#REF!</f>
        <v>#REF!</v>
      </c>
      <c r="O26" s="3" t="e">
        <f>#REF!/#REF!</f>
        <v>#REF!</v>
      </c>
      <c r="P26" s="3" t="e">
        <f>#REF!/#REF!</f>
        <v>#REF!</v>
      </c>
      <c r="Q26" s="3" t="e">
        <f>#REF!/#REF!</f>
        <v>#REF!</v>
      </c>
      <c r="R26" s="3" t="e">
        <f>#REF!/#REF!</f>
        <v>#REF!</v>
      </c>
      <c r="S26" s="3" t="e">
        <f>#REF!/#REF!</f>
        <v>#REF!</v>
      </c>
      <c r="T26" s="3" t="e">
        <f>#REF!/#REF!</f>
        <v>#REF!</v>
      </c>
    </row>
    <row r="27" spans="1:20" ht="30">
      <c r="A27" s="327" t="s">
        <v>15</v>
      </c>
      <c r="B27" s="13">
        <f>((B20/B7)^(1/13)-1)*100</f>
        <v>0</v>
      </c>
      <c r="C27" s="13">
        <f t="shared" ref="C27:E27" si="8">((C20/C7)^(1/13)-1)*100</f>
        <v>-5.8330329527405684</v>
      </c>
      <c r="D27" s="13">
        <f t="shared" si="8"/>
        <v>-6.9830108850888806</v>
      </c>
      <c r="E27" s="13">
        <f t="shared" si="8"/>
        <v>-6.2897499063493072</v>
      </c>
      <c r="F27" s="13">
        <f t="shared" ref="F27:K27" si="9">((F20/F7)^(1/13)-1)*100</f>
        <v>-11.033619944072582</v>
      </c>
      <c r="G27" s="13">
        <f t="shared" si="9"/>
        <v>-7.0519105556676838</v>
      </c>
      <c r="H27" s="13">
        <f t="shared" si="9"/>
        <v>-4.4029915529046448</v>
      </c>
      <c r="I27" s="13">
        <f t="shared" si="9"/>
        <v>-5.1585270952366979</v>
      </c>
      <c r="J27" s="13">
        <f t="shared" si="9"/>
        <v>-7.9335566471254619</v>
      </c>
      <c r="K27" s="13">
        <f t="shared" si="9"/>
        <v>-3.4675161045199965</v>
      </c>
    </row>
    <row r="28" spans="1:20">
      <c r="A28" s="67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20">
      <c r="A29" s="231" t="s">
        <v>144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</row>
    <row r="30" spans="1:20">
      <c r="A30" s="237" t="s">
        <v>313</v>
      </c>
      <c r="M30" s="3">
        <v>2004</v>
      </c>
      <c r="N30" s="3" t="e">
        <f>B11/#REF!</f>
        <v>#REF!</v>
      </c>
      <c r="O30" s="3" t="e">
        <f>C11/#REF!</f>
        <v>#REF!</v>
      </c>
      <c r="P30" s="3" t="e">
        <f>D11/#REF!</f>
        <v>#REF!</v>
      </c>
      <c r="Q30" s="3" t="e">
        <f>E11/#REF!</f>
        <v>#REF!</v>
      </c>
      <c r="R30" s="3" t="e">
        <f>I11/#REF!</f>
        <v>#REF!</v>
      </c>
      <c r="S30" s="3" t="e">
        <f>J11/#REF!</f>
        <v>#REF!</v>
      </c>
      <c r="T30" s="3" t="e">
        <f>K11/#REF!</f>
        <v>#REF!</v>
      </c>
    </row>
    <row r="31" spans="1:20">
      <c r="A31" s="59"/>
      <c r="M31" s="3">
        <v>2005</v>
      </c>
      <c r="N31" s="3" t="e">
        <f>B12/#REF!</f>
        <v>#REF!</v>
      </c>
      <c r="O31" s="3" t="e">
        <f>C12/#REF!</f>
        <v>#REF!</v>
      </c>
      <c r="P31" s="3" t="e">
        <f>D12/#REF!</f>
        <v>#REF!</v>
      </c>
      <c r="Q31" s="3" t="e">
        <f>E12/#REF!</f>
        <v>#REF!</v>
      </c>
      <c r="R31" s="3" t="e">
        <f>I12/#REF!</f>
        <v>#REF!</v>
      </c>
      <c r="S31" s="3" t="e">
        <f>J12/#REF!</f>
        <v>#REF!</v>
      </c>
      <c r="T31" s="3" t="e">
        <f>K12/#REF!</f>
        <v>#REF!</v>
      </c>
    </row>
    <row r="32" spans="1:20">
      <c r="M32" s="3">
        <v>2006</v>
      </c>
      <c r="N32" s="3" t="e">
        <f>B13/#REF!</f>
        <v>#REF!</v>
      </c>
      <c r="O32" s="3" t="e">
        <f>C13/#REF!</f>
        <v>#REF!</v>
      </c>
      <c r="P32" s="3" t="e">
        <f>D13/#REF!</f>
        <v>#REF!</v>
      </c>
      <c r="Q32" s="3" t="e">
        <f>E13/#REF!</f>
        <v>#REF!</v>
      </c>
      <c r="R32" s="3" t="e">
        <f>I13/#REF!</f>
        <v>#REF!</v>
      </c>
      <c r="S32" s="3" t="e">
        <f>J13/#REF!</f>
        <v>#REF!</v>
      </c>
      <c r="T32" s="3" t="e">
        <f>K13/#REF!</f>
        <v>#REF!</v>
      </c>
    </row>
    <row r="33" spans="13:20">
      <c r="M33" s="3">
        <v>2007</v>
      </c>
      <c r="N33" s="3" t="e">
        <f>B14/#REF!</f>
        <v>#REF!</v>
      </c>
      <c r="O33" s="3" t="e">
        <f>C14/#REF!</f>
        <v>#REF!</v>
      </c>
      <c r="P33" s="3" t="e">
        <f>D14/#REF!</f>
        <v>#REF!</v>
      </c>
      <c r="Q33" s="3" t="e">
        <f>E14/#REF!</f>
        <v>#REF!</v>
      </c>
      <c r="R33" s="3" t="e">
        <f>I14/#REF!</f>
        <v>#REF!</v>
      </c>
      <c r="S33" s="3" t="e">
        <f>J14/#REF!</f>
        <v>#REF!</v>
      </c>
      <c r="T33" s="3" t="e">
        <f>K14/#REF!</f>
        <v>#REF!</v>
      </c>
    </row>
    <row r="34" spans="13:20">
      <c r="M34" s="3">
        <v>2008</v>
      </c>
      <c r="N34" s="3" t="e">
        <f>B15/#REF!</f>
        <v>#REF!</v>
      </c>
      <c r="O34" s="3" t="e">
        <f>C15/#REF!</f>
        <v>#REF!</v>
      </c>
      <c r="P34" s="3" t="e">
        <f>D15/#REF!</f>
        <v>#REF!</v>
      </c>
      <c r="Q34" s="3" t="e">
        <f>E15/#REF!</f>
        <v>#REF!</v>
      </c>
      <c r="R34" s="3" t="e">
        <f>I15/#REF!</f>
        <v>#REF!</v>
      </c>
      <c r="S34" s="3" t="e">
        <f>J15/#REF!</f>
        <v>#REF!</v>
      </c>
      <c r="T34" s="3" t="e">
        <f>K15/#REF!</f>
        <v>#REF!</v>
      </c>
    </row>
    <row r="35" spans="13:20">
      <c r="M35" s="3">
        <v>2009</v>
      </c>
      <c r="N35" s="3" t="e">
        <f>B16/#REF!</f>
        <v>#REF!</v>
      </c>
      <c r="O35" s="3" t="e">
        <f>C16/#REF!</f>
        <v>#REF!</v>
      </c>
      <c r="P35" s="3" t="e">
        <f>D16/#REF!</f>
        <v>#REF!</v>
      </c>
      <c r="Q35" s="3" t="e">
        <f>E16/#REF!</f>
        <v>#REF!</v>
      </c>
      <c r="R35" s="3" t="e">
        <f>I16/#REF!</f>
        <v>#REF!</v>
      </c>
      <c r="S35" s="3" t="e">
        <f>J16/#REF!</f>
        <v>#REF!</v>
      </c>
      <c r="T35" s="3" t="e">
        <f>K16/#REF!</f>
        <v>#REF!</v>
      </c>
    </row>
    <row r="36" spans="13:20">
      <c r="M36" s="3">
        <v>2010</v>
      </c>
      <c r="N36" s="3" t="e">
        <f>B17/#REF!</f>
        <v>#REF!</v>
      </c>
      <c r="O36" s="3" t="e">
        <f>C17/#REF!</f>
        <v>#REF!</v>
      </c>
      <c r="P36" s="3" t="e">
        <f>D17/#REF!</f>
        <v>#REF!</v>
      </c>
      <c r="Q36" s="3" t="e">
        <f>E17/#REF!</f>
        <v>#REF!</v>
      </c>
      <c r="R36" s="3" t="e">
        <f>I17/#REF!</f>
        <v>#REF!</v>
      </c>
      <c r="S36" s="3" t="e">
        <f>J17/#REF!</f>
        <v>#REF!</v>
      </c>
      <c r="T36" s="3" t="e">
        <f>K17/#REF!</f>
        <v>#REF!</v>
      </c>
    </row>
    <row r="37" spans="13:20">
      <c r="M37" s="3">
        <v>2011</v>
      </c>
      <c r="N37" s="3" t="e">
        <f>B18/#REF!</f>
        <v>#REF!</v>
      </c>
      <c r="O37" s="3" t="e">
        <f>C18/#REF!</f>
        <v>#REF!</v>
      </c>
      <c r="P37" s="3" t="e">
        <f>D18/#REF!</f>
        <v>#REF!</v>
      </c>
      <c r="Q37" s="3" t="e">
        <f>E18/#REF!</f>
        <v>#REF!</v>
      </c>
      <c r="R37" s="3" t="e">
        <f>I18/#REF!</f>
        <v>#REF!</v>
      </c>
      <c r="S37" s="3" t="e">
        <f>J18/#REF!</f>
        <v>#REF!</v>
      </c>
      <c r="T37" s="3" t="e">
        <f>K18/#REF!</f>
        <v>#REF!</v>
      </c>
    </row>
    <row r="38" spans="13:20">
      <c r="M38" s="3">
        <v>2012</v>
      </c>
      <c r="N38" s="3" t="e">
        <f>B19/#REF!</f>
        <v>#REF!</v>
      </c>
      <c r="O38" s="3" t="e">
        <f>C19/#REF!</f>
        <v>#REF!</v>
      </c>
      <c r="P38" s="3" t="e">
        <f>D19/#REF!</f>
        <v>#REF!</v>
      </c>
      <c r="Q38" s="3" t="e">
        <f>E19/#REF!</f>
        <v>#REF!</v>
      </c>
      <c r="R38" s="3" t="e">
        <f>I19/#REF!</f>
        <v>#REF!</v>
      </c>
      <c r="S38" s="3" t="e">
        <f>J19/#REF!</f>
        <v>#REF!</v>
      </c>
      <c r="T38" s="3" t="e">
        <f>K19/#REF!</f>
        <v>#REF!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4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7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4" width="9.28515625" style="3" bestFit="1" customWidth="1"/>
    <col min="5" max="7" width="9.28515625" style="3" customWidth="1"/>
    <col min="8" max="8" width="9.28515625" style="3" bestFit="1" customWidth="1"/>
    <col min="9" max="11" width="9.28515625" style="3" customWidth="1"/>
    <col min="12" max="14" width="9.28515625" style="3" bestFit="1" customWidth="1"/>
    <col min="15" max="15" width="9.140625" style="3"/>
    <col min="16" max="17" width="9.28515625" style="3" hidden="1" customWidth="1"/>
    <col min="18" max="18" width="14.7109375" style="3" hidden="1" customWidth="1"/>
    <col min="19" max="23" width="9.28515625" style="3" hidden="1" customWidth="1"/>
    <col min="24" max="26" width="0" style="3" hidden="1" customWidth="1"/>
    <col min="27" max="16384" width="9.140625" style="3"/>
  </cols>
  <sheetData>
    <row r="1" spans="1:23" ht="45" customHeight="1">
      <c r="A1" s="460" t="s">
        <v>178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23" ht="135">
      <c r="A2" s="67"/>
      <c r="B2" s="67" t="s">
        <v>2</v>
      </c>
      <c r="C2" s="67" t="s">
        <v>8</v>
      </c>
      <c r="D2" s="67" t="s">
        <v>20</v>
      </c>
      <c r="E2" s="54" t="s">
        <v>63</v>
      </c>
      <c r="F2" s="54" t="s">
        <v>64</v>
      </c>
      <c r="G2" s="54" t="s">
        <v>65</v>
      </c>
      <c r="H2" s="67" t="s">
        <v>4</v>
      </c>
      <c r="I2" s="66" t="s">
        <v>36</v>
      </c>
      <c r="J2" s="66" t="s">
        <v>37</v>
      </c>
      <c r="K2" s="66" t="s">
        <v>38</v>
      </c>
      <c r="L2" s="67" t="s">
        <v>5</v>
      </c>
      <c r="M2" s="67" t="s">
        <v>6</v>
      </c>
      <c r="N2" s="67" t="s">
        <v>7</v>
      </c>
    </row>
    <row r="3" spans="1:23">
      <c r="A3" s="67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23">
      <c r="A4" s="20">
        <v>1997</v>
      </c>
      <c r="B4" s="72">
        <f>'4A'!B4/'4A'!$B4*100</f>
        <v>100</v>
      </c>
      <c r="C4" s="72">
        <f>'4A'!C4/'4A'!$B4*100</f>
        <v>3.0429988974641673</v>
      </c>
      <c r="D4" s="72">
        <f>'4A'!D4/'4A'!$B4*100</f>
        <v>0.68042211371869588</v>
      </c>
      <c r="E4" s="72">
        <f>'4A'!E4/'4A'!$B4*100</f>
        <v>0</v>
      </c>
      <c r="F4" s="72">
        <f>'4A'!F4/'4A'!$B4*100</f>
        <v>0</v>
      </c>
      <c r="G4" s="72">
        <f>'4A'!G4/'4A'!$B4*100</f>
        <v>0.66782170420538667</v>
      </c>
      <c r="H4" s="72">
        <f>'4A'!H4/'4A'!$B4*100</f>
        <v>1.3198928965191368</v>
      </c>
      <c r="I4" s="72">
        <f>'4A'!I4/'4A'!$B4*100</f>
        <v>0.74657426366356905</v>
      </c>
      <c r="J4" s="72">
        <f>'4A'!J4/'4A'!$B4*100</f>
        <v>0.14805481178138288</v>
      </c>
      <c r="K4" s="72">
        <f>'4A'!K4/'4A'!$B4*100</f>
        <v>0.42526382107418487</v>
      </c>
      <c r="L4" s="72">
        <f>'4A'!L4/'4A'!$B4*100</f>
        <v>1.0426838872263349</v>
      </c>
      <c r="M4" s="72">
        <f>'4A'!M4/'4A'!$B4*100</f>
        <v>0.86312805166167894</v>
      </c>
      <c r="N4" s="72">
        <f>'4A'!N4/'4A'!$B4*100</f>
        <v>0.17955583556465585</v>
      </c>
      <c r="Q4" s="3" t="s">
        <v>24</v>
      </c>
    </row>
    <row r="5" spans="1:23">
      <c r="A5" s="20">
        <v>1998</v>
      </c>
      <c r="B5" s="72">
        <f>'4A'!B5/'4A'!$B5*100</f>
        <v>100</v>
      </c>
      <c r="C5" s="72">
        <f>'4A'!C5/'4A'!$B5*100</f>
        <v>3.1678791785615621</v>
      </c>
      <c r="D5" s="72">
        <f>'4A'!D5/'4A'!$B5*100</f>
        <v>0.64155692666605268</v>
      </c>
      <c r="E5" s="72">
        <f>'4A'!E5/'4A'!$B5*100</f>
        <v>0</v>
      </c>
      <c r="F5" s="72">
        <f>'4A'!F5/'4A'!$B5*100</f>
        <v>0</v>
      </c>
      <c r="G5" s="72">
        <f>'4A'!G5/'4A'!$B5*100</f>
        <v>0.63541762593240636</v>
      </c>
      <c r="H5" s="72">
        <f>'4A'!H5/'4A'!$B5*100</f>
        <v>1.3874819658040951</v>
      </c>
      <c r="I5" s="72">
        <f>'4A'!I5/'4A'!$B5*100</f>
        <v>0.75513399023851191</v>
      </c>
      <c r="J5" s="72">
        <f>'4A'!J5/'4A'!$B5*100</f>
        <v>0.17803972127574669</v>
      </c>
      <c r="K5" s="72">
        <f>'4A'!K5/'4A'!$B5*100</f>
        <v>0.45737790465665962</v>
      </c>
      <c r="L5" s="72">
        <f>'4A'!L5/'4A'!$B5*100</f>
        <v>1.1388402860914142</v>
      </c>
      <c r="M5" s="72">
        <f>'4A'!M5/'4A'!$B5*100</f>
        <v>0.85336280197685488</v>
      </c>
      <c r="N5" s="72">
        <f>'4A'!N5/'4A'!$B5*100</f>
        <v>0.28240783374773615</v>
      </c>
      <c r="Q5" s="3" t="s">
        <v>2</v>
      </c>
      <c r="R5" s="3" t="s">
        <v>8</v>
      </c>
      <c r="S5" s="3" t="s">
        <v>20</v>
      </c>
      <c r="T5" s="3" t="s">
        <v>4</v>
      </c>
      <c r="U5" s="3" t="s">
        <v>5</v>
      </c>
      <c r="V5" s="3" t="s">
        <v>6</v>
      </c>
      <c r="W5" s="3" t="s">
        <v>7</v>
      </c>
    </row>
    <row r="6" spans="1:23">
      <c r="A6" s="20">
        <v>1999</v>
      </c>
      <c r="B6" s="72">
        <f>'4A'!B6/'4A'!$B6*100</f>
        <v>100</v>
      </c>
      <c r="C6" s="72">
        <f>'4A'!C6/'4A'!$B6*100</f>
        <v>3.2465580472554558</v>
      </c>
      <c r="D6" s="72">
        <f>'4A'!D6/'4A'!$B6*100</f>
        <v>0.63728732038718205</v>
      </c>
      <c r="E6" s="72">
        <f>'4A'!E6/'4A'!$B6*100</f>
        <v>0</v>
      </c>
      <c r="F6" s="72">
        <f>'4A'!F6/'4A'!$B6*100</f>
        <v>0</v>
      </c>
      <c r="G6" s="72">
        <f>'4A'!G6/'4A'!$B6*100</f>
        <v>0.6252630313232731</v>
      </c>
      <c r="H6" s="72">
        <f>'4A'!H6/'4A'!$B6*100</f>
        <v>1.4819936271267959</v>
      </c>
      <c r="I6" s="72">
        <f>'4A'!I6/'4A'!$B6*100</f>
        <v>0.78157878915409129</v>
      </c>
      <c r="J6" s="72">
        <f>'4A'!J6/'4A'!$B6*100</f>
        <v>0.20741898635243194</v>
      </c>
      <c r="K6" s="72">
        <f>'4A'!K6/'4A'!$B6*100</f>
        <v>0.49299585162027287</v>
      </c>
      <c r="L6" s="72">
        <f>'4A'!L6/'4A'!$B6*100</f>
        <v>1.1272770997414778</v>
      </c>
      <c r="M6" s="72">
        <f>'4A'!M6/'4A'!$B6*100</f>
        <v>0.83268201767570482</v>
      </c>
      <c r="N6" s="72">
        <f>'4A'!N6/'4A'!$B6*100</f>
        <v>0.2945950820657729</v>
      </c>
      <c r="P6" s="3">
        <v>1998</v>
      </c>
      <c r="Q6" s="3">
        <f>((B5/B4)-1)*100</f>
        <v>0</v>
      </c>
      <c r="R6" s="3">
        <f>((C5/C4)-1)*100</f>
        <v>4.1038556143238036</v>
      </c>
      <c r="S6" s="3">
        <f>((D5/D4)-1)*100</f>
        <v>-5.7119229767877648</v>
      </c>
      <c r="T6" s="3">
        <f t="shared" ref="T6:T20" si="0">((H5/H4)-1)*100</f>
        <v>5.1207995332959388</v>
      </c>
      <c r="U6" s="3">
        <f t="shared" ref="U6:W20" si="1">((L5/L4)-1)*100</f>
        <v>9.2220087068638712</v>
      </c>
      <c r="V6" s="3">
        <f t="shared" si="1"/>
        <v>-1.1313790191413875</v>
      </c>
      <c r="W6" s="3">
        <f t="shared" si="1"/>
        <v>57.281345303892707</v>
      </c>
    </row>
    <row r="7" spans="1:23">
      <c r="A7" s="20">
        <v>2000</v>
      </c>
      <c r="B7" s="72">
        <f>'4A'!B7/'4A'!$B7*100</f>
        <v>100</v>
      </c>
      <c r="C7" s="72">
        <f>'4A'!C7/'4A'!$B7*100</f>
        <v>3.0780537997942088</v>
      </c>
      <c r="D7" s="72">
        <f>'4A'!D7/'4A'!$B7*100</f>
        <v>0.52329854475966486</v>
      </c>
      <c r="E7" s="72">
        <f>'4A'!E7/'4A'!$B7*100</f>
        <v>0</v>
      </c>
      <c r="F7" s="72">
        <f>'4A'!F7/'4A'!$B7*100</f>
        <v>0</v>
      </c>
      <c r="G7" s="72">
        <f>'4A'!G7/'4A'!$B7*100</f>
        <v>0.52329854475966486</v>
      </c>
      <c r="H7" s="72">
        <f>'4A'!H7/'4A'!$B7*100</f>
        <v>1.5110980449801559</v>
      </c>
      <c r="I7" s="72">
        <f>'4A'!I7/'4A'!$B7*100</f>
        <v>0.72909010730560042</v>
      </c>
      <c r="J7" s="72">
        <f>'4A'!J7/'4A'!$B7*100</f>
        <v>0.24107011612523885</v>
      </c>
      <c r="K7" s="72">
        <f>'4A'!K7/'4A'!$B7*100</f>
        <v>0.54093782154931647</v>
      </c>
      <c r="L7" s="72">
        <f>'4A'!L7/'4A'!$B7*100</f>
        <v>1.0436572100543877</v>
      </c>
      <c r="M7" s="72">
        <f>'4A'!M7/'4A'!$B7*100</f>
        <v>0.77906805820961333</v>
      </c>
      <c r="N7" s="72">
        <f>'4A'!N7/'4A'!$B7*100</f>
        <v>0.26458915184477433</v>
      </c>
      <c r="P7" s="3">
        <v>1999</v>
      </c>
      <c r="Q7" s="3">
        <f t="shared" ref="Q7:S20" si="2">((B6/B5)-1)*100</f>
        <v>0</v>
      </c>
      <c r="R7" s="3">
        <f t="shared" si="2"/>
        <v>2.483644869613344</v>
      </c>
      <c r="S7" s="3">
        <f t="shared" si="2"/>
        <v>-0.66550700357305148</v>
      </c>
      <c r="T7" s="3">
        <f t="shared" si="0"/>
        <v>6.8117398028973986</v>
      </c>
      <c r="U7" s="3">
        <f t="shared" si="1"/>
        <v>-1.01534749790263</v>
      </c>
      <c r="V7" s="3">
        <f t="shared" si="1"/>
        <v>-2.4234457200667858</v>
      </c>
      <c r="W7" s="3">
        <f t="shared" si="1"/>
        <v>4.3154781353987204</v>
      </c>
    </row>
    <row r="8" spans="1:23">
      <c r="A8" s="20">
        <v>2001</v>
      </c>
      <c r="B8" s="72">
        <f>'4A'!B8/'4A'!$B8*100</f>
        <v>100</v>
      </c>
      <c r="C8" s="72">
        <f>'4A'!C8/'4A'!$B8*100</f>
        <v>3.0170910359260552</v>
      </c>
      <c r="D8" s="72">
        <f>'4A'!D8/'4A'!$B8*100</f>
        <v>0.53482153237995578</v>
      </c>
      <c r="E8" s="72">
        <f>'4A'!E8/'4A'!$B8*100</f>
        <v>0</v>
      </c>
      <c r="F8" s="72">
        <f>'4A'!F8/'4A'!$B8*100</f>
        <v>0</v>
      </c>
      <c r="G8" s="72">
        <f>'4A'!G8/'4A'!$B8*100</f>
        <v>0.53191489361702127</v>
      </c>
      <c r="H8" s="72">
        <f>'4A'!H8/'4A'!$B8*100</f>
        <v>1.5085455179630276</v>
      </c>
      <c r="I8" s="72">
        <f>'4A'!I8/'4A'!$B8*100</f>
        <v>0.74119288454830823</v>
      </c>
      <c r="J8" s="72">
        <f>'4A'!J8/'4A'!$B8*100</f>
        <v>0.20927799093128704</v>
      </c>
      <c r="K8" s="72">
        <f>'4A'!K8/'4A'!$B8*100</f>
        <v>0.5609812812463667</v>
      </c>
      <c r="L8" s="72">
        <f>'4A'!L8/'4A'!$B8*100</f>
        <v>0.97372398558307172</v>
      </c>
      <c r="M8" s="72">
        <f>'4A'!M8/'4A'!$B8*100</f>
        <v>0.68596674805255198</v>
      </c>
      <c r="N8" s="72">
        <f>'4A'!N8/'4A'!$B8*100</f>
        <v>0.28775723753051974</v>
      </c>
      <c r="P8" s="3">
        <v>2000</v>
      </c>
      <c r="Q8" s="3">
        <f t="shared" si="2"/>
        <v>0</v>
      </c>
      <c r="R8" s="3">
        <f t="shared" si="2"/>
        <v>-5.1902428667091165</v>
      </c>
      <c r="S8" s="3">
        <f t="shared" si="2"/>
        <v>-17.886559481249943</v>
      </c>
      <c r="T8" s="3">
        <f t="shared" si="0"/>
        <v>1.9638692988029893</v>
      </c>
      <c r="U8" s="3">
        <f t="shared" si="1"/>
        <v>-7.4178646675486348</v>
      </c>
      <c r="V8" s="3">
        <f t="shared" si="1"/>
        <v>-6.4387074931371853</v>
      </c>
      <c r="W8" s="3">
        <f t="shared" si="1"/>
        <v>-10.185482395221824</v>
      </c>
    </row>
    <row r="9" spans="1:23">
      <c r="A9" s="20">
        <v>2002</v>
      </c>
      <c r="B9" s="72">
        <f>'4A'!B9/'4A'!$B9*100</f>
        <v>100</v>
      </c>
      <c r="C9" s="72">
        <f>'4A'!C9/'4A'!$B9*100</f>
        <v>3.2962100597525748</v>
      </c>
      <c r="D9" s="72">
        <f>'4A'!D9/'4A'!$B9*100</f>
        <v>0.54983589081830175</v>
      </c>
      <c r="E9" s="72">
        <f>'4A'!E9/'4A'!$B9*100</f>
        <v>0</v>
      </c>
      <c r="F9" s="72">
        <f>'4A'!F9/'4A'!$B9*100</f>
        <v>0</v>
      </c>
      <c r="G9" s="72">
        <f>'4A'!G9/'4A'!$B9*100</f>
        <v>0.541420035346593</v>
      </c>
      <c r="H9" s="72">
        <f>'4A'!H9/'4A'!$B9*100</f>
        <v>1.8430723483042053</v>
      </c>
      <c r="I9" s="72">
        <f>'4A'!I9/'4A'!$B9*100</f>
        <v>0.81914326591298015</v>
      </c>
      <c r="J9" s="72">
        <f>'4A'!J9/'4A'!$B9*100</f>
        <v>0.25808623446573348</v>
      </c>
      <c r="K9" s="72">
        <f>'4A'!K9/'4A'!$B9*100</f>
        <v>0.76584284792549173</v>
      </c>
      <c r="L9" s="72">
        <f>'4A'!L9/'4A'!$B9*100</f>
        <v>0.90330182063006714</v>
      </c>
      <c r="M9" s="72">
        <f>'4A'!M9/'4A'!$B9*100</f>
        <v>0.67326843773669598</v>
      </c>
      <c r="N9" s="72">
        <f>'4A'!N9/'4A'!$B9*100</f>
        <v>0.22722809773613487</v>
      </c>
      <c r="P9" s="3">
        <v>2001</v>
      </c>
      <c r="Q9" s="3">
        <f t="shared" si="2"/>
        <v>0</v>
      </c>
      <c r="R9" s="3">
        <f t="shared" si="2"/>
        <v>-1.9805619990212464</v>
      </c>
      <c r="S9" s="3">
        <f t="shared" si="2"/>
        <v>2.2019911455291918</v>
      </c>
      <c r="T9" s="3">
        <f t="shared" si="0"/>
        <v>-0.16891868966463219</v>
      </c>
      <c r="U9" s="3">
        <f t="shared" si="1"/>
        <v>-6.7007848743431353</v>
      </c>
      <c r="V9" s="3">
        <f t="shared" si="1"/>
        <v>-11.950343641480909</v>
      </c>
      <c r="W9" s="3">
        <f t="shared" si="1"/>
        <v>8.7562492733403339</v>
      </c>
    </row>
    <row r="10" spans="1:23">
      <c r="A10" s="20">
        <v>2003</v>
      </c>
      <c r="B10" s="72">
        <f>'4A'!B10/'4A'!$B10*100</f>
        <v>100</v>
      </c>
      <c r="C10" s="72">
        <f>'4A'!C10/'4A'!$B10*100</f>
        <v>3.0967706290229007</v>
      </c>
      <c r="D10" s="72">
        <f>'4A'!D10/'4A'!$B10*100</f>
        <v>0.48896378352993169</v>
      </c>
      <c r="E10" s="72">
        <f>'4A'!E10/'4A'!$B10*100</f>
        <v>0</v>
      </c>
      <c r="F10" s="72">
        <f>'4A'!F10/'4A'!$B10*100</f>
        <v>0</v>
      </c>
      <c r="G10" s="72">
        <f>'4A'!G10/'4A'!$B10*100</f>
        <v>0.47515124727202407</v>
      </c>
      <c r="H10" s="72">
        <f>'4A'!H10/'4A'!$B10*100</f>
        <v>1.6547418436973396</v>
      </c>
      <c r="I10" s="72">
        <f>'4A'!I10/'4A'!$B10*100</f>
        <v>0.70996436365645454</v>
      </c>
      <c r="J10" s="72">
        <f>'4A'!J10/'4A'!$B10*100</f>
        <v>0.22376308737810435</v>
      </c>
      <c r="K10" s="72">
        <f>'4A'!K10/'4A'!$B10*100</f>
        <v>0.72101439266278078</v>
      </c>
      <c r="L10" s="72">
        <f>'4A'!L10/'4A'!$B10*100</f>
        <v>0.95306500179562958</v>
      </c>
      <c r="M10" s="72">
        <f>'4A'!M10/'4A'!$B10*100</f>
        <v>0.76521450868808527</v>
      </c>
      <c r="N10" s="72">
        <f>'4A'!N10/'4A'!$B10*100</f>
        <v>0.1878504931075444</v>
      </c>
      <c r="P10" s="3">
        <v>2002</v>
      </c>
      <c r="Q10" s="3">
        <f t="shared" si="2"/>
        <v>0</v>
      </c>
      <c r="R10" s="3">
        <f t="shared" si="2"/>
        <v>9.2512629053252304</v>
      </c>
      <c r="S10" s="3">
        <f t="shared" si="2"/>
        <v>2.8073586288742014</v>
      </c>
      <c r="T10" s="3">
        <f t="shared" si="0"/>
        <v>22.17545485752963</v>
      </c>
      <c r="U10" s="3">
        <f t="shared" si="1"/>
        <v>-7.232251232964682</v>
      </c>
      <c r="V10" s="3">
        <f t="shared" si="1"/>
        <v>-1.8511553733335129</v>
      </c>
      <c r="W10" s="3">
        <f t="shared" si="1"/>
        <v>-21.034793186727441</v>
      </c>
    </row>
    <row r="11" spans="1:23">
      <c r="A11" s="20">
        <v>2004</v>
      </c>
      <c r="B11" s="72">
        <f>'4A'!B11/'4A'!$B11*100</f>
        <v>100</v>
      </c>
      <c r="C11" s="72">
        <f>'4A'!C11/'4A'!$B11*100</f>
        <v>3.0299730487572485</v>
      </c>
      <c r="D11" s="72">
        <f>'4A'!D11/'4A'!$B11*100</f>
        <v>0.42740859717420299</v>
      </c>
      <c r="E11" s="72">
        <f>'4A'!E11/'4A'!$B11*100</f>
        <v>0</v>
      </c>
      <c r="F11" s="72">
        <f>'4A'!F11/'4A'!$B11*100</f>
        <v>0</v>
      </c>
      <c r="G11" s="72">
        <f>'4A'!G11/'4A'!$B11*100</f>
        <v>0.40835216290528953</v>
      </c>
      <c r="H11" s="72">
        <f>'4A'!H11/'4A'!$B11*100</f>
        <v>1.6252416083630521</v>
      </c>
      <c r="I11" s="72">
        <f>'4A'!I11/'4A'!$B11*100</f>
        <v>0.7323115454768192</v>
      </c>
      <c r="J11" s="72">
        <f>'4A'!J11/'4A'!$B11*100</f>
        <v>0.24501129774317371</v>
      </c>
      <c r="K11" s="72">
        <f>'4A'!K11/'4A'!$B11*100</f>
        <v>0.64791876514305935</v>
      </c>
      <c r="L11" s="72">
        <f>'4A'!L11/'4A'!$B11*100</f>
        <v>0.97732284321999285</v>
      </c>
      <c r="M11" s="72">
        <f>'4A'!M11/'4A'!$B11*100</f>
        <v>0.75136797974573277</v>
      </c>
      <c r="N11" s="72">
        <f>'4A'!N11/'4A'!$B11*100</f>
        <v>0.22595486347426019</v>
      </c>
      <c r="P11" s="3">
        <v>2003</v>
      </c>
      <c r="Q11" s="3">
        <f t="shared" si="2"/>
        <v>0</v>
      </c>
      <c r="R11" s="3">
        <f t="shared" si="2"/>
        <v>-6.050567989123989</v>
      </c>
      <c r="S11" s="3">
        <f t="shared" si="2"/>
        <v>-11.07095922708432</v>
      </c>
      <c r="T11" s="3">
        <f t="shared" si="0"/>
        <v>-10.218291472939034</v>
      </c>
      <c r="U11" s="3">
        <f t="shared" si="1"/>
        <v>5.5090314254931716</v>
      </c>
      <c r="V11" s="3">
        <f t="shared" si="1"/>
        <v>13.656673296684051</v>
      </c>
      <c r="W11" s="3">
        <f t="shared" si="1"/>
        <v>-17.329549039448942</v>
      </c>
    </row>
    <row r="12" spans="1:23">
      <c r="A12" s="20">
        <v>2005</v>
      </c>
      <c r="B12" s="72">
        <f>'4A'!B12/'4A'!$B12*100</f>
        <v>100</v>
      </c>
      <c r="C12" s="72">
        <f>'4A'!C12/'4A'!$B12*100</f>
        <v>2.9421300048630252</v>
      </c>
      <c r="D12" s="72">
        <f>'4A'!D12/'4A'!$B12*100</f>
        <v>0.39984870589506677</v>
      </c>
      <c r="E12" s="72">
        <f>'4A'!E12/'4A'!$B12*100</f>
        <v>0</v>
      </c>
      <c r="F12" s="72">
        <f>'4A'!F12/'4A'!$B12*100</f>
        <v>0</v>
      </c>
      <c r="G12" s="72">
        <f>'4A'!G12/'4A'!$B12*100</f>
        <v>0.39714702544982977</v>
      </c>
      <c r="H12" s="72">
        <f>'4A'!H12/'4A'!$B12*100</f>
        <v>1.4643108013184201</v>
      </c>
      <c r="I12" s="72">
        <f>'4A'!I12/'4A'!$B12*100</f>
        <v>0.6105797806235479</v>
      </c>
      <c r="J12" s="72">
        <f>'4A'!J12/'4A'!$B12*100</f>
        <v>0.21613443561895501</v>
      </c>
      <c r="K12" s="72">
        <f>'4A'!K12/'4A'!$B12*100</f>
        <v>0.63759658507591721</v>
      </c>
      <c r="L12" s="72">
        <f>'4A'!L12/'4A'!$B12*100</f>
        <v>1.0779704976495379</v>
      </c>
      <c r="M12" s="72">
        <f>'4A'!M12/'4A'!$B12*100</f>
        <v>0.72134867887826226</v>
      </c>
      <c r="N12" s="72">
        <f>'4A'!N12/'4A'!$B12*100</f>
        <v>0.35662181877127569</v>
      </c>
      <c r="P12" s="3">
        <v>2004</v>
      </c>
      <c r="Q12" s="3">
        <f t="shared" si="2"/>
        <v>0</v>
      </c>
      <c r="R12" s="3">
        <f t="shared" si="2"/>
        <v>-2.1570076788905879</v>
      </c>
      <c r="S12" s="3">
        <f t="shared" si="2"/>
        <v>-12.588905033282616</v>
      </c>
      <c r="T12" s="3">
        <f t="shared" si="0"/>
        <v>-1.7827696475223198</v>
      </c>
      <c r="U12" s="3">
        <f t="shared" si="1"/>
        <v>2.5452452223783339</v>
      </c>
      <c r="V12" s="3">
        <f t="shared" si="1"/>
        <v>-1.809496394166854</v>
      </c>
      <c r="W12" s="3">
        <f t="shared" si="1"/>
        <v>20.284413278010959</v>
      </c>
    </row>
    <row r="13" spans="1:23">
      <c r="A13" s="20">
        <v>2006</v>
      </c>
      <c r="B13" s="72">
        <f>'4A'!B13/'4A'!$B13*100</f>
        <v>100</v>
      </c>
      <c r="C13" s="72">
        <f>'4A'!C13/'4A'!$B13*100</f>
        <v>2.6639946559786241</v>
      </c>
      <c r="D13" s="72">
        <f>'4A'!D13/'4A'!$B13*100</f>
        <v>0.36072144288577157</v>
      </c>
      <c r="E13" s="72">
        <f>'4A'!E13/'4A'!$B13*100</f>
        <v>0</v>
      </c>
      <c r="F13" s="72">
        <f>'4A'!F13/'4A'!$B13*100</f>
        <v>0</v>
      </c>
      <c r="G13" s="72">
        <f>'4A'!G13/'4A'!$B13*100</f>
        <v>0.35270541082164325</v>
      </c>
      <c r="H13" s="72">
        <f>'4A'!H13/'4A'!$B13*100</f>
        <v>1.4081496325985305</v>
      </c>
      <c r="I13" s="72">
        <f>'4A'!I13/'4A'!$B13*100</f>
        <v>0.51035404141616569</v>
      </c>
      <c r="J13" s="72">
        <f>'4A'!J13/'4A'!$B13*100</f>
        <v>0.15764863059452239</v>
      </c>
      <c r="K13" s="72">
        <f>'4A'!K13/'4A'!$B13*100</f>
        <v>0.74014696058784235</v>
      </c>
      <c r="L13" s="72">
        <f>'4A'!L13/'4A'!$B13*100</f>
        <v>0.89512358049432195</v>
      </c>
      <c r="M13" s="72">
        <f>'4A'!M13/'4A'!$B13*100</f>
        <v>0.65998663994655982</v>
      </c>
      <c r="N13" s="72">
        <f>'4A'!N13/'4A'!$B13*100</f>
        <v>0.23513694054776221</v>
      </c>
      <c r="P13" s="3">
        <v>2005</v>
      </c>
      <c r="Q13" s="3">
        <f t="shared" si="2"/>
        <v>0</v>
      </c>
      <c r="R13" s="3">
        <f t="shared" si="2"/>
        <v>-2.8991361467803234</v>
      </c>
      <c r="S13" s="3">
        <f t="shared" si="2"/>
        <v>-6.4481368557739565</v>
      </c>
      <c r="T13" s="3">
        <f t="shared" si="0"/>
        <v>-9.9019620354614197</v>
      </c>
      <c r="U13" s="3">
        <f t="shared" si="1"/>
        <v>10.298301643901064</v>
      </c>
      <c r="V13" s="3">
        <f t="shared" si="1"/>
        <v>-3.9952861549449104</v>
      </c>
      <c r="W13" s="3">
        <f t="shared" si="1"/>
        <v>57.828786372593612</v>
      </c>
    </row>
    <row r="14" spans="1:23">
      <c r="A14" s="20">
        <v>2007</v>
      </c>
      <c r="B14" s="72">
        <f>'4A'!B14/'4A'!$B14*100</f>
        <v>100</v>
      </c>
      <c r="C14" s="72">
        <f>'4A'!C14/'4A'!$B14*100</f>
        <v>2.0343757335489423</v>
      </c>
      <c r="D14" s="72">
        <f>'4A'!D14/'4A'!$B14*100</f>
        <v>0.27125009780652565</v>
      </c>
      <c r="E14" s="72">
        <f>'4A'!E14/'4A'!$B14*100</f>
        <v>0</v>
      </c>
      <c r="F14" s="72">
        <f>'4A'!F14/'4A'!$B14*100</f>
        <v>0</v>
      </c>
      <c r="G14" s="72">
        <f>'4A'!G14/'4A'!$B14*100</f>
        <v>0.25560105370230302</v>
      </c>
      <c r="H14" s="72">
        <f>'4A'!H14/'4A'!$B14*100</f>
        <v>1.0432696069481755</v>
      </c>
      <c r="I14" s="72">
        <f>'4A'!I14/'4A'!$B14*100</f>
        <v>0.35992801439712058</v>
      </c>
      <c r="J14" s="72">
        <f>'4A'!J14/'4A'!$B14*100</f>
        <v>0.16170678907696723</v>
      </c>
      <c r="K14" s="72">
        <f>'4A'!K14/'4A'!$B14*100</f>
        <v>0.52163480347408775</v>
      </c>
      <c r="L14" s="72">
        <f>'4A'!L14/'4A'!$B14*100</f>
        <v>0.71985602879424115</v>
      </c>
      <c r="M14" s="72">
        <f>'4A'!M14/'4A'!$B14*100</f>
        <v>0.47207949714404951</v>
      </c>
      <c r="N14" s="72">
        <f>'4A'!N14/'4A'!$B14*100</f>
        <v>0.24516835763282127</v>
      </c>
      <c r="P14" s="3">
        <v>2006</v>
      </c>
      <c r="Q14" s="3">
        <f t="shared" si="2"/>
        <v>0</v>
      </c>
      <c r="R14" s="3">
        <f t="shared" si="2"/>
        <v>-9.453537009740332</v>
      </c>
      <c r="S14" s="3">
        <f t="shared" si="2"/>
        <v>-9.7855169799057613</v>
      </c>
      <c r="T14" s="3">
        <f t="shared" si="0"/>
        <v>-3.8353311789630862</v>
      </c>
      <c r="U14" s="3">
        <f t="shared" si="1"/>
        <v>-16.962144841060557</v>
      </c>
      <c r="V14" s="3">
        <f t="shared" si="1"/>
        <v>-8.5065711948240974</v>
      </c>
      <c r="W14" s="3">
        <f t="shared" si="1"/>
        <v>-34.065464261857038</v>
      </c>
    </row>
    <row r="15" spans="1:23">
      <c r="A15" s="20">
        <v>2008</v>
      </c>
      <c r="B15" s="72">
        <f>'4A'!B15/'4A'!$B15*100</f>
        <v>100</v>
      </c>
      <c r="C15" s="72">
        <f>'4A'!C15/'4A'!$B15*100</f>
        <v>2.0899907226059167</v>
      </c>
      <c r="D15" s="72">
        <f>'4A'!D15/'4A'!$B15*100</f>
        <v>0.26285949902071948</v>
      </c>
      <c r="E15" s="72">
        <f>'4A'!E15/'4A'!$B15*100</f>
        <v>0</v>
      </c>
      <c r="F15" s="72">
        <f>'4A'!F15/'4A'!$B15*100</f>
        <v>0</v>
      </c>
      <c r="G15" s="72">
        <f>'4A'!G15/'4A'!$B15*100</f>
        <v>0.26028244510875165</v>
      </c>
      <c r="H15" s="72">
        <f>'4A'!H15/'4A'!$B15*100</f>
        <v>1.0256674569631996</v>
      </c>
      <c r="I15" s="72">
        <f>'4A'!I15/'4A'!$B15*100</f>
        <v>0.29636119987630144</v>
      </c>
      <c r="J15" s="72">
        <f>'4A'!J15/'4A'!$B15*100</f>
        <v>0.1340068034223276</v>
      </c>
      <c r="K15" s="72">
        <f>'4A'!K15/'4A'!$B15*100</f>
        <v>0.59529945366457071</v>
      </c>
      <c r="L15" s="72">
        <f>'4A'!L15/'4A'!$B15*100</f>
        <v>0.80146376662199781</v>
      </c>
      <c r="M15" s="72">
        <f>'4A'!M15/'4A'!$B15*100</f>
        <v>0.55922069889702097</v>
      </c>
      <c r="N15" s="72">
        <f>'4A'!N15/'4A'!$B15*100</f>
        <v>0.24224306772497681</v>
      </c>
      <c r="P15" s="3">
        <v>2007</v>
      </c>
      <c r="Q15" s="3">
        <f t="shared" si="2"/>
        <v>0</v>
      </c>
      <c r="R15" s="3">
        <f t="shared" si="2"/>
        <v>-23.634391345968741</v>
      </c>
      <c r="S15" s="3">
        <f t="shared" si="2"/>
        <v>-24.803445108079835</v>
      </c>
      <c r="T15" s="3">
        <f t="shared" si="0"/>
        <v>-25.912020796896652</v>
      </c>
      <c r="U15" s="3">
        <f t="shared" si="1"/>
        <v>-19.580263051867231</v>
      </c>
      <c r="V15" s="3">
        <f t="shared" si="1"/>
        <v>-28.471355544064568</v>
      </c>
      <c r="W15" s="3">
        <f t="shared" si="1"/>
        <v>4.2662020955492652</v>
      </c>
    </row>
    <row r="16" spans="1:23">
      <c r="A16" s="20">
        <v>2009</v>
      </c>
      <c r="B16" s="72">
        <f>'4A'!B16/'4A'!$B16*100</f>
        <v>100</v>
      </c>
      <c r="C16" s="72">
        <f>'4A'!C16/'4A'!$B16*100</f>
        <v>1.9566573121297159</v>
      </c>
      <c r="D16" s="72">
        <f>'4A'!D16/'4A'!$B16*100</f>
        <v>0.19488618646710321</v>
      </c>
      <c r="E16" s="72">
        <f>'4A'!E16/'4A'!$B16*100</f>
        <v>0</v>
      </c>
      <c r="F16" s="72">
        <f>'4A'!F16/'4A'!$B16*100</f>
        <v>0</v>
      </c>
      <c r="G16" s="72">
        <f>'4A'!G16/'4A'!$B16*100</f>
        <v>0.19228770398087516</v>
      </c>
      <c r="H16" s="72">
        <f>'4A'!H16/'4A'!$B16*100</f>
        <v>1.0783702317846378</v>
      </c>
      <c r="I16" s="72">
        <f>'4A'!I16/'4A'!$B16*100</f>
        <v>0.28323459099885667</v>
      </c>
      <c r="J16" s="72">
        <f>'4A'!J16/'4A'!$B16*100</f>
        <v>0.13771957177008626</v>
      </c>
      <c r="K16" s="72">
        <f>'4A'!K16/'4A'!$B16*100</f>
        <v>0.65741606901569483</v>
      </c>
      <c r="L16" s="72">
        <f>'4A'!L16/'4A'!$B16*100</f>
        <v>0.68340089387797531</v>
      </c>
      <c r="M16" s="72">
        <f>'4A'!M16/'4A'!$B16*100</f>
        <v>0.55607525205280106</v>
      </c>
      <c r="N16" s="72">
        <f>'4A'!N16/'4A'!$B16*100</f>
        <v>0.12472715933894606</v>
      </c>
      <c r="P16" s="3">
        <v>2008</v>
      </c>
      <c r="Q16" s="3">
        <f t="shared" si="2"/>
        <v>0</v>
      </c>
      <c r="R16" s="3">
        <f t="shared" si="2"/>
        <v>2.7337619172223881</v>
      </c>
      <c r="S16" s="3">
        <f t="shared" si="2"/>
        <v>-3.0933071927557121</v>
      </c>
      <c r="T16" s="3">
        <f t="shared" si="0"/>
        <v>-1.6872100814348978</v>
      </c>
      <c r="U16" s="3">
        <f t="shared" si="1"/>
        <v>11.336674913239197</v>
      </c>
      <c r="V16" s="3">
        <f t="shared" si="1"/>
        <v>18.459010035418121</v>
      </c>
      <c r="W16" s="3">
        <f t="shared" si="1"/>
        <v>-1.1931759612411108</v>
      </c>
    </row>
    <row r="17" spans="1:23">
      <c r="A17" s="20">
        <v>2010</v>
      </c>
      <c r="B17" s="72">
        <f>'4A'!B17/'4A'!$B17*100</f>
        <v>100</v>
      </c>
      <c r="C17" s="72">
        <f>'4A'!C17/'4A'!$B17*100</f>
        <v>1.9105514546244029</v>
      </c>
      <c r="D17" s="72">
        <f>'4A'!D17/'4A'!$B17*100</f>
        <v>0.257975530637787</v>
      </c>
      <c r="E17" s="72">
        <f>'4A'!E17/'4A'!$B17*100</f>
        <v>0</v>
      </c>
      <c r="F17" s="72">
        <f>'4A'!F17/'4A'!$B17*100</f>
        <v>0</v>
      </c>
      <c r="G17" s="72">
        <f>'4A'!G17/'4A'!$B17*100</f>
        <v>0.25286710428852394</v>
      </c>
      <c r="H17" s="72">
        <f>'4A'!H17/'4A'!$B17*100</f>
        <v>1.003805777630201</v>
      </c>
      <c r="I17" s="72">
        <f>'4A'!I17/'4A'!$B17*100</f>
        <v>0.32438507317820747</v>
      </c>
      <c r="J17" s="72">
        <f>'4A'!J17/'4A'!$B17*100</f>
        <v>0.1583612168271564</v>
      </c>
      <c r="K17" s="72">
        <f>'4A'!K17/'4A'!$B17*100</f>
        <v>0.52105948762483711</v>
      </c>
      <c r="L17" s="72">
        <f>'4A'!L17/'4A'!$B17*100</f>
        <v>0.64877014635641495</v>
      </c>
      <c r="M17" s="72">
        <f>'4A'!M17/'4A'!$B17*100</f>
        <v>0.46231258460831148</v>
      </c>
      <c r="N17" s="72">
        <f>'4A'!N17/'4A'!$B17*100</f>
        <v>0.18645756174810349</v>
      </c>
      <c r="P17" s="3">
        <v>2009</v>
      </c>
      <c r="Q17" s="3">
        <f t="shared" si="2"/>
        <v>0</v>
      </c>
      <c r="R17" s="3">
        <f t="shared" si="2"/>
        <v>-6.3796173367675628</v>
      </c>
      <c r="S17" s="3">
        <f t="shared" si="2"/>
        <v>-25.859180591475749</v>
      </c>
      <c r="T17" s="3">
        <f t="shared" si="0"/>
        <v>5.1383881260580022</v>
      </c>
      <c r="U17" s="3">
        <f t="shared" si="1"/>
        <v>-14.730905832665753</v>
      </c>
      <c r="V17" s="3">
        <f t="shared" si="1"/>
        <v>-0.56246967439220752</v>
      </c>
      <c r="W17" s="3">
        <f t="shared" si="1"/>
        <v>-48.511567117144018</v>
      </c>
    </row>
    <row r="18" spans="1:23">
      <c r="A18" s="20">
        <v>2011</v>
      </c>
      <c r="B18" s="72">
        <f>'4A'!B18/'4A'!$B18*100</f>
        <v>100</v>
      </c>
      <c r="C18" s="72">
        <f>'4A'!C18/'4A'!$B18*100</f>
        <v>1.8135370295426951</v>
      </c>
      <c r="D18" s="72">
        <f>'4A'!D18/'4A'!$B18*100</f>
        <v>0.23269931201942534</v>
      </c>
      <c r="E18" s="72">
        <f>'4A'!E18/'4A'!$B18*100</f>
        <v>0</v>
      </c>
      <c r="F18" s="72">
        <f>'4A'!F18/'4A'!$B18*100</f>
        <v>0</v>
      </c>
      <c r="G18" s="72">
        <f>'4A'!G18/'4A'!$B18*100</f>
        <v>0.23016997167138808</v>
      </c>
      <c r="H18" s="72">
        <f>'4A'!H18/'4A'!$B18*100</f>
        <v>0.87009307972480776</v>
      </c>
      <c r="I18" s="72">
        <f>'4A'!I18/'4A'!$B18*100</f>
        <v>0.28075677863213272</v>
      </c>
      <c r="J18" s="72">
        <f>'4A'!J18/'4A'!$B18*100</f>
        <v>0.14164305949008496</v>
      </c>
      <c r="K18" s="72">
        <f>'4A'!K18/'4A'!$B18*100</f>
        <v>0.44769324160259005</v>
      </c>
      <c r="L18" s="72">
        <f>'4A'!L18/'4A'!$B18*100</f>
        <v>0.7107446377984622</v>
      </c>
      <c r="M18" s="72">
        <f>'4A'!M18/'4A'!$B18*100</f>
        <v>0.48310400647511131</v>
      </c>
      <c r="N18" s="72">
        <f>'4A'!N18/'4A'!$B18*100</f>
        <v>0.22764063132335088</v>
      </c>
      <c r="P18" s="3">
        <v>2010</v>
      </c>
      <c r="Q18" s="3">
        <f t="shared" si="2"/>
        <v>0</v>
      </c>
      <c r="R18" s="3">
        <f t="shared" si="2"/>
        <v>-2.356358327004604</v>
      </c>
      <c r="S18" s="3">
        <f t="shared" si="2"/>
        <v>32.372404280861275</v>
      </c>
      <c r="T18" s="3">
        <f t="shared" si="0"/>
        <v>-6.9145504907936033</v>
      </c>
      <c r="U18" s="3">
        <f t="shared" si="1"/>
        <v>-5.067413260911513</v>
      </c>
      <c r="V18" s="3">
        <f t="shared" si="1"/>
        <v>-16.861506980998776</v>
      </c>
      <c r="W18" s="3">
        <f t="shared" si="1"/>
        <v>49.492350131541961</v>
      </c>
    </row>
    <row r="19" spans="1:23">
      <c r="A19" s="20">
        <v>2012</v>
      </c>
      <c r="B19" s="72">
        <f>'4A'!B19/'4A'!$B19*100</f>
        <v>100</v>
      </c>
      <c r="C19" s="72">
        <f>'4A'!C19/'4A'!$B19*100</f>
        <v>1.7995181206706155</v>
      </c>
      <c r="D19" s="72">
        <f>'4A'!D19/'4A'!$B19*100</f>
        <v>0.2133319947796406</v>
      </c>
      <c r="E19" s="72">
        <f>'4A'!E19/'4A'!$B19*100</f>
        <v>0</v>
      </c>
      <c r="F19" s="72">
        <f>'4A'!F19/'4A'!$B19*100</f>
        <v>0</v>
      </c>
      <c r="G19" s="72">
        <f>'4A'!G19/'4A'!$B19*100</f>
        <v>0.21082220660576251</v>
      </c>
      <c r="H19" s="72">
        <f>'4A'!H19/'4A'!$B19*100</f>
        <v>0.94117056520429676</v>
      </c>
      <c r="I19" s="72">
        <f>'4A'!I19/'4A'!$B19*100</f>
        <v>0.22839072382290934</v>
      </c>
      <c r="J19" s="72">
        <f>'4A'!J19/'4A'!$B19*100</f>
        <v>0.13301877321554059</v>
      </c>
      <c r="K19" s="72">
        <f>'4A'!K19/'4A'!$B19*100</f>
        <v>0.57725127999196868</v>
      </c>
      <c r="L19" s="72">
        <f>'4A'!L19/'4A'!$B19*100</f>
        <v>0.64501556068667798</v>
      </c>
      <c r="M19" s="72">
        <f>'4A'!M19/'4A'!$B19*100</f>
        <v>0.44674229495030615</v>
      </c>
      <c r="N19" s="72">
        <f>'4A'!N19/'4A'!$B19*100</f>
        <v>0.19827326573637186</v>
      </c>
      <c r="P19" s="3">
        <v>2011</v>
      </c>
      <c r="Q19" s="3">
        <f t="shared" si="2"/>
        <v>0</v>
      </c>
      <c r="R19" s="3">
        <f t="shared" si="2"/>
        <v>-5.0778232037084763</v>
      </c>
      <c r="S19" s="3">
        <f t="shared" si="2"/>
        <v>-9.7979132190839309</v>
      </c>
      <c r="T19" s="3">
        <f t="shared" si="0"/>
        <v>-13.320574645531934</v>
      </c>
      <c r="U19" s="3">
        <f t="shared" si="1"/>
        <v>9.5526114742031218</v>
      </c>
      <c r="V19" s="3">
        <f t="shared" si="1"/>
        <v>4.4972649586026536</v>
      </c>
      <c r="W19" s="3">
        <f t="shared" si="1"/>
        <v>22.087100780006995</v>
      </c>
    </row>
    <row r="20" spans="1:23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3">
        <v>2012</v>
      </c>
      <c r="Q20" s="3">
        <f t="shared" si="2"/>
        <v>0</v>
      </c>
      <c r="R20" s="3">
        <f t="shared" si="2"/>
        <v>-0.7730147575544577</v>
      </c>
      <c r="S20" s="3">
        <f t="shared" si="2"/>
        <v>-8.3228940694796698</v>
      </c>
      <c r="T20" s="3">
        <f t="shared" si="0"/>
        <v>8.1689519358054454</v>
      </c>
      <c r="U20" s="3">
        <f t="shared" si="1"/>
        <v>-9.2479174117135248</v>
      </c>
      <c r="V20" s="3">
        <f t="shared" si="1"/>
        <v>-7.5266839101816636</v>
      </c>
      <c r="W20" s="3">
        <f t="shared" si="1"/>
        <v>-12.900757398297813</v>
      </c>
    </row>
    <row r="21" spans="1:23">
      <c r="A21" s="13"/>
      <c r="B21" s="13"/>
      <c r="C21" s="13"/>
      <c r="D21" s="14"/>
      <c r="E21" s="14"/>
      <c r="F21" s="14"/>
      <c r="G21" s="14"/>
      <c r="H21" s="13"/>
      <c r="I21" s="13"/>
      <c r="J21" s="13"/>
      <c r="K21" s="13"/>
      <c r="L21" s="13"/>
      <c r="M21" s="13"/>
      <c r="N21" s="13"/>
    </row>
    <row r="22" spans="1:2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23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Q23" s="3" t="s">
        <v>27</v>
      </c>
    </row>
    <row r="24" spans="1:23" ht="30">
      <c r="A24" s="67" t="s">
        <v>19</v>
      </c>
      <c r="B24" s="13">
        <f>((B7/B4)^(1/3)-1)*100</f>
        <v>0</v>
      </c>
      <c r="C24" s="13">
        <f>((C7/C4)^(1/3)-1)*100</f>
        <v>0.38252996815650864</v>
      </c>
      <c r="D24" s="13">
        <f t="shared" ref="D24" si="3">((D7/D4)^(1/3)-1)*100</f>
        <v>-8.3799827747727544</v>
      </c>
      <c r="E24" s="62" t="s">
        <v>10</v>
      </c>
      <c r="F24" s="62" t="s">
        <v>10</v>
      </c>
      <c r="G24" s="13">
        <f t="shared" ref="G24:N24" si="4">((G7/G4)^(1/3)-1)*100</f>
        <v>-7.807342800735495</v>
      </c>
      <c r="H24" s="13">
        <f t="shared" si="4"/>
        <v>4.6127577043439727</v>
      </c>
      <c r="I24" s="13">
        <f t="shared" si="4"/>
        <v>-0.78681382517530318</v>
      </c>
      <c r="J24" s="13">
        <f t="shared" si="4"/>
        <v>17.645038679550606</v>
      </c>
      <c r="K24" s="13">
        <f t="shared" si="4"/>
        <v>8.3501799338564275</v>
      </c>
      <c r="L24" s="13">
        <f t="shared" si="4"/>
        <v>3.1106267787839315E-2</v>
      </c>
      <c r="M24" s="13">
        <f t="shared" si="4"/>
        <v>-3.3578190094008642</v>
      </c>
      <c r="N24" s="13">
        <f t="shared" si="4"/>
        <v>13.795259350394605</v>
      </c>
      <c r="P24" s="3">
        <v>1998</v>
      </c>
      <c r="Q24" s="3">
        <f t="shared" ref="Q24:Q25" si="5">B5/$B$7</f>
        <v>1</v>
      </c>
      <c r="R24" s="3">
        <f>C5/$C$7</f>
        <v>1.0291825239615235</v>
      </c>
      <c r="S24" s="3">
        <f t="shared" ref="S24:S29" si="6">D5/$D$7</f>
        <v>1.2259864528396507</v>
      </c>
      <c r="T24" s="3">
        <f t="shared" ref="T24:T25" si="7">H5/$H$7</f>
        <v>0.91819453437405241</v>
      </c>
      <c r="U24" s="3">
        <f t="shared" ref="U24:U25" si="8">L5/$L$7</f>
        <v>1.0912014741239284</v>
      </c>
      <c r="V24" s="3">
        <f t="shared" ref="V24:V25" si="9">M5/$M$7</f>
        <v>1.0953636116695367</v>
      </c>
      <c r="W24" s="3">
        <f t="shared" ref="W24:W25" si="10">N5/$N$7</f>
        <v>1.0673447183254718</v>
      </c>
    </row>
    <row r="25" spans="1:23" ht="30">
      <c r="A25" s="67" t="s">
        <v>68</v>
      </c>
      <c r="B25" s="13">
        <f>((B14/B7)^(1/7)-1)*100</f>
        <v>0</v>
      </c>
      <c r="C25" s="13">
        <f t="shared" ref="C25:N25" si="11">((C14/C7)^(1/7)-1)*100</f>
        <v>-5.7442504328282347</v>
      </c>
      <c r="D25" s="13">
        <f t="shared" si="11"/>
        <v>-8.9601607216270409</v>
      </c>
      <c r="E25" s="62" t="s">
        <v>10</v>
      </c>
      <c r="F25" s="62" t="s">
        <v>10</v>
      </c>
      <c r="G25" s="13">
        <f t="shared" si="11"/>
        <v>-9.7297322945828491</v>
      </c>
      <c r="H25" s="13">
        <f t="shared" si="11"/>
        <v>-5.1549118426443279</v>
      </c>
      <c r="I25" s="13">
        <f t="shared" si="11"/>
        <v>-9.5924041021517414</v>
      </c>
      <c r="J25" s="13">
        <f t="shared" si="11"/>
        <v>-5.5446827718777065</v>
      </c>
      <c r="K25" s="13">
        <f t="shared" si="11"/>
        <v>-0.51774941848589107</v>
      </c>
      <c r="L25" s="13">
        <f t="shared" si="11"/>
        <v>-5.1678939650407703</v>
      </c>
      <c r="M25" s="13">
        <f t="shared" si="11"/>
        <v>-6.9063704645568773</v>
      </c>
      <c r="N25" s="13">
        <f t="shared" si="11"/>
        <v>-1.0831357230162375</v>
      </c>
      <c r="P25" s="3">
        <v>1999</v>
      </c>
      <c r="Q25" s="3">
        <f t="shared" si="5"/>
        <v>1</v>
      </c>
      <c r="R25" s="3">
        <f t="shared" ref="R25:R29" si="12">C6/$C$7</f>
        <v>1.0547437629168512</v>
      </c>
      <c r="S25" s="3">
        <f t="shared" si="6"/>
        <v>1.217827427133146</v>
      </c>
      <c r="T25" s="3">
        <f t="shared" si="7"/>
        <v>0.98073955694003812</v>
      </c>
      <c r="U25" s="3">
        <f t="shared" si="8"/>
        <v>1.0801219872593344</v>
      </c>
      <c r="V25" s="3">
        <f t="shared" si="9"/>
        <v>1.0688180691033624</v>
      </c>
      <c r="W25" s="3">
        <f t="shared" si="10"/>
        <v>1.1134057462741407</v>
      </c>
    </row>
    <row r="26" spans="1:23" ht="30">
      <c r="A26" s="67" t="s">
        <v>70</v>
      </c>
      <c r="B26" s="13">
        <f>((B19/B14)^(1/5)-1)*100</f>
        <v>0</v>
      </c>
      <c r="C26" s="13">
        <f t="shared" ref="C26:N26" si="13">((C19/C14)^(1/5)-1)*100</f>
        <v>-2.4235504943049047</v>
      </c>
      <c r="D26" s="13">
        <f t="shared" si="13"/>
        <v>-4.6902746266653361</v>
      </c>
      <c r="E26" s="62" t="s">
        <v>10</v>
      </c>
      <c r="F26" s="62" t="s">
        <v>10</v>
      </c>
      <c r="G26" s="13">
        <f t="shared" si="13"/>
        <v>-3.7788057258911878</v>
      </c>
      <c r="H26" s="13">
        <f t="shared" si="13"/>
        <v>-2.0387414253858815</v>
      </c>
      <c r="I26" s="13">
        <f t="shared" si="13"/>
        <v>-8.6954202093866506</v>
      </c>
      <c r="J26" s="13">
        <f t="shared" si="13"/>
        <v>-3.8305932662758058</v>
      </c>
      <c r="K26" s="13">
        <f t="shared" si="13"/>
        <v>2.0468654079121018</v>
      </c>
      <c r="L26" s="13">
        <f t="shared" si="13"/>
        <v>-2.1716093453071572</v>
      </c>
      <c r="M26" s="13">
        <f t="shared" si="13"/>
        <v>-1.0972456710541811</v>
      </c>
      <c r="N26" s="13">
        <f t="shared" si="13"/>
        <v>-4.1570994789488562</v>
      </c>
      <c r="P26" s="3">
        <v>2000</v>
      </c>
      <c r="Q26" s="3">
        <f>B7/$B$7</f>
        <v>1</v>
      </c>
      <c r="R26" s="3">
        <f t="shared" si="12"/>
        <v>1</v>
      </c>
      <c r="S26" s="3">
        <f t="shared" si="6"/>
        <v>1</v>
      </c>
      <c r="T26" s="3">
        <f>H7/$H$7</f>
        <v>1</v>
      </c>
      <c r="U26" s="3">
        <f>L7/$L$7</f>
        <v>1</v>
      </c>
      <c r="V26" s="3">
        <f>M7/$M$7</f>
        <v>1</v>
      </c>
      <c r="W26" s="3">
        <f>N7/$N$7</f>
        <v>1</v>
      </c>
    </row>
    <row r="27" spans="1:23" ht="30">
      <c r="A27" s="67" t="s">
        <v>33</v>
      </c>
      <c r="B27" s="13">
        <f>((B19/B4)^(1/15)-1)*100</f>
        <v>0</v>
      </c>
      <c r="C27" s="13">
        <f t="shared" ref="C27:D27" si="14">((C19/C4)^(1/15)-1)*100</f>
        <v>-3.4415478591428128</v>
      </c>
      <c r="D27" s="13">
        <f t="shared" si="14"/>
        <v>-7.441031737826509</v>
      </c>
      <c r="E27" s="62" t="s">
        <v>10</v>
      </c>
      <c r="F27" s="62" t="s">
        <v>10</v>
      </c>
      <c r="G27" s="13">
        <f t="shared" ref="G27:N27" si="15">((G19/G4)^(1/15)-1)*100</f>
        <v>-7.3987061062840143</v>
      </c>
      <c r="H27" s="13">
        <f t="shared" si="15"/>
        <v>-2.2293183683525397</v>
      </c>
      <c r="I27" s="13">
        <f t="shared" si="15"/>
        <v>-7.5925406853459947</v>
      </c>
      <c r="J27" s="13">
        <f t="shared" si="15"/>
        <v>-0.71140600713686108</v>
      </c>
      <c r="K27" s="13">
        <f t="shared" si="15"/>
        <v>2.0580104556847445</v>
      </c>
      <c r="L27" s="13">
        <f t="shared" si="15"/>
        <v>-3.1511424688941525</v>
      </c>
      <c r="M27" s="13">
        <f t="shared" si="15"/>
        <v>-4.2955520146791493</v>
      </c>
      <c r="N27" s="13">
        <f t="shared" si="15"/>
        <v>0.66325645447429249</v>
      </c>
      <c r="P27" s="3">
        <v>2001</v>
      </c>
      <c r="Q27" s="3">
        <f t="shared" ref="Q27:Q29" si="16">B8/$B$7</f>
        <v>1</v>
      </c>
      <c r="R27" s="3">
        <f t="shared" si="12"/>
        <v>0.98019438000978754</v>
      </c>
      <c r="S27" s="3">
        <f t="shared" si="6"/>
        <v>1.0220199114552919</v>
      </c>
      <c r="T27" s="3">
        <f t="shared" ref="T27:T29" si="17">H8/$H$7</f>
        <v>0.99831081310335368</v>
      </c>
      <c r="U27" s="3">
        <f t="shared" ref="U27:U29" si="18">L8/$L$7</f>
        <v>0.93299215125656865</v>
      </c>
      <c r="V27" s="3">
        <f t="shared" ref="V27:V29" si="19">M8/$M$7</f>
        <v>0.88049656358519091</v>
      </c>
      <c r="W27" s="3">
        <f t="shared" ref="W27:W29" si="20">N8/$N$7</f>
        <v>1.0875624927334033</v>
      </c>
    </row>
    <row r="28" spans="1:23">
      <c r="P28" s="3">
        <v>2002</v>
      </c>
      <c r="Q28" s="3">
        <f t="shared" si="16"/>
        <v>1</v>
      </c>
      <c r="R28" s="3">
        <f t="shared" si="12"/>
        <v>1.0708747390877156</v>
      </c>
      <c r="S28" s="3">
        <f t="shared" si="6"/>
        <v>1.0507116756283446</v>
      </c>
      <c r="T28" s="3">
        <f t="shared" si="17"/>
        <v>1.2196907768009249</v>
      </c>
      <c r="U28" s="3">
        <f t="shared" si="18"/>
        <v>0.86551581489385165</v>
      </c>
      <c r="V28" s="3">
        <f t="shared" si="19"/>
        <v>0.86419720413636658</v>
      </c>
      <c r="W28" s="3">
        <f t="shared" si="20"/>
        <v>0.85879597161051424</v>
      </c>
    </row>
    <row r="29" spans="1:23">
      <c r="A29" s="55" t="s">
        <v>314</v>
      </c>
      <c r="L29" s="58"/>
      <c r="P29" s="3">
        <v>2003</v>
      </c>
      <c r="Q29" s="3">
        <f t="shared" si="16"/>
        <v>1</v>
      </c>
      <c r="R29" s="3">
        <f t="shared" si="12"/>
        <v>1.0060807349208591</v>
      </c>
      <c r="S29" s="3">
        <f t="shared" si="6"/>
        <v>0.93438781442531604</v>
      </c>
      <c r="T29" s="3">
        <f t="shared" si="17"/>
        <v>1.0950592181588521</v>
      </c>
      <c r="U29" s="3">
        <f t="shared" si="18"/>
        <v>0.91319735312896733</v>
      </c>
      <c r="V29" s="3">
        <f t="shared" si="19"/>
        <v>0.98221779294434808</v>
      </c>
      <c r="W29" s="3">
        <f t="shared" si="20"/>
        <v>0.70997050256145822</v>
      </c>
    </row>
    <row r="30" spans="1:23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P30" s="3">
        <v>2005</v>
      </c>
      <c r="Q30" s="3">
        <f t="shared" ref="Q30:Q37" si="21">B12/$B$7</f>
        <v>1</v>
      </c>
      <c r="R30" s="3">
        <f t="shared" ref="R30:R37" si="22">C12/$C$7</f>
        <v>0.95584099441657877</v>
      </c>
      <c r="S30" s="3">
        <f t="shared" ref="S30:S37" si="23">D12/$D$7</f>
        <v>0.76409290623711779</v>
      </c>
      <c r="T30" s="3">
        <f t="shared" ref="T30:T37" si="24">H12/$H$7</f>
        <v>0.96903758573630461</v>
      </c>
      <c r="U30" s="3">
        <f t="shared" ref="U30:U37" si="25">L12/$L$7</f>
        <v>1.0328779289450432</v>
      </c>
      <c r="V30" s="3">
        <f t="shared" ref="V30:V37" si="26">M12/$M$7</f>
        <v>0.92591227592619219</v>
      </c>
      <c r="W30" s="3">
        <f t="shared" ref="W30:W37" si="27">N12/$N$7</f>
        <v>1.3478323517227715</v>
      </c>
    </row>
    <row r="31" spans="1:23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P31" s="3">
        <v>2006</v>
      </c>
      <c r="Q31" s="3">
        <f t="shared" si="21"/>
        <v>1</v>
      </c>
      <c r="R31" s="3">
        <f t="shared" si="22"/>
        <v>0.86548021225513738</v>
      </c>
      <c r="S31" s="3">
        <f t="shared" si="23"/>
        <v>0.68932246515502915</v>
      </c>
      <c r="T31" s="3">
        <f t="shared" si="24"/>
        <v>0.93187178507468904</v>
      </c>
      <c r="U31" s="3">
        <f t="shared" si="25"/>
        <v>0.85767967860603833</v>
      </c>
      <c r="V31" s="3">
        <f t="shared" si="26"/>
        <v>0.84714888897291452</v>
      </c>
      <c r="W31" s="3">
        <f t="shared" si="27"/>
        <v>0.88868700363690367</v>
      </c>
    </row>
    <row r="32" spans="1:23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P32" s="3">
        <v>2007</v>
      </c>
      <c r="Q32" s="3">
        <f t="shared" si="21"/>
        <v>1</v>
      </c>
      <c r="R32" s="3">
        <f t="shared" si="22"/>
        <v>0.66092923186883734</v>
      </c>
      <c r="S32" s="3">
        <f t="shared" si="23"/>
        <v>0.51834674589263874</v>
      </c>
      <c r="T32" s="3">
        <f t="shared" si="24"/>
        <v>0.69040497432572345</v>
      </c>
      <c r="U32" s="3">
        <f t="shared" si="25"/>
        <v>0.68974374139256656</v>
      </c>
      <c r="V32" s="3">
        <f t="shared" si="26"/>
        <v>0.60595411680584321</v>
      </c>
      <c r="W32" s="3">
        <f t="shared" si="27"/>
        <v>0.92660018720893522</v>
      </c>
    </row>
    <row r="33" spans="16:23">
      <c r="P33" s="3">
        <v>2008</v>
      </c>
      <c r="Q33" s="3">
        <f t="shared" si="21"/>
        <v>1</v>
      </c>
      <c r="R33" s="3">
        <f t="shared" si="22"/>
        <v>0.678997463509458</v>
      </c>
      <c r="S33" s="3">
        <f t="shared" si="23"/>
        <v>0.50231268871852652</v>
      </c>
      <c r="T33" s="3">
        <f t="shared" si="24"/>
        <v>0.67875639199617188</v>
      </c>
      <c r="U33" s="3">
        <f t="shared" si="25"/>
        <v>0.76793774708865514</v>
      </c>
      <c r="V33" s="3">
        <f t="shared" si="26"/>
        <v>0.71780724803706297</v>
      </c>
      <c r="W33" s="3">
        <f t="shared" si="27"/>
        <v>0.91554421651834306</v>
      </c>
    </row>
    <row r="34" spans="16:23">
      <c r="P34" s="3">
        <v>2009</v>
      </c>
      <c r="Q34" s="3">
        <f t="shared" si="21"/>
        <v>1</v>
      </c>
      <c r="R34" s="3">
        <f t="shared" si="22"/>
        <v>0.63568002361119658</v>
      </c>
      <c r="S34" s="3">
        <f t="shared" si="23"/>
        <v>0.37241874340890535</v>
      </c>
      <c r="T34" s="3">
        <f t="shared" si="24"/>
        <v>0.71363352984736284</v>
      </c>
      <c r="U34" s="3">
        <f t="shared" si="25"/>
        <v>0.65481356071153052</v>
      </c>
      <c r="V34" s="3">
        <f t="shared" si="26"/>
        <v>0.71376979994626533</v>
      </c>
      <c r="W34" s="3">
        <f t="shared" si="27"/>
        <v>0.47139936943491673</v>
      </c>
    </row>
    <row r="35" spans="16:23">
      <c r="P35" s="3">
        <v>2010</v>
      </c>
      <c r="Q35" s="3">
        <f t="shared" si="21"/>
        <v>1</v>
      </c>
      <c r="R35" s="3">
        <f t="shared" si="22"/>
        <v>0.62070112444172931</v>
      </c>
      <c r="S35" s="3">
        <f t="shared" si="23"/>
        <v>0.49297964464293959</v>
      </c>
      <c r="T35" s="3">
        <f t="shared" si="24"/>
        <v>0.66428897910683438</v>
      </c>
      <c r="U35" s="3">
        <f t="shared" si="25"/>
        <v>0.62163145150178745</v>
      </c>
      <c r="V35" s="3">
        <f t="shared" si="26"/>
        <v>0.59341745530006473</v>
      </c>
      <c r="W35" s="3">
        <f t="shared" si="27"/>
        <v>0.70470599587352678</v>
      </c>
    </row>
    <row r="36" spans="16:23">
      <c r="P36" s="3">
        <v>2011</v>
      </c>
      <c r="Q36" s="3">
        <f t="shared" si="21"/>
        <v>1</v>
      </c>
      <c r="R36" s="3">
        <f t="shared" si="22"/>
        <v>0.58918301871914769</v>
      </c>
      <c r="S36" s="3">
        <f t="shared" si="23"/>
        <v>0.444677926873076</v>
      </c>
      <c r="T36" s="3">
        <f t="shared" si="24"/>
        <v>0.5758018697828664</v>
      </c>
      <c r="U36" s="3">
        <f t="shared" si="25"/>
        <v>0.68101348886520263</v>
      </c>
      <c r="V36" s="3">
        <f t="shared" si="26"/>
        <v>0.62010501057550615</v>
      </c>
      <c r="W36" s="3">
        <f t="shared" si="27"/>
        <v>0.86035511938486464</v>
      </c>
    </row>
    <row r="37" spans="16:23">
      <c r="P37" s="3">
        <v>2012</v>
      </c>
      <c r="Q37" s="3">
        <f t="shared" si="21"/>
        <v>1</v>
      </c>
      <c r="R37" s="3">
        <f t="shared" si="22"/>
        <v>0.58462854703544387</v>
      </c>
      <c r="S37" s="3">
        <f t="shared" si="23"/>
        <v>0.40766785406907163</v>
      </c>
      <c r="T37" s="3">
        <f t="shared" si="24"/>
        <v>0.62283884777089793</v>
      </c>
      <c r="U37" s="3">
        <f t="shared" si="25"/>
        <v>0.61803392385231981</v>
      </c>
      <c r="V37" s="3">
        <f t="shared" si="26"/>
        <v>0.57343166651828925</v>
      </c>
      <c r="W37" s="3">
        <f t="shared" si="27"/>
        <v>0.74936279266918771</v>
      </c>
    </row>
  </sheetData>
  <mergeCells count="2">
    <mergeCell ref="A1:N1"/>
    <mergeCell ref="A23:N23"/>
  </mergeCells>
  <printOptions gridLines="1"/>
  <pageMargins left="0.7" right="0.7" top="0.75" bottom="0.75" header="0.3" footer="0.3"/>
  <pageSetup scale="65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7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5" width="9.140625" style="3"/>
    <col min="16" max="25" width="0" style="3" hidden="1" customWidth="1"/>
    <col min="26" max="16384" width="9.140625" style="3"/>
  </cols>
  <sheetData>
    <row r="1" spans="1:23">
      <c r="A1" s="454" t="s">
        <v>179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23" ht="135">
      <c r="A2" s="66"/>
      <c r="B2" s="66" t="s">
        <v>2</v>
      </c>
      <c r="C2" s="66" t="s">
        <v>8</v>
      </c>
      <c r="D2" s="66" t="s">
        <v>20</v>
      </c>
      <c r="E2" s="54" t="s">
        <v>63</v>
      </c>
      <c r="F2" s="54" t="s">
        <v>64</v>
      </c>
      <c r="G2" s="54" t="s">
        <v>65</v>
      </c>
      <c r="H2" s="66" t="s">
        <v>4</v>
      </c>
      <c r="I2" s="66" t="s">
        <v>36</v>
      </c>
      <c r="J2" s="66" t="s">
        <v>37</v>
      </c>
      <c r="K2" s="66" t="s">
        <v>38</v>
      </c>
      <c r="L2" s="66" t="s">
        <v>5</v>
      </c>
      <c r="M2" s="66" t="s">
        <v>6</v>
      </c>
      <c r="N2" s="66" t="s">
        <v>7</v>
      </c>
    </row>
    <row r="3" spans="1:23">
      <c r="A3" s="66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</row>
    <row r="4" spans="1:23">
      <c r="A4" s="66">
        <v>1997</v>
      </c>
      <c r="B4" s="72">
        <f>'4B'!B4/'4B'!$B4*100</f>
        <v>100</v>
      </c>
      <c r="C4" s="72">
        <f>'4B'!C4/'4B'!$B4*100</f>
        <v>1.3703290679872229</v>
      </c>
      <c r="D4" s="72">
        <f>'4B'!D4/'4B'!$B4*100</f>
        <v>0.10206588920180695</v>
      </c>
      <c r="E4" s="72">
        <f>'4B'!E4/'4B'!$B4*100</f>
        <v>0</v>
      </c>
      <c r="F4" s="72">
        <f>'4B'!F4/'4B'!$B4*100</f>
        <v>0</v>
      </c>
      <c r="G4" s="72">
        <f>'4B'!G4/'4B'!$B4*100</f>
        <v>0.10206588920180695</v>
      </c>
      <c r="H4" s="72">
        <f>'4B'!H4/'4B'!$B4*100</f>
        <v>0.51599977318691292</v>
      </c>
      <c r="I4" s="72">
        <f>'4B'!I4/'4B'!$B4*100</f>
        <v>0.13230763415049049</v>
      </c>
      <c r="J4" s="72">
        <f>'4B'!J4/'4B'!$B4*100</f>
        <v>8.1274689549587012E-2</v>
      </c>
      <c r="K4" s="72">
        <f>'4B'!K4/'4B'!$B4*100</f>
        <v>0.30241744948683541</v>
      </c>
      <c r="L4" s="72">
        <f>'4B'!L4/'4B'!$B4*100</f>
        <v>0.75226340559850302</v>
      </c>
      <c r="M4" s="72">
        <f>'4B'!M4/'4B'!$B4*100</f>
        <v>0.45929650140813127</v>
      </c>
      <c r="N4" s="72">
        <f>'4B'!N4/'4B'!$B4*100</f>
        <v>0.2929669041903718</v>
      </c>
      <c r="Q4" s="3" t="s">
        <v>24</v>
      </c>
    </row>
    <row r="5" spans="1:23">
      <c r="A5" s="66">
        <v>1998</v>
      </c>
      <c r="B5" s="72">
        <f>'4B'!B5/'4B'!$B5*100</f>
        <v>100</v>
      </c>
      <c r="C5" s="72">
        <f>'4B'!C5/'4B'!$B5*100</f>
        <v>1.4595060415482499</v>
      </c>
      <c r="D5" s="72">
        <f>'4B'!D5/'4B'!$B5*100</f>
        <v>0.10634591760024938</v>
      </c>
      <c r="E5" s="72">
        <f>'4B'!E5/'4B'!$B5*100</f>
        <v>0</v>
      </c>
      <c r="F5" s="72">
        <f>'4B'!F5/'4B'!$B5*100</f>
        <v>0</v>
      </c>
      <c r="G5" s="72">
        <f>'4B'!G5/'4B'!$B5*100</f>
        <v>0.10634591760024938</v>
      </c>
      <c r="H5" s="72">
        <f>'4B'!H5/'4B'!$B5*100</f>
        <v>0.58856964740827666</v>
      </c>
      <c r="I5" s="72">
        <f>'4B'!I5/'4B'!$B5*100</f>
        <v>0.1796879297383524</v>
      </c>
      <c r="J5" s="72">
        <f>'4B'!J5/'4B'!$B5*100</f>
        <v>5.8673609710482411E-2</v>
      </c>
      <c r="K5" s="72">
        <f>'4B'!K5/'4B'!$B5*100</f>
        <v>0.34837455765598929</v>
      </c>
      <c r="L5" s="72">
        <f>'4B'!L5/'4B'!$B5*100</f>
        <v>0.76459047653972401</v>
      </c>
      <c r="M5" s="72">
        <f>'4B'!M5/'4B'!$B5*100</f>
        <v>0.41071526797337687</v>
      </c>
      <c r="N5" s="72">
        <f>'4B'!N5/'4B'!$B5*100</f>
        <v>0.35387520856634708</v>
      </c>
      <c r="Q5" s="3" t="s">
        <v>2</v>
      </c>
      <c r="R5" s="3" t="s">
        <v>8</v>
      </c>
      <c r="S5" s="3" t="s">
        <v>20</v>
      </c>
      <c r="T5" s="3" t="s">
        <v>4</v>
      </c>
      <c r="U5" s="3" t="s">
        <v>5</v>
      </c>
      <c r="V5" s="3" t="s">
        <v>6</v>
      </c>
      <c r="W5" s="3" t="s">
        <v>7</v>
      </c>
    </row>
    <row r="6" spans="1:23">
      <c r="A6" s="66">
        <v>1999</v>
      </c>
      <c r="B6" s="72">
        <f>'4B'!B6/'4B'!$B6*100</f>
        <v>100</v>
      </c>
      <c r="C6" s="72">
        <f>'4B'!C6/'4B'!$B6*100</f>
        <v>1.275885933313222</v>
      </c>
      <c r="D6" s="72">
        <f>'4B'!D6/'4B'!$B6*100</f>
        <v>9.2275477791776833E-2</v>
      </c>
      <c r="E6" s="72">
        <f>'4B'!E6/'4B'!$B6*100</f>
        <v>0</v>
      </c>
      <c r="F6" s="72">
        <f>'4B'!F6/'4B'!$B6*100</f>
        <v>0</v>
      </c>
      <c r="G6" s="72">
        <f>'4B'!G6/'4B'!$B6*100</f>
        <v>8.6951892534558942E-2</v>
      </c>
      <c r="H6" s="72">
        <f>'4B'!H6/'4B'!$B6*100</f>
        <v>0.53058399730271677</v>
      </c>
      <c r="I6" s="72">
        <f>'4B'!I6/'4B'!$B6*100</f>
        <v>0.1366386882685926</v>
      </c>
      <c r="J6" s="72">
        <f>'4B'!J6/'4B'!$B6*100</f>
        <v>6.7432079924759997E-2</v>
      </c>
      <c r="K6" s="72">
        <f>'4B'!K6/'4B'!$B6*100</f>
        <v>0.32473870069029159</v>
      </c>
      <c r="L6" s="72">
        <f>'4B'!L6/'4B'!$B6*100</f>
        <v>0.65302645821872829</v>
      </c>
      <c r="M6" s="72">
        <f>'4B'!M6/'4B'!$B6*100</f>
        <v>0.28392454705162107</v>
      </c>
      <c r="N6" s="72">
        <f>'4B'!N6/'4B'!$B6*100</f>
        <v>0.36910191116710733</v>
      </c>
      <c r="P6" s="3">
        <v>1998</v>
      </c>
      <c r="Q6" s="3">
        <f>((B5/B4)-1)*100</f>
        <v>0</v>
      </c>
      <c r="R6" s="3">
        <f>((C5/C4)-1)*100</f>
        <v>6.5077050209562115</v>
      </c>
      <c r="S6" s="3">
        <f>((D5/D4)-1)*100</f>
        <v>4.1933974532665452</v>
      </c>
      <c r="T6" s="3">
        <f t="shared" ref="T6:T20" si="0">((H5/H4)-1)*100</f>
        <v>14.06393529461425</v>
      </c>
      <c r="U6" s="3">
        <f t="shared" ref="U6:W20" si="1">((L5/L4)-1)*100</f>
        <v>1.6386641766009458</v>
      </c>
      <c r="V6" s="3">
        <f t="shared" si="1"/>
        <v>-10.577314063096921</v>
      </c>
      <c r="W6" s="3">
        <f t="shared" si="1"/>
        <v>20.790165545933693</v>
      </c>
    </row>
    <row r="7" spans="1:23">
      <c r="A7" s="66">
        <v>2000</v>
      </c>
      <c r="B7" s="72">
        <f>'4B'!B7/'4B'!$B7*100</f>
        <v>100</v>
      </c>
      <c r="C7" s="72">
        <f>'4B'!C7/'4B'!$B7*100</f>
        <v>1.4170493043732482</v>
      </c>
      <c r="D7" s="72">
        <f>'4B'!D7/'4B'!$B7*100</f>
        <v>9.6304321656434336E-2</v>
      </c>
      <c r="E7" s="72">
        <f>'4B'!E7/'4B'!$B7*100</f>
        <v>0</v>
      </c>
      <c r="F7" s="72">
        <f>'4B'!F7/'4B'!$B7*100</f>
        <v>0</v>
      </c>
      <c r="G7" s="72">
        <f>'4B'!G7/'4B'!$B7*100</f>
        <v>9.1145161567696781E-2</v>
      </c>
      <c r="H7" s="72">
        <f>'4B'!H7/'4B'!$B7*100</f>
        <v>0.5950231302343979</v>
      </c>
      <c r="I7" s="72">
        <f>'4B'!I7/'4B'!$B7*100</f>
        <v>0.14101704242549312</v>
      </c>
      <c r="J7" s="72">
        <f>'4B'!J7/'4B'!$B7*100</f>
        <v>0.11350152195222618</v>
      </c>
      <c r="K7" s="72">
        <f>'4B'!K7/'4B'!$B7*100</f>
        <v>0.34050456585667854</v>
      </c>
      <c r="L7" s="72">
        <f>'4B'!L7/'4B'!$B7*100</f>
        <v>0.72572185248241605</v>
      </c>
      <c r="M7" s="72">
        <f>'4B'!M7/'4B'!$B7*100</f>
        <v>0.30611016526509488</v>
      </c>
      <c r="N7" s="72">
        <f>'4B'!N7/'4B'!$B7*100</f>
        <v>0.41961168721732101</v>
      </c>
      <c r="P7" s="3">
        <v>1999</v>
      </c>
      <c r="Q7" s="3">
        <f t="shared" ref="Q7:S20" si="2">((B6/B5)-1)*100</f>
        <v>0</v>
      </c>
      <c r="R7" s="3">
        <f t="shared" si="2"/>
        <v>-12.580976234962549</v>
      </c>
      <c r="S7" s="3">
        <f t="shared" si="2"/>
        <v>-13.230822701970412</v>
      </c>
      <c r="T7" s="3">
        <f t="shared" si="0"/>
        <v>-9.8519606576546117</v>
      </c>
      <c r="U7" s="3">
        <f t="shared" si="1"/>
        <v>-14.591342914169747</v>
      </c>
      <c r="V7" s="3">
        <f t="shared" si="1"/>
        <v>-30.870710394426958</v>
      </c>
      <c r="W7" s="3">
        <f t="shared" si="1"/>
        <v>4.3028452494448866</v>
      </c>
    </row>
    <row r="8" spans="1:23">
      <c r="A8" s="66">
        <v>2001</v>
      </c>
      <c r="B8" s="72">
        <f>'4B'!B8/'4B'!$B8*100</f>
        <v>100</v>
      </c>
      <c r="C8" s="72">
        <f>'4B'!C8/'4B'!$B8*100</f>
        <v>1.2988767840554007</v>
      </c>
      <c r="D8" s="72">
        <f>'4B'!D8/'4B'!$B8*100</f>
        <v>9.2897559327759477E-2</v>
      </c>
      <c r="E8" s="72">
        <f>'4B'!E8/'4B'!$B8*100</f>
        <v>0</v>
      </c>
      <c r="F8" s="72">
        <f>'4B'!F8/'4B'!$B8*100</f>
        <v>0</v>
      </c>
      <c r="G8" s="72">
        <f>'4B'!G8/'4B'!$B8*100</f>
        <v>8.9519466261295491E-2</v>
      </c>
      <c r="H8" s="72">
        <f>'4B'!H8/'4B'!$B8*100</f>
        <v>0.54049489063423695</v>
      </c>
      <c r="I8" s="72">
        <f>'4B'!I8/'4B'!$B8*100</f>
        <v>0.12161135039270331</v>
      </c>
      <c r="J8" s="72">
        <f>'4B'!J8/'4B'!$B8*100</f>
        <v>0.11316611772654336</v>
      </c>
      <c r="K8" s="72">
        <f>'4B'!K8/'4B'!$B8*100</f>
        <v>0.30571742251499034</v>
      </c>
      <c r="L8" s="72">
        <f>'4B'!L8/'4B'!$B8*100</f>
        <v>0.66548433409340424</v>
      </c>
      <c r="M8" s="72">
        <f>'4B'!M8/'4B'!$B8*100</f>
        <v>0.36145595811164594</v>
      </c>
      <c r="N8" s="72">
        <f>'4B'!N8/'4B'!$B8*100</f>
        <v>0.3040283759817583</v>
      </c>
      <c r="P8" s="3">
        <v>2000</v>
      </c>
      <c r="Q8" s="3">
        <f t="shared" si="2"/>
        <v>0</v>
      </c>
      <c r="R8" s="3">
        <f t="shared" si="2"/>
        <v>11.063949164597563</v>
      </c>
      <c r="S8" s="3">
        <f t="shared" si="2"/>
        <v>4.3661045827893208</v>
      </c>
      <c r="T8" s="3">
        <f t="shared" si="0"/>
        <v>12.14494467591647</v>
      </c>
      <c r="U8" s="3">
        <f t="shared" si="1"/>
        <v>11.132074872123908</v>
      </c>
      <c r="V8" s="3">
        <f t="shared" si="1"/>
        <v>7.8139133948993189</v>
      </c>
      <c r="W8" s="3">
        <f t="shared" si="1"/>
        <v>13.684506777681204</v>
      </c>
    </row>
    <row r="9" spans="1:23">
      <c r="A9" s="66">
        <v>2002</v>
      </c>
      <c r="B9" s="72">
        <f>'4B'!B9/'4B'!$B9*100</f>
        <v>100</v>
      </c>
      <c r="C9" s="72">
        <f>'4B'!C9/'4B'!$B9*100</f>
        <v>1.3435509554140126</v>
      </c>
      <c r="D9" s="72">
        <f>'4B'!D9/'4B'!$B9*100</f>
        <v>9.1228768577494693E-2</v>
      </c>
      <c r="E9" s="72">
        <f>'4B'!E9/'4B'!$B9*100</f>
        <v>0</v>
      </c>
      <c r="F9" s="72">
        <f>'4B'!F9/'4B'!$B9*100</f>
        <v>0</v>
      </c>
      <c r="G9" s="72">
        <f>'4B'!G9/'4B'!$B9*100</f>
        <v>8.9570063694267524E-2</v>
      </c>
      <c r="H9" s="72">
        <f>'4B'!H9/'4B'!$B9*100</f>
        <v>0.60542728237791932</v>
      </c>
      <c r="I9" s="72">
        <f>'4B'!I9/'4B'!$B9*100</f>
        <v>0.13933121019108283</v>
      </c>
      <c r="J9" s="72">
        <f>'4B'!J9/'4B'!$B9*100</f>
        <v>9.9522292993630579E-2</v>
      </c>
      <c r="K9" s="72">
        <f>'4B'!K9/'4B'!$B9*100</f>
        <v>0.36657377919320594</v>
      </c>
      <c r="L9" s="72">
        <f>'4B'!L9/'4B'!$B9*100</f>
        <v>0.64689490445859865</v>
      </c>
      <c r="M9" s="72">
        <f>'4B'!M9/'4B'!$B9*100</f>
        <v>0.35164543524416131</v>
      </c>
      <c r="N9" s="72">
        <f>'4B'!N9/'4B'!$B9*100</f>
        <v>0.29690817409766451</v>
      </c>
      <c r="P9" s="3">
        <v>2001</v>
      </c>
      <c r="Q9" s="3">
        <f t="shared" si="2"/>
        <v>0</v>
      </c>
      <c r="R9" s="3">
        <f t="shared" si="2"/>
        <v>-8.3393372378185777</v>
      </c>
      <c r="S9" s="3">
        <f t="shared" si="2"/>
        <v>-3.5374968330377565</v>
      </c>
      <c r="T9" s="3">
        <f t="shared" si="0"/>
        <v>-9.164053770259418</v>
      </c>
      <c r="U9" s="3">
        <f t="shared" si="1"/>
        <v>-8.3003589023759368</v>
      </c>
      <c r="V9" s="3">
        <f t="shared" si="1"/>
        <v>18.08035116985447</v>
      </c>
      <c r="W9" s="3">
        <f t="shared" si="1"/>
        <v>-27.545303135396459</v>
      </c>
    </row>
    <row r="10" spans="1:23">
      <c r="A10" s="66">
        <v>2003</v>
      </c>
      <c r="B10" s="72">
        <f>'4B'!B10/'4B'!$B10*100</f>
        <v>100</v>
      </c>
      <c r="C10" s="72">
        <f>'4B'!C10/'4B'!$B10*100</f>
        <v>1.3747142719165515</v>
      </c>
      <c r="D10" s="72">
        <f>'4B'!D10/'4B'!$B10*100</f>
        <v>9.0145198158462378E-2</v>
      </c>
      <c r="E10" s="72">
        <f>'4B'!E10/'4B'!$B10*100</f>
        <v>0</v>
      </c>
      <c r="F10" s="72">
        <f>'4B'!F10/'4B'!$B10*100</f>
        <v>0</v>
      </c>
      <c r="G10" s="72">
        <f>'4B'!G10/'4B'!$B10*100</f>
        <v>9.0145198158462378E-2</v>
      </c>
      <c r="H10" s="72">
        <f>'4B'!H10/'4B'!$B10*100</f>
        <v>0.61169955893242323</v>
      </c>
      <c r="I10" s="72">
        <f>'4B'!I10/'4B'!$B10*100</f>
        <v>0.1046328192910724</v>
      </c>
      <c r="J10" s="72">
        <f>'4B'!J10/'4B'!$B10*100</f>
        <v>0.15292488973310581</v>
      </c>
      <c r="K10" s="72">
        <f>'4B'!K10/'4B'!$B10*100</f>
        <v>0.3541418499082451</v>
      </c>
      <c r="L10" s="72">
        <f>'4B'!L10/'4B'!$B10*100</f>
        <v>0.67286951482566559</v>
      </c>
      <c r="M10" s="72">
        <f>'4B'!M10/'4B'!$B10*100</f>
        <v>0.37184894240365735</v>
      </c>
      <c r="N10" s="72">
        <f>'4B'!N10/'4B'!$B10*100</f>
        <v>0.3010205724220083</v>
      </c>
      <c r="P10" s="3">
        <v>2002</v>
      </c>
      <c r="Q10" s="3">
        <f t="shared" si="2"/>
        <v>0</v>
      </c>
      <c r="R10" s="3">
        <f t="shared" si="2"/>
        <v>3.4394464438057382</v>
      </c>
      <c r="S10" s="3">
        <f t="shared" si="2"/>
        <v>-1.7963773885350309</v>
      </c>
      <c r="T10" s="3">
        <f t="shared" si="0"/>
        <v>12.013507041202232</v>
      </c>
      <c r="U10" s="3">
        <f t="shared" si="1"/>
        <v>-2.7933684810372172</v>
      </c>
      <c r="V10" s="3">
        <f t="shared" si="1"/>
        <v>-2.7141682540627432</v>
      </c>
      <c r="W10" s="3">
        <f t="shared" si="1"/>
        <v>-2.3419530697098456</v>
      </c>
    </row>
    <row r="11" spans="1:23">
      <c r="A11" s="66">
        <v>2004</v>
      </c>
      <c r="B11" s="72">
        <f>'4B'!B11/'4B'!$B11*100</f>
        <v>100</v>
      </c>
      <c r="C11" s="72">
        <f>'4B'!C11/'4B'!$B11*100</f>
        <v>1.4268275282591119</v>
      </c>
      <c r="D11" s="72">
        <f>'4B'!D11/'4B'!$B11*100</f>
        <v>0.12682911362303217</v>
      </c>
      <c r="E11" s="72">
        <f>'4B'!E11/'4B'!$B11*100</f>
        <v>0</v>
      </c>
      <c r="F11" s="72">
        <f>'4B'!F11/'4B'!$B11*100</f>
        <v>0</v>
      </c>
      <c r="G11" s="72">
        <f>'4B'!G11/'4B'!$B11*100</f>
        <v>0.12682911362303217</v>
      </c>
      <c r="H11" s="72">
        <f>'4B'!H11/'4B'!$B11*100</f>
        <v>0.68963330532523737</v>
      </c>
      <c r="I11" s="72">
        <f>'4B'!I11/'4B'!$B11*100</f>
        <v>0.12365838578245636</v>
      </c>
      <c r="J11" s="72">
        <f>'4B'!J11/'4B'!$B11*100</f>
        <v>0.14743884458677492</v>
      </c>
      <c r="K11" s="72">
        <f>'4B'!K11/'4B'!$B11*100</f>
        <v>0.42012143887629405</v>
      </c>
      <c r="L11" s="72">
        <f>'4B'!L11/'4B'!$B11*100</f>
        <v>0.61036510931084231</v>
      </c>
      <c r="M11" s="72">
        <f>'4B'!M11/'4B'!$B11*100</f>
        <v>0.26792650252865541</v>
      </c>
      <c r="N11" s="72">
        <f>'4B'!N11/'4B'!$B11*100</f>
        <v>0.34243860678218691</v>
      </c>
      <c r="P11" s="3">
        <v>2003</v>
      </c>
      <c r="Q11" s="3">
        <f t="shared" si="2"/>
        <v>0</v>
      </c>
      <c r="R11" s="3">
        <f t="shared" si="2"/>
        <v>2.3194741053149004</v>
      </c>
      <c r="S11" s="3">
        <f t="shared" si="2"/>
        <v>-1.1877507895021844</v>
      </c>
      <c r="T11" s="3">
        <f t="shared" si="0"/>
        <v>1.0360082436107643</v>
      </c>
      <c r="U11" s="3">
        <f t="shared" si="1"/>
        <v>4.0152751533582887</v>
      </c>
      <c r="V11" s="3">
        <f t="shared" si="1"/>
        <v>5.7454199982627241</v>
      </c>
      <c r="W11" s="3">
        <f t="shared" si="1"/>
        <v>1.3850741350728502</v>
      </c>
    </row>
    <row r="12" spans="1:23">
      <c r="A12" s="66">
        <v>2005</v>
      </c>
      <c r="B12" s="72">
        <f>'4B'!B12/'4B'!$B12*100</f>
        <v>100</v>
      </c>
      <c r="C12" s="72">
        <f>'4B'!C12/'4B'!$B12*100</f>
        <v>1.2886314765111202</v>
      </c>
      <c r="D12" s="72">
        <f>'4B'!D12/'4B'!$B12*100</f>
        <v>0.12870618888418012</v>
      </c>
      <c r="E12" s="72">
        <f>'4B'!E12/'4B'!$B12*100</f>
        <v>0</v>
      </c>
      <c r="F12" s="72">
        <f>'4B'!F12/'4B'!$B12*100</f>
        <v>0</v>
      </c>
      <c r="G12" s="72">
        <f>'4B'!G12/'4B'!$B12*100</f>
        <v>0.12870618888418012</v>
      </c>
      <c r="H12" s="72">
        <f>'4B'!H12/'4B'!$B12*100</f>
        <v>0.61684795404247295</v>
      </c>
      <c r="I12" s="72">
        <f>'4B'!I12/'4B'!$B12*100</f>
        <v>0.12713660121486084</v>
      </c>
      <c r="J12" s="72">
        <f>'4B'!J12/'4B'!$B12*100</f>
        <v>0.16166752993988479</v>
      </c>
      <c r="K12" s="72">
        <f>'4B'!K12/'4B'!$B12*100</f>
        <v>0.32804382288772738</v>
      </c>
      <c r="L12" s="72">
        <f>'4B'!L12/'4B'!$B12*100</f>
        <v>0.5430773335844673</v>
      </c>
      <c r="M12" s="72">
        <f>'4B'!M12/'4B'!$B12*100</f>
        <v>0.23386856272857121</v>
      </c>
      <c r="N12" s="72">
        <f>'4B'!N12/'4B'!$B12*100</f>
        <v>0.3107783585252154</v>
      </c>
      <c r="P12" s="3">
        <v>2004</v>
      </c>
      <c r="Q12" s="3">
        <f t="shared" si="2"/>
        <v>0</v>
      </c>
      <c r="R12" s="3">
        <f t="shared" si="2"/>
        <v>3.7908427523565935</v>
      </c>
      <c r="S12" s="3">
        <f t="shared" si="2"/>
        <v>40.694253508750087</v>
      </c>
      <c r="T12" s="3">
        <f t="shared" si="0"/>
        <v>12.740526824774733</v>
      </c>
      <c r="U12" s="3">
        <f t="shared" si="1"/>
        <v>-9.2892312904111272</v>
      </c>
      <c r="V12" s="3">
        <f t="shared" si="1"/>
        <v>-27.947488354609828</v>
      </c>
      <c r="W12" s="3">
        <f t="shared" si="1"/>
        <v>13.759203906540197</v>
      </c>
    </row>
    <row r="13" spans="1:23">
      <c r="A13" s="66">
        <v>2006</v>
      </c>
      <c r="B13" s="72">
        <f>'4B'!B13/'4B'!$B13*100</f>
        <v>100</v>
      </c>
      <c r="C13" s="72">
        <f>'4B'!C13/'4B'!$B13*100</f>
        <v>1.1893870082342175</v>
      </c>
      <c r="D13" s="72">
        <f>'4B'!D13/'4B'!$B13*100</f>
        <v>9.9244809031277637E-2</v>
      </c>
      <c r="E13" s="72">
        <f>'4B'!E13/'4B'!$B13*100</f>
        <v>0</v>
      </c>
      <c r="F13" s="72">
        <f>'4B'!F13/'4B'!$B13*100</f>
        <v>0</v>
      </c>
      <c r="G13" s="72">
        <f>'4B'!G13/'4B'!$B13*100</f>
        <v>9.7694108890163917E-2</v>
      </c>
      <c r="H13" s="72">
        <f>'4B'!H13/'4B'!$B13*100</f>
        <v>0.61872935630437143</v>
      </c>
      <c r="I13" s="72">
        <f>'4B'!I13/'4B'!$B13*100</f>
        <v>0.11785321072464218</v>
      </c>
      <c r="J13" s="72">
        <f>'4B'!J13/'4B'!$B13*100</f>
        <v>0.12250531114798333</v>
      </c>
      <c r="K13" s="72">
        <f>'4B'!K13/'4B'!$B13*100</f>
        <v>0.37837083443174591</v>
      </c>
      <c r="L13" s="72">
        <f>'4B'!L13/'4B'!$B13*100</f>
        <v>0.47141284289856872</v>
      </c>
      <c r="M13" s="72">
        <f>'4B'!M13/'4B'!$B13*100</f>
        <v>0.20314171848589638</v>
      </c>
      <c r="N13" s="72">
        <f>'4B'!N13/'4B'!$B13*100</f>
        <v>0.26827112441267237</v>
      </c>
      <c r="P13" s="3">
        <v>2005</v>
      </c>
      <c r="Q13" s="3">
        <f t="shared" si="2"/>
        <v>0</v>
      </c>
      <c r="R13" s="3">
        <f t="shared" si="2"/>
        <v>-9.6855470623423034</v>
      </c>
      <c r="S13" s="3">
        <f t="shared" si="2"/>
        <v>1.4800034530928485</v>
      </c>
      <c r="T13" s="3">
        <f t="shared" si="0"/>
        <v>-10.554210581294099</v>
      </c>
      <c r="U13" s="3">
        <f t="shared" si="1"/>
        <v>-11.024184492188461</v>
      </c>
      <c r="V13" s="3">
        <f t="shared" si="1"/>
        <v>-12.711672596271661</v>
      </c>
      <c r="W13" s="3">
        <f t="shared" si="1"/>
        <v>-9.2455253671527409</v>
      </c>
    </row>
    <row r="14" spans="1:23">
      <c r="A14" s="66">
        <v>2007</v>
      </c>
      <c r="B14" s="72">
        <f>'4B'!B14/'4B'!$B14*100</f>
        <v>100</v>
      </c>
      <c r="C14" s="72">
        <f>'4B'!C14/'4B'!$B14*100</f>
        <v>0.97801745806864404</v>
      </c>
      <c r="D14" s="72">
        <f>'4B'!D14/'4B'!$B14*100</f>
        <v>8.0739758999436348E-2</v>
      </c>
      <c r="E14" s="72">
        <f>'4B'!E14/'4B'!$B14*100</f>
        <v>0</v>
      </c>
      <c r="F14" s="72">
        <f>'4B'!F14/'4B'!$B14*100</f>
        <v>0</v>
      </c>
      <c r="G14" s="72">
        <f>'4B'!G14/'4B'!$B14*100</f>
        <v>8.0739758999436348E-2</v>
      </c>
      <c r="H14" s="72">
        <f>'4B'!H14/'4B'!$B14*100</f>
        <v>0.47529820392121014</v>
      </c>
      <c r="I14" s="72">
        <f>'4B'!I14/'4B'!$B14*100</f>
        <v>0.14929238456499552</v>
      </c>
      <c r="J14" s="72">
        <f>'4B'!J14/'4B'!$B14*100</f>
        <v>8.9880109074844242E-2</v>
      </c>
      <c r="K14" s="72">
        <f>'4B'!K14/'4B'!$B14*100</f>
        <v>0.23764910196060507</v>
      </c>
      <c r="L14" s="72">
        <f>'4B'!L14/'4B'!$B14*100</f>
        <v>0.42197949514799743</v>
      </c>
      <c r="M14" s="72">
        <f>'4B'!M14/'4B'!$B14*100</f>
        <v>0.15995612631963804</v>
      </c>
      <c r="N14" s="72">
        <f>'4B'!N14/'4B'!$B14*100</f>
        <v>0.26202336882835942</v>
      </c>
      <c r="P14" s="3">
        <v>2006</v>
      </c>
      <c r="Q14" s="3">
        <f t="shared" si="2"/>
        <v>0</v>
      </c>
      <c r="R14" s="3">
        <f t="shared" si="2"/>
        <v>-7.7015399736781394</v>
      </c>
      <c r="S14" s="3">
        <f t="shared" si="2"/>
        <v>-22.890414290344751</v>
      </c>
      <c r="T14" s="3">
        <f t="shared" si="0"/>
        <v>0.30500259416745834</v>
      </c>
      <c r="U14" s="3">
        <f t="shared" si="1"/>
        <v>-13.196001058061512</v>
      </c>
      <c r="V14" s="3">
        <f t="shared" si="1"/>
        <v>-13.138509889564132</v>
      </c>
      <c r="W14" s="3">
        <f t="shared" si="1"/>
        <v>-13.677668649213281</v>
      </c>
    </row>
    <row r="15" spans="1:23">
      <c r="A15" s="66">
        <v>2008</v>
      </c>
      <c r="B15" s="72">
        <f>'4B'!B15/'4B'!$B15*100</f>
        <v>100</v>
      </c>
      <c r="C15" s="72">
        <f>'4B'!C15/'4B'!$B15*100</f>
        <v>0.8970493377135742</v>
      </c>
      <c r="D15" s="72">
        <f>'4B'!D15/'4B'!$B15*100</f>
        <v>6.9003795208736465E-2</v>
      </c>
      <c r="E15" s="72">
        <f>'4B'!E15/'4B'!$B15*100</f>
        <v>0</v>
      </c>
      <c r="F15" s="72">
        <f>'4B'!F15/'4B'!$B15*100</f>
        <v>0</v>
      </c>
      <c r="G15" s="72">
        <f>'4B'!G15/'4B'!$B15*100</f>
        <v>6.9003795208736465E-2</v>
      </c>
      <c r="H15" s="72">
        <f>'4B'!H15/'4B'!$B15*100</f>
        <v>0.37202046112536191</v>
      </c>
      <c r="I15" s="72">
        <f>'4B'!I15/'4B'!$B15*100</f>
        <v>8.2504537749576223E-2</v>
      </c>
      <c r="J15" s="72">
        <f>'4B'!J15/'4B'!$B15*100</f>
        <v>5.5503052667896735E-2</v>
      </c>
      <c r="K15" s="72">
        <f>'4B'!K15/'4B'!$B15*100</f>
        <v>0.23401287070788893</v>
      </c>
      <c r="L15" s="72">
        <f>'4B'!L15/'4B'!$B15*100</f>
        <v>0.45602508137947584</v>
      </c>
      <c r="M15" s="72">
        <f>'4B'!M15/'4B'!$B15*100</f>
        <v>0.23101270569881341</v>
      </c>
      <c r="N15" s="72">
        <f>'4B'!N15/'4B'!$B15*100</f>
        <v>0.22501237568066246</v>
      </c>
      <c r="P15" s="3">
        <v>2007</v>
      </c>
      <c r="Q15" s="3">
        <f t="shared" si="2"/>
        <v>0</v>
      </c>
      <c r="R15" s="3">
        <f t="shared" si="2"/>
        <v>-17.771301410074759</v>
      </c>
      <c r="S15" s="3">
        <f t="shared" si="2"/>
        <v>-18.645861896927329</v>
      </c>
      <c r="T15" s="3">
        <f t="shared" si="0"/>
        <v>-23.181565723641405</v>
      </c>
      <c r="U15" s="3">
        <f t="shared" si="1"/>
        <v>-10.48621150128648</v>
      </c>
      <c r="V15" s="3">
        <f t="shared" si="1"/>
        <v>-21.258849481110698</v>
      </c>
      <c r="W15" s="3">
        <f t="shared" si="1"/>
        <v>-2.3288960367953138</v>
      </c>
    </row>
    <row r="16" spans="1:23">
      <c r="A16" s="66">
        <v>2009</v>
      </c>
      <c r="B16" s="72">
        <f>'4B'!B16/'4B'!$B16*100</f>
        <v>100</v>
      </c>
      <c r="C16" s="72">
        <f>'4B'!C16/'4B'!$B16*100</f>
        <v>0.83358966471854812</v>
      </c>
      <c r="D16" s="72">
        <f>'4B'!D16/'4B'!$B16*100</f>
        <v>6.6133497385419862E-2</v>
      </c>
      <c r="E16" s="72">
        <f>'4B'!E16/'4B'!$B16*100</f>
        <v>0</v>
      </c>
      <c r="F16" s="72">
        <f>'4B'!F16/'4B'!$B16*100</f>
        <v>0</v>
      </c>
      <c r="G16" s="72">
        <f>'4B'!G16/'4B'!$B16*100</f>
        <v>6.4595509074131044E-2</v>
      </c>
      <c r="H16" s="72">
        <f>'4B'!H16/'4B'!$B16*100</f>
        <v>0.39372500768994156</v>
      </c>
      <c r="I16" s="72">
        <f>'4B'!I16/'4B'!$B16*100</f>
        <v>4.1525684404798528E-2</v>
      </c>
      <c r="J16" s="72">
        <f>'4B'!J16/'4B'!$B16*100</f>
        <v>8.9203322054752385E-2</v>
      </c>
      <c r="K16" s="72">
        <f>'4B'!K16/'4B'!$B16*100</f>
        <v>0.26145801291910181</v>
      </c>
      <c r="L16" s="72">
        <f>'4B'!L16/'4B'!$B16*100</f>
        <v>0.37373115964318671</v>
      </c>
      <c r="M16" s="72">
        <f>'4B'!M16/'4B'!$B16*100</f>
        <v>0.16917871424177175</v>
      </c>
      <c r="N16" s="72">
        <f>'4B'!N16/'4B'!$B16*100</f>
        <v>0.20455244540141496</v>
      </c>
      <c r="P16" s="3">
        <v>2008</v>
      </c>
      <c r="Q16" s="3">
        <f t="shared" si="2"/>
        <v>0</v>
      </c>
      <c r="R16" s="3">
        <f t="shared" si="2"/>
        <v>-8.2788011284545941</v>
      </c>
      <c r="S16" s="3">
        <f t="shared" si="2"/>
        <v>-14.535544737979478</v>
      </c>
      <c r="T16" s="3">
        <f t="shared" si="0"/>
        <v>-21.729041251114957</v>
      </c>
      <c r="U16" s="3">
        <f t="shared" si="1"/>
        <v>8.0680664873391308</v>
      </c>
      <c r="V16" s="3">
        <f t="shared" si="1"/>
        <v>44.422543239878173</v>
      </c>
      <c r="W16" s="3">
        <f t="shared" si="1"/>
        <v>-14.125073390664367</v>
      </c>
    </row>
    <row r="17" spans="1:23">
      <c r="A17" s="66">
        <v>2010</v>
      </c>
      <c r="B17" s="72">
        <f>'4B'!B17/'4B'!$B17*100</f>
        <v>100</v>
      </c>
      <c r="C17" s="72">
        <f>'4B'!C17/'4B'!$B17*100</f>
        <v>0.81240544629349476</v>
      </c>
      <c r="D17" s="72">
        <f>'4B'!D17/'4B'!$B17*100</f>
        <v>8.1694402420574894E-2</v>
      </c>
      <c r="E17" s="72">
        <f>'4B'!E17/'4B'!$B17*100</f>
        <v>0</v>
      </c>
      <c r="F17" s="72">
        <f>'4B'!F17/'4B'!$B17*100</f>
        <v>0</v>
      </c>
      <c r="G17" s="72">
        <f>'4B'!G17/'4B'!$B17*100</f>
        <v>8.0181543116490159E-2</v>
      </c>
      <c r="H17" s="72">
        <f>'4B'!H17/'4B'!$B17*100</f>
        <v>0.3328290468986384</v>
      </c>
      <c r="I17" s="72">
        <f>'4B'!I17/'4B'!$B17*100</f>
        <v>6.0514372163388799E-2</v>
      </c>
      <c r="J17" s="72">
        <f>'4B'!J17/'4B'!$B17*100</f>
        <v>5.5975794251134643E-2</v>
      </c>
      <c r="K17" s="72">
        <f>'4B'!K17/'4B'!$B17*100</f>
        <v>0.21633888048411498</v>
      </c>
      <c r="L17" s="72">
        <f>'4B'!L17/'4B'!$B17*100</f>
        <v>0.39788199697428145</v>
      </c>
      <c r="M17" s="72">
        <f>'4B'!M17/'4B'!$B17*100</f>
        <v>0.15279878971255673</v>
      </c>
      <c r="N17" s="72">
        <f>'4B'!N17/'4B'!$B17*100</f>
        <v>0.24508320726172464</v>
      </c>
      <c r="P17" s="3">
        <v>2009</v>
      </c>
      <c r="Q17" s="3">
        <f t="shared" si="2"/>
        <v>0</v>
      </c>
      <c r="R17" s="3">
        <f t="shared" si="2"/>
        <v>-7.0742678609823191</v>
      </c>
      <c r="S17" s="3">
        <f t="shared" si="2"/>
        <v>-4.1596231259946714</v>
      </c>
      <c r="T17" s="3">
        <f t="shared" si="0"/>
        <v>5.8342346275587653</v>
      </c>
      <c r="U17" s="3">
        <f t="shared" si="1"/>
        <v>-18.045920081270538</v>
      </c>
      <c r="V17" s="3">
        <f t="shared" si="1"/>
        <v>-26.766489431823171</v>
      </c>
      <c r="W17" s="3">
        <f t="shared" si="1"/>
        <v>-9.0928022147031768</v>
      </c>
    </row>
    <row r="18" spans="1:23">
      <c r="A18" s="66">
        <v>2011</v>
      </c>
      <c r="B18" s="72">
        <f>'4B'!B18/'4B'!$B18*100</f>
        <v>100</v>
      </c>
      <c r="C18" s="72">
        <f>'4B'!C18/'4B'!$B18*100</f>
        <v>0.74279856788436116</v>
      </c>
      <c r="D18" s="72">
        <f>'4B'!D18/'4B'!$B18*100</f>
        <v>5.7938288294980163E-2</v>
      </c>
      <c r="E18" s="72">
        <f>'4B'!E18/'4B'!$B18*100</f>
        <v>0</v>
      </c>
      <c r="F18" s="72">
        <f>'4B'!F18/'4B'!$B18*100</f>
        <v>0</v>
      </c>
      <c r="G18" s="72">
        <f>'4B'!G18/'4B'!$B18*100</f>
        <v>5.7938288294980163E-2</v>
      </c>
      <c r="H18" s="72">
        <f>'4B'!H18/'4B'!$B18*100</f>
        <v>0.33128816127642507</v>
      </c>
      <c r="I18" s="72">
        <f>'4B'!I18/'4B'!$B18*100</f>
        <v>8.4679036738817173E-2</v>
      </c>
      <c r="J18" s="72">
        <f>'4B'!J18/'4B'!$B18*100</f>
        <v>2.9711942715374445E-2</v>
      </c>
      <c r="K18" s="72">
        <f>'4B'!K18/'4B'!$B18*100</f>
        <v>0.21689718182223344</v>
      </c>
      <c r="L18" s="72">
        <f>'4B'!L18/'4B'!$B18*100</f>
        <v>0.35357211831295587</v>
      </c>
      <c r="M18" s="72">
        <f>'4B'!M18/'4B'!$B18*100</f>
        <v>0.15450210211994711</v>
      </c>
      <c r="N18" s="72">
        <f>'4B'!N18/'4B'!$B18*100</f>
        <v>0.19907001619300876</v>
      </c>
      <c r="P18" s="3">
        <v>2010</v>
      </c>
      <c r="Q18" s="3">
        <f t="shared" si="2"/>
        <v>0</v>
      </c>
      <c r="R18" s="3">
        <f t="shared" si="2"/>
        <v>-2.5413245055294631</v>
      </c>
      <c r="S18" s="3">
        <f t="shared" si="2"/>
        <v>23.529535939204195</v>
      </c>
      <c r="T18" s="3">
        <f t="shared" si="0"/>
        <v>-15.466622541603636</v>
      </c>
      <c r="U18" s="3">
        <f t="shared" si="1"/>
        <v>6.4620882439003324</v>
      </c>
      <c r="V18" s="3">
        <f t="shared" si="1"/>
        <v>-9.6820244808141886</v>
      </c>
      <c r="W18" s="3">
        <f t="shared" si="1"/>
        <v>19.814361925994994</v>
      </c>
    </row>
    <row r="19" spans="1:23">
      <c r="A19" s="66">
        <v>2012</v>
      </c>
      <c r="B19" s="72">
        <f>'4B'!B19/'4B'!$B19*100</f>
        <v>100</v>
      </c>
      <c r="C19" s="72">
        <f>'4B'!C19/'4B'!$B19*100</f>
        <v>0.75180211389064966</v>
      </c>
      <c r="D19" s="72">
        <f>'4B'!D19/'4B'!$B19*100</f>
        <v>5.159426271798577E-2</v>
      </c>
      <c r="E19" s="72">
        <f>'4B'!E19/'4B'!$B19*100</f>
        <v>0</v>
      </c>
      <c r="F19" s="72">
        <f>'4B'!F19/'4B'!$B19*100</f>
        <v>0</v>
      </c>
      <c r="G19" s="72">
        <f>'4B'!G19/'4B'!$B19*100</f>
        <v>4.7171897342158417E-2</v>
      </c>
      <c r="H19" s="72">
        <f>'4B'!H19/'4B'!$B19*100</f>
        <v>0.37590105694532483</v>
      </c>
      <c r="I19" s="72">
        <f>'4B'!I19/'4B'!$B19*100</f>
        <v>7.9602576764892324E-2</v>
      </c>
      <c r="J19" s="72">
        <f>'4B'!J19/'4B'!$B19*100</f>
        <v>4.2749531966331057E-2</v>
      </c>
      <c r="K19" s="72">
        <f>'4B'!K19/'4B'!$B19*100</f>
        <v>0.252074826422159</v>
      </c>
      <c r="L19" s="72">
        <f>'4B'!L19/'4B'!$B19*100</f>
        <v>0.3243067942273391</v>
      </c>
      <c r="M19" s="72">
        <f>'4B'!M19/'4B'!$B19*100</f>
        <v>0.12530035231510828</v>
      </c>
      <c r="N19" s="72">
        <f>'4B'!N19/'4B'!$B19*100</f>
        <v>0.19900644191223077</v>
      </c>
      <c r="P19" s="3">
        <v>2011</v>
      </c>
      <c r="Q19" s="3">
        <f t="shared" si="2"/>
        <v>0</v>
      </c>
      <c r="R19" s="3">
        <f t="shared" si="2"/>
        <v>-8.5679975099510859</v>
      </c>
      <c r="S19" s="3">
        <f t="shared" si="2"/>
        <v>-29.079243401885403</v>
      </c>
      <c r="T19" s="3">
        <f t="shared" si="0"/>
        <v>-0.46296608921955196</v>
      </c>
      <c r="U19" s="3">
        <f t="shared" si="1"/>
        <v>-11.136437184462434</v>
      </c>
      <c r="V19" s="3">
        <f t="shared" si="1"/>
        <v>1.1147420804802355</v>
      </c>
      <c r="W19" s="3">
        <f t="shared" si="1"/>
        <v>-18.774518084210612</v>
      </c>
    </row>
    <row r="20" spans="1:23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3">
        <v>2012</v>
      </c>
      <c r="Q20" s="3">
        <f t="shared" si="2"/>
        <v>0</v>
      </c>
      <c r="R20" s="3">
        <f t="shared" si="2"/>
        <v>1.2121113846425891</v>
      </c>
      <c r="S20" s="3">
        <f t="shared" si="2"/>
        <v>-10.949625478569835</v>
      </c>
      <c r="T20" s="3">
        <f t="shared" si="0"/>
        <v>13.466492583680045</v>
      </c>
      <c r="U20" s="3">
        <f t="shared" si="1"/>
        <v>-8.2770452108198445</v>
      </c>
      <c r="V20" s="3">
        <f t="shared" si="1"/>
        <v>-18.900551775126118</v>
      </c>
      <c r="W20" s="3">
        <f t="shared" si="1"/>
        <v>-3.1935638522451182E-2</v>
      </c>
    </row>
    <row r="21" spans="1:23">
      <c r="A21" s="5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23">
      <c r="A22" s="5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23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Q23" s="3" t="s">
        <v>27</v>
      </c>
    </row>
    <row r="24" spans="1:23" ht="30">
      <c r="A24" s="66" t="s">
        <v>19</v>
      </c>
      <c r="B24" s="13">
        <f>((B7/B4)^(1/3)-1)*100</f>
        <v>0</v>
      </c>
      <c r="C24" s="13">
        <f t="shared" ref="C24:D24" si="3">((C7/C4)^(1/3)-1)*100</f>
        <v>1.1237959530078223</v>
      </c>
      <c r="D24" s="13">
        <f t="shared" si="3"/>
        <v>-1.9182097323299674</v>
      </c>
      <c r="E24" s="62" t="s">
        <v>10</v>
      </c>
      <c r="F24" s="62" t="s">
        <v>10</v>
      </c>
      <c r="G24" s="13">
        <f t="shared" ref="G24:N24" si="4">((G7/G4)^(1/3)-1)*100</f>
        <v>-3.7019117966919257</v>
      </c>
      <c r="H24" s="13">
        <f t="shared" si="4"/>
        <v>4.8644087476448661</v>
      </c>
      <c r="I24" s="13">
        <f t="shared" si="4"/>
        <v>2.1477722256765253</v>
      </c>
      <c r="J24" s="13">
        <f t="shared" si="4"/>
        <v>11.776057816652319</v>
      </c>
      <c r="K24" s="13">
        <f t="shared" si="4"/>
        <v>4.0332176808827613</v>
      </c>
      <c r="L24" s="13">
        <f t="shared" si="4"/>
        <v>-1.190184529649585</v>
      </c>
      <c r="M24" s="13">
        <f t="shared" si="4"/>
        <v>-12.650275777630494</v>
      </c>
      <c r="N24" s="13">
        <f t="shared" si="4"/>
        <v>12.722255809273575</v>
      </c>
      <c r="P24" s="3">
        <v>1998</v>
      </c>
      <c r="Q24" s="3">
        <f t="shared" ref="Q24:Q25" si="5">B5/$B$7</f>
        <v>1</v>
      </c>
      <c r="R24" s="3">
        <f>C5/$C$7</f>
        <v>1.0299613690532667</v>
      </c>
      <c r="S24" s="3">
        <f t="shared" ref="S24:S29" si="6">D5/$D$7</f>
        <v>1.1042694218815894</v>
      </c>
      <c r="T24" s="3">
        <f t="shared" ref="T24:T25" si="7">H5/$H$7</f>
        <v>0.98915423199837793</v>
      </c>
      <c r="U24" s="3">
        <f t="shared" ref="U24:U25" si="8">L5/$L$7</f>
        <v>1.0535585692016209</v>
      </c>
      <c r="V24" s="3">
        <f t="shared" ref="V24:V25" si="9">M5/$M$7</f>
        <v>1.3417237144597691</v>
      </c>
      <c r="W24" s="3">
        <f t="shared" ref="W24:W25" si="10">N5/$N$7</f>
        <v>0.84333973372641458</v>
      </c>
    </row>
    <row r="25" spans="1:23" ht="30">
      <c r="A25" s="66" t="s">
        <v>68</v>
      </c>
      <c r="B25" s="13">
        <f>((B14/B7)^(1/7)-1)*100</f>
        <v>0</v>
      </c>
      <c r="C25" s="13">
        <f t="shared" ref="C25:N25" si="11">((C14/C7)^(1/7)-1)*100</f>
        <v>-5.1593502054116396</v>
      </c>
      <c r="D25" s="13">
        <f t="shared" si="11"/>
        <v>-2.4868701615493038</v>
      </c>
      <c r="E25" s="62" t="s">
        <v>10</v>
      </c>
      <c r="F25" s="62" t="s">
        <v>10</v>
      </c>
      <c r="G25" s="13">
        <f t="shared" si="11"/>
        <v>-1.7168384045185281</v>
      </c>
      <c r="H25" s="13">
        <f t="shared" si="11"/>
        <v>-3.1584435878092898</v>
      </c>
      <c r="I25" s="13">
        <f t="shared" si="11"/>
        <v>0.81798370135386378</v>
      </c>
      <c r="J25" s="13">
        <f t="shared" si="11"/>
        <v>-3.2784763364802294</v>
      </c>
      <c r="K25" s="13">
        <f t="shared" si="11"/>
        <v>-5.0078744928359065</v>
      </c>
      <c r="L25" s="13">
        <f t="shared" si="11"/>
        <v>-7.4534648243282264</v>
      </c>
      <c r="M25" s="13">
        <f t="shared" si="11"/>
        <v>-8.855204427803919</v>
      </c>
      <c r="N25" s="13">
        <f t="shared" si="11"/>
        <v>-6.505807341465597</v>
      </c>
      <c r="P25" s="3">
        <v>1999</v>
      </c>
      <c r="Q25" s="3">
        <f t="shared" si="5"/>
        <v>1</v>
      </c>
      <c r="R25" s="3">
        <f t="shared" ref="R25:R29" si="12">C6/$C$7</f>
        <v>0.90038217398338027</v>
      </c>
      <c r="S25" s="3">
        <f t="shared" si="6"/>
        <v>0.95816549252036265</v>
      </c>
      <c r="T25" s="3">
        <f t="shared" si="7"/>
        <v>0.8917031462183721</v>
      </c>
      <c r="U25" s="3">
        <f t="shared" si="8"/>
        <v>0.89983022556779202</v>
      </c>
      <c r="V25" s="3">
        <f t="shared" si="9"/>
        <v>0.92752407227554556</v>
      </c>
      <c r="W25" s="3">
        <f t="shared" si="10"/>
        <v>0.87962733739574284</v>
      </c>
    </row>
    <row r="26" spans="1:23" ht="30">
      <c r="A26" s="66" t="s">
        <v>70</v>
      </c>
      <c r="B26" s="13">
        <f>((B19/B14)^(1/5)-1)*100</f>
        <v>0</v>
      </c>
      <c r="C26" s="13">
        <f t="shared" ref="C26:N26" si="13">((C19/C14)^(1/5)-1)*100</f>
        <v>-5.1250877859222559</v>
      </c>
      <c r="D26" s="13">
        <f t="shared" si="13"/>
        <v>-8.5670373053894249</v>
      </c>
      <c r="E26" s="62" t="s">
        <v>10</v>
      </c>
      <c r="F26" s="62" t="s">
        <v>10</v>
      </c>
      <c r="G26" s="13">
        <f t="shared" si="13"/>
        <v>-10.19114092134229</v>
      </c>
      <c r="H26" s="13">
        <f t="shared" si="13"/>
        <v>-4.5839410115881556</v>
      </c>
      <c r="I26" s="13">
        <f t="shared" si="13"/>
        <v>-11.818416301300349</v>
      </c>
      <c r="J26" s="13">
        <f t="shared" si="13"/>
        <v>-13.810660076113557</v>
      </c>
      <c r="K26" s="13">
        <f t="shared" si="13"/>
        <v>1.1855880238537786</v>
      </c>
      <c r="L26" s="13">
        <f t="shared" si="13"/>
        <v>-5.1291176424637435</v>
      </c>
      <c r="M26" s="13">
        <f t="shared" si="13"/>
        <v>-4.7663822301966192</v>
      </c>
      <c r="N26" s="13">
        <f t="shared" si="13"/>
        <v>-5.353311868645438</v>
      </c>
      <c r="P26" s="3">
        <v>2000</v>
      </c>
      <c r="Q26" s="3">
        <f>B7/$B$7</f>
        <v>1</v>
      </c>
      <c r="R26" s="3">
        <f t="shared" si="12"/>
        <v>1</v>
      </c>
      <c r="S26" s="3">
        <f t="shared" si="6"/>
        <v>1</v>
      </c>
      <c r="T26" s="3">
        <f>H7/$H$7</f>
        <v>1</v>
      </c>
      <c r="U26" s="3">
        <f>L7/$L$7</f>
        <v>1</v>
      </c>
      <c r="V26" s="3">
        <f>M7/$M$7</f>
        <v>1</v>
      </c>
      <c r="W26" s="3">
        <f>N7/$N$7</f>
        <v>1</v>
      </c>
    </row>
    <row r="27" spans="1:23" ht="30">
      <c r="A27" s="66" t="s">
        <v>33</v>
      </c>
      <c r="B27" s="13">
        <f>((B19/B4)^(1/15)-1)*100</f>
        <v>0</v>
      </c>
      <c r="C27" s="13">
        <f t="shared" ref="C27:D27" si="14">((C19/C4)^(1/15)-1)*100</f>
        <v>-3.9231892870956853</v>
      </c>
      <c r="D27" s="13">
        <f t="shared" si="14"/>
        <v>-4.4461802748430372</v>
      </c>
      <c r="E27" s="62" t="s">
        <v>10</v>
      </c>
      <c r="F27" s="62" t="s">
        <v>10</v>
      </c>
      <c r="G27" s="13">
        <f t="shared" ref="G27:N27" si="15">((G19/G4)^(1/15)-1)*100</f>
        <v>-5.015330759067627</v>
      </c>
      <c r="H27" s="13">
        <f t="shared" si="15"/>
        <v>-2.0897252919007347</v>
      </c>
      <c r="I27" s="13">
        <f t="shared" si="15"/>
        <v>-3.3304979546994185</v>
      </c>
      <c r="J27" s="13">
        <f t="shared" si="15"/>
        <v>-4.1927437316173659</v>
      </c>
      <c r="K27" s="13">
        <f t="shared" si="15"/>
        <v>-1.2065446494120668</v>
      </c>
      <c r="L27" s="13">
        <f t="shared" si="15"/>
        <v>-5.4548894274422217</v>
      </c>
      <c r="M27" s="13">
        <f t="shared" si="15"/>
        <v>-8.295507809710756</v>
      </c>
      <c r="N27" s="13">
        <f t="shared" si="15"/>
        <v>-2.5451991797833973</v>
      </c>
      <c r="P27" s="3">
        <v>2001</v>
      </c>
      <c r="Q27" s="3">
        <f t="shared" ref="Q27:Q29" si="16">B8/$B$7</f>
        <v>1</v>
      </c>
      <c r="R27" s="3">
        <f t="shared" si="12"/>
        <v>0.91660662762181422</v>
      </c>
      <c r="S27" s="3">
        <f t="shared" si="6"/>
        <v>0.96462503166962243</v>
      </c>
      <c r="T27" s="3">
        <f t="shared" ref="T27:T29" si="17">H8/$H$7</f>
        <v>0.90835946229740583</v>
      </c>
      <c r="U27" s="3">
        <f t="shared" ref="U27:U29" si="18">L8/$L$7</f>
        <v>0.91699641097624063</v>
      </c>
      <c r="V27" s="3">
        <f t="shared" ref="V27:V29" si="19">M8/$M$7</f>
        <v>1.1808035116985447</v>
      </c>
      <c r="W27" s="3">
        <f t="shared" ref="W27:W29" si="20">N8/$N$7</f>
        <v>0.72454696864603541</v>
      </c>
    </row>
    <row r="28" spans="1:23">
      <c r="P28" s="3">
        <v>2002</v>
      </c>
      <c r="Q28" s="3">
        <f t="shared" si="16"/>
        <v>1</v>
      </c>
      <c r="R28" s="3">
        <f t="shared" si="12"/>
        <v>0.9481328216792404</v>
      </c>
      <c r="S28" s="3">
        <f t="shared" si="6"/>
        <v>0.94729672571656043</v>
      </c>
      <c r="T28" s="3">
        <f t="shared" si="17"/>
        <v>1.0174852902599314</v>
      </c>
      <c r="U28" s="3">
        <f t="shared" si="18"/>
        <v>0.89138132225978772</v>
      </c>
      <c r="V28" s="3">
        <f t="shared" si="19"/>
        <v>1.1487545176411649</v>
      </c>
      <c r="W28" s="3">
        <f t="shared" si="20"/>
        <v>0.70757841867233995</v>
      </c>
    </row>
    <row r="29" spans="1:23">
      <c r="A29" s="55" t="s">
        <v>315</v>
      </c>
      <c r="P29" s="3">
        <v>2003</v>
      </c>
      <c r="Q29" s="3">
        <f t="shared" si="16"/>
        <v>1</v>
      </c>
      <c r="R29" s="3">
        <f t="shared" si="12"/>
        <v>0.97012451696208191</v>
      </c>
      <c r="S29" s="3">
        <f t="shared" si="6"/>
        <v>0.93604520137793368</v>
      </c>
      <c r="T29" s="3">
        <f t="shared" si="17"/>
        <v>1.0280265217445512</v>
      </c>
      <c r="U29" s="3">
        <f t="shared" si="18"/>
        <v>0.92717273501416153</v>
      </c>
      <c r="V29" s="3">
        <f t="shared" si="19"/>
        <v>1.2147552894286668</v>
      </c>
      <c r="W29" s="3">
        <f t="shared" si="20"/>
        <v>0.71737890433472795</v>
      </c>
    </row>
    <row r="30" spans="1:23">
      <c r="P30" s="3">
        <v>2005</v>
      </c>
      <c r="Q30" s="3">
        <f t="shared" ref="Q30:Q37" si="21">B12/$B$7</f>
        <v>1</v>
      </c>
      <c r="R30" s="3">
        <f t="shared" ref="R30:R37" si="22">C12/$C$7</f>
        <v>0.90937659863646991</v>
      </c>
      <c r="S30" s="3">
        <f t="shared" ref="S30:S37" si="23">D12/$D$7</f>
        <v>1.3364528888261054</v>
      </c>
      <c r="T30" s="3">
        <f t="shared" ref="T30:T37" si="24">H12/$H$7</f>
        <v>1.0366789502779119</v>
      </c>
      <c r="U30" s="3">
        <f t="shared" ref="U30:U37" si="25">L12/$L$7</f>
        <v>0.74832710593846397</v>
      </c>
      <c r="V30" s="3">
        <f t="shared" ref="V30:V37" si="26">M12/$M$7</f>
        <v>0.76400129517436433</v>
      </c>
      <c r="W30" s="3">
        <f t="shared" ref="W30:W37" si="27">N12/$N$7</f>
        <v>0.74063322827388323</v>
      </c>
    </row>
    <row r="31" spans="1:23">
      <c r="P31" s="3">
        <v>2006</v>
      </c>
      <c r="Q31" s="3">
        <f t="shared" si="21"/>
        <v>1</v>
      </c>
      <c r="R31" s="3">
        <f t="shared" si="22"/>
        <v>0.83934059638120762</v>
      </c>
      <c r="S31" s="3">
        <f t="shared" si="23"/>
        <v>1.0305332857785292</v>
      </c>
      <c r="T31" s="3">
        <f t="shared" si="24"/>
        <v>1.0398408479694476</v>
      </c>
      <c r="U31" s="3">
        <f t="shared" si="25"/>
        <v>0.6495778531210632</v>
      </c>
      <c r="V31" s="3">
        <f t="shared" si="26"/>
        <v>0.66362290945148239</v>
      </c>
      <c r="W31" s="3">
        <f t="shared" si="27"/>
        <v>0.63933186940461006</v>
      </c>
    </row>
    <row r="32" spans="1:23">
      <c r="P32" s="3">
        <v>2007</v>
      </c>
      <c r="Q32" s="3">
        <f t="shared" si="21"/>
        <v>1</v>
      </c>
      <c r="R32" s="3">
        <f t="shared" si="22"/>
        <v>0.69017884914118421</v>
      </c>
      <c r="S32" s="3">
        <f t="shared" si="23"/>
        <v>0.83838147251039719</v>
      </c>
      <c r="T32" s="3">
        <f t="shared" si="24"/>
        <v>0.79878945837614002</v>
      </c>
      <c r="U32" s="3">
        <f t="shared" si="25"/>
        <v>0.58146174557727237</v>
      </c>
      <c r="V32" s="3">
        <f t="shared" si="26"/>
        <v>0.52254431400902424</v>
      </c>
      <c r="W32" s="3">
        <f t="shared" si="27"/>
        <v>0.62444249483607672</v>
      </c>
    </row>
    <row r="33" spans="16:23">
      <c r="P33" s="3">
        <v>2008</v>
      </c>
      <c r="Q33" s="3">
        <f t="shared" si="21"/>
        <v>1</v>
      </c>
      <c r="R33" s="3">
        <f t="shared" si="22"/>
        <v>0.6330403147901289</v>
      </c>
      <c r="S33" s="3">
        <f t="shared" si="23"/>
        <v>0.71651815849871725</v>
      </c>
      <c r="T33" s="3">
        <f t="shared" si="24"/>
        <v>0.62522016745603082</v>
      </c>
      <c r="U33" s="3">
        <f t="shared" si="25"/>
        <v>0.62837446580888945</v>
      </c>
      <c r="V33" s="3">
        <f t="shared" si="26"/>
        <v>0.75467178784720779</v>
      </c>
      <c r="W33" s="3">
        <f t="shared" si="27"/>
        <v>0.53623953415798531</v>
      </c>
    </row>
    <row r="34" spans="16:23">
      <c r="P34" s="3">
        <v>2009</v>
      </c>
      <c r="Q34" s="3">
        <f t="shared" si="21"/>
        <v>1</v>
      </c>
      <c r="R34" s="3">
        <f t="shared" si="22"/>
        <v>0.58825734725386958</v>
      </c>
      <c r="S34" s="3">
        <f t="shared" si="23"/>
        <v>0.68671370347585348</v>
      </c>
      <c r="T34" s="3">
        <f t="shared" si="24"/>
        <v>0.66169697896423152</v>
      </c>
      <c r="U34" s="3">
        <f t="shared" si="25"/>
        <v>0.51497851189790655</v>
      </c>
      <c r="V34" s="3">
        <f t="shared" si="26"/>
        <v>0.55267264350813394</v>
      </c>
      <c r="W34" s="3">
        <f t="shared" si="27"/>
        <v>0.48748033391995405</v>
      </c>
    </row>
    <row r="35" spans="16:23">
      <c r="P35" s="3">
        <v>2010</v>
      </c>
      <c r="Q35" s="3">
        <f t="shared" si="21"/>
        <v>1</v>
      </c>
      <c r="R35" s="3">
        <f t="shared" si="22"/>
        <v>0.57330781913252937</v>
      </c>
      <c r="S35" s="3">
        <f t="shared" si="23"/>
        <v>0.84829425113464452</v>
      </c>
      <c r="T35" s="3">
        <f t="shared" si="24"/>
        <v>0.55935480485863942</v>
      </c>
      <c r="U35" s="3">
        <f t="shared" si="25"/>
        <v>0.54825687777387411</v>
      </c>
      <c r="V35" s="3">
        <f t="shared" si="26"/>
        <v>0.49916274286491347</v>
      </c>
      <c r="W35" s="3">
        <f t="shared" si="27"/>
        <v>0.58407145160090268</v>
      </c>
    </row>
    <row r="36" spans="16:23">
      <c r="P36" s="3">
        <v>2011</v>
      </c>
      <c r="Q36" s="3">
        <f t="shared" si="21"/>
        <v>1</v>
      </c>
      <c r="R36" s="3">
        <f t="shared" si="22"/>
        <v>0.52418681946489942</v>
      </c>
      <c r="S36" s="3">
        <f t="shared" si="23"/>
        <v>0.60161670108300025</v>
      </c>
      <c r="T36" s="3">
        <f t="shared" si="24"/>
        <v>0.5567651817937237</v>
      </c>
      <c r="U36" s="3">
        <f t="shared" si="25"/>
        <v>0.48720059497109158</v>
      </c>
      <c r="V36" s="3">
        <f t="shared" si="26"/>
        <v>0.5047271200097081</v>
      </c>
      <c r="W36" s="3">
        <f t="shared" si="27"/>
        <v>0.4744148512953798</v>
      </c>
    </row>
    <row r="37" spans="16:23">
      <c r="P37" s="3">
        <v>2012</v>
      </c>
      <c r="Q37" s="3">
        <f t="shared" si="21"/>
        <v>1</v>
      </c>
      <c r="R37" s="3">
        <f t="shared" si="22"/>
        <v>0.53054054758042946</v>
      </c>
      <c r="S37" s="3">
        <f t="shared" si="23"/>
        <v>0.53574192549788469</v>
      </c>
      <c r="T37" s="3">
        <f t="shared" si="24"/>
        <v>0.63174192370848814</v>
      </c>
      <c r="U37" s="3">
        <f t="shared" si="25"/>
        <v>0.44687478145795112</v>
      </c>
      <c r="V37" s="3">
        <f t="shared" si="26"/>
        <v>0.40933090936917021</v>
      </c>
      <c r="W37" s="3">
        <f t="shared" si="27"/>
        <v>0.47426334388337327</v>
      </c>
    </row>
  </sheetData>
  <mergeCells count="2">
    <mergeCell ref="A1:N1"/>
    <mergeCell ref="A23:N23"/>
  </mergeCells>
  <printOptions gridLines="1"/>
  <pageMargins left="0.7" right="0.7" top="0.75" bottom="0.75" header="0.3" footer="0.3"/>
  <pageSetup scale="67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4" width="9.28515625" style="3" bestFit="1" customWidth="1"/>
    <col min="5" max="7" width="9.28515625" style="3" customWidth="1"/>
    <col min="8" max="8" width="9.28515625" style="3" bestFit="1" customWidth="1"/>
    <col min="9" max="11" width="9.28515625" style="3" customWidth="1"/>
    <col min="12" max="14" width="9.28515625" style="3" bestFit="1" customWidth="1"/>
    <col min="15" max="15" width="9.140625" style="3"/>
    <col min="16" max="17" width="9.28515625" style="3" hidden="1" customWidth="1"/>
    <col min="18" max="18" width="14.7109375" style="3" hidden="1" customWidth="1"/>
    <col min="19" max="23" width="9.28515625" style="3" hidden="1" customWidth="1"/>
    <col min="24" max="26" width="0" style="3" hidden="1" customWidth="1"/>
    <col min="27" max="16384" width="9.140625" style="3"/>
  </cols>
  <sheetData>
    <row r="1" spans="1:23" ht="45" customHeight="1">
      <c r="A1" s="460" t="s">
        <v>180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</row>
    <row r="2" spans="1:23" ht="135">
      <c r="A2" s="67"/>
      <c r="B2" s="67" t="s">
        <v>2</v>
      </c>
      <c r="C2" s="67" t="s">
        <v>8</v>
      </c>
      <c r="D2" s="67" t="s">
        <v>20</v>
      </c>
      <c r="E2" s="54" t="s">
        <v>63</v>
      </c>
      <c r="F2" s="54" t="s">
        <v>64</v>
      </c>
      <c r="G2" s="54" t="s">
        <v>65</v>
      </c>
      <c r="H2" s="67" t="s">
        <v>4</v>
      </c>
      <c r="I2" s="66" t="s">
        <v>36</v>
      </c>
      <c r="J2" s="66" t="s">
        <v>37</v>
      </c>
      <c r="K2" s="66" t="s">
        <v>38</v>
      </c>
      <c r="L2" s="67" t="s">
        <v>5</v>
      </c>
      <c r="M2" s="67" t="s">
        <v>6</v>
      </c>
      <c r="N2" s="67" t="s">
        <v>7</v>
      </c>
    </row>
    <row r="3" spans="1:23">
      <c r="A3" s="67"/>
      <c r="B3" s="13"/>
      <c r="C3" s="13"/>
    </row>
    <row r="4" spans="1:23">
      <c r="A4" s="20">
        <v>2001</v>
      </c>
      <c r="B4" s="71">
        <f>'4C'!B4/'4C'!$B4*100</f>
        <v>100</v>
      </c>
      <c r="C4" s="71">
        <f>'4C'!C4/'4C'!$B4*100</f>
        <v>2.8879600176388922</v>
      </c>
      <c r="D4" s="71">
        <f>'4C'!D4/'4C'!$B4*100</f>
        <v>0.46349491312780122</v>
      </c>
      <c r="E4" s="71" t="s">
        <v>9</v>
      </c>
      <c r="F4" s="71" t="s">
        <v>9</v>
      </c>
      <c r="G4" s="71">
        <f>'4C'!G4/'4C'!$B4*100</f>
        <v>0.42609889220825792</v>
      </c>
      <c r="H4" s="71">
        <f>'4C'!H4/'4C'!$B4*100</f>
        <v>1.3181443597549514</v>
      </c>
      <c r="I4" s="71">
        <f>'4C'!I4/'4C'!$B4*100</f>
        <v>0.65577060810048804</v>
      </c>
      <c r="J4" s="71">
        <f>'4C'!J4/'4C'!$B4*100</f>
        <v>0.21362150061994367</v>
      </c>
      <c r="K4" s="71">
        <f>'4C'!K4/'4C'!$B4*100</f>
        <v>0.44875225103451977</v>
      </c>
      <c r="L4" s="71">
        <f>'4C'!L4/'4C'!$B4*100</f>
        <v>1.1063207447561396</v>
      </c>
      <c r="M4" s="71">
        <f>'4C'!M4/'4C'!$B4*100</f>
        <v>0.65711085010896819</v>
      </c>
      <c r="N4" s="71">
        <f>'4C'!N4/'4C'!$B4*100</f>
        <v>0.44920989464717154</v>
      </c>
      <c r="P4" s="3">
        <v>2000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  <c r="W4" s="3" t="e">
        <f>((#REF!/#REF!)-1)*100</f>
        <v>#REF!</v>
      </c>
    </row>
    <row r="5" spans="1:23">
      <c r="A5" s="20">
        <v>2002</v>
      </c>
      <c r="B5" s="71">
        <f>'4C'!B5/'4C'!$B5*100</f>
        <v>100</v>
      </c>
      <c r="C5" s="71">
        <f>'4C'!C5/'4C'!$B5*100</f>
        <v>2.7364937116236403</v>
      </c>
      <c r="D5" s="71">
        <f>'4C'!D5/'4C'!$B5*100</f>
        <v>0.43355784765148925</v>
      </c>
      <c r="E5" s="71">
        <f>'4C'!E5/'4C'!$B5*100</f>
        <v>1.1981540697299902E-2</v>
      </c>
      <c r="F5" s="71" t="s">
        <v>9</v>
      </c>
      <c r="G5" s="71">
        <f>'4C'!G5/'4C'!$B5*100</f>
        <v>0.4125579429884797</v>
      </c>
      <c r="H5" s="71">
        <f>'4C'!H5/'4C'!$B5*100</f>
        <v>1.2804466409170903</v>
      </c>
      <c r="I5" s="71">
        <f>'4C'!I5/'4C'!$B5*100</f>
        <v>0.59592060747699671</v>
      </c>
      <c r="J5" s="71">
        <f>'4C'!J5/'4C'!$B5*100</f>
        <v>0.22613547644016832</v>
      </c>
      <c r="K5" s="71">
        <f>'4C'!K5/'4C'!$B5*100</f>
        <v>0.45839055699992526</v>
      </c>
      <c r="L5" s="71">
        <f>'4C'!L5/'4C'!$B5*100</f>
        <v>1.0224892230550608</v>
      </c>
      <c r="M5" s="71">
        <f>'4C'!M5/'4C'!$B5*100</f>
        <v>0.58786849679332742</v>
      </c>
      <c r="N5" s="71">
        <f>'4C'!N5/'4C'!$B5*100</f>
        <v>0.43462072626173354</v>
      </c>
      <c r="P5" s="3">
        <v>2001</v>
      </c>
      <c r="Q5" s="3" t="e">
        <f>((B4/#REF!)-1)*100</f>
        <v>#REF!</v>
      </c>
      <c r="R5" s="3" t="e">
        <f>((C4/#REF!)-1)*100</f>
        <v>#REF!</v>
      </c>
      <c r="S5" s="3" t="e">
        <f>((D5/#REF!)-1)*100</f>
        <v>#REF!</v>
      </c>
      <c r="T5" s="3" t="e">
        <f>((I5/#REF!)-1)*100</f>
        <v>#REF!</v>
      </c>
      <c r="U5" s="3" t="e">
        <f>((M5/#REF!)-1)*100</f>
        <v>#REF!</v>
      </c>
      <c r="V5" s="3" t="e">
        <f>((N5/#REF!)-1)*100</f>
        <v>#REF!</v>
      </c>
      <c r="W5" s="3" t="e">
        <f>((#REF!/#REF!)-1)*100</f>
        <v>#REF!</v>
      </c>
    </row>
    <row r="6" spans="1:23">
      <c r="A6" s="20">
        <v>2003</v>
      </c>
      <c r="B6" s="71">
        <f>'4C'!B6/'4C'!$B6*100</f>
        <v>100</v>
      </c>
      <c r="C6" s="71">
        <f>'4C'!C6/'4C'!$B6*100</f>
        <v>2.7835288632183741</v>
      </c>
      <c r="D6" s="71">
        <f>'4C'!D6/'4C'!$B6*100</f>
        <v>0.4503747489406385</v>
      </c>
      <c r="E6" s="71">
        <f>'4C'!E6/'4C'!$B6*100</f>
        <v>7.1392784779816436E-3</v>
      </c>
      <c r="F6" s="71" t="s">
        <v>9</v>
      </c>
      <c r="G6" s="71">
        <f>'4C'!G6/'4C'!$B6*100</f>
        <v>0.38596329399991031</v>
      </c>
      <c r="H6" s="71">
        <f>'4C'!H6/'4C'!$B6*100</f>
        <v>1.3320756409713717</v>
      </c>
      <c r="I6" s="71">
        <f>'4C'!I6/'4C'!$B6*100</f>
        <v>0.55995951460487881</v>
      </c>
      <c r="J6" s="71">
        <f>'4C'!J6/'4C'!$B6*100</f>
        <v>0.23704931725121353</v>
      </c>
      <c r="K6" s="71">
        <f>'4C'!K6/'4C'!$B6*100</f>
        <v>0.53509839884305777</v>
      </c>
      <c r="L6" s="71">
        <f>'4C'!L6/'4C'!$B6*100</f>
        <v>1.001078473306364</v>
      </c>
      <c r="M6" s="71">
        <f>'4C'!M6/'4C'!$B6*100</f>
        <v>0.57932401773320963</v>
      </c>
      <c r="N6" s="71">
        <f>'4C'!N6/'4C'!$B6*100</f>
        <v>0.42172286584537583</v>
      </c>
      <c r="P6" s="3">
        <v>2002</v>
      </c>
      <c r="Q6" s="3">
        <f t="shared" ref="Q6:R16" si="0">((B5/B4)-1)*100</f>
        <v>0</v>
      </c>
      <c r="R6" s="3">
        <f t="shared" si="0"/>
        <v>-5.2447507960683648</v>
      </c>
      <c r="S6" s="3">
        <f t="shared" ref="S6:S16" si="1">((D6/D5)-1)*100</f>
        <v>3.8788137223772168</v>
      </c>
      <c r="T6" s="3">
        <f t="shared" ref="T6:T16" si="2">((I6/I5)-1)*100</f>
        <v>-6.0345442699774487</v>
      </c>
      <c r="U6" s="3">
        <f t="shared" ref="U6:V16" si="3">((M6/M5)-1)*100</f>
        <v>-1.4534677579638555</v>
      </c>
      <c r="V6" s="3">
        <f t="shared" si="3"/>
        <v>-2.9676128258527834</v>
      </c>
      <c r="W6" s="3" t="e">
        <f>((#REF!/#REF!)-1)*100</f>
        <v>#REF!</v>
      </c>
    </row>
    <row r="7" spans="1:23">
      <c r="A7" s="20">
        <v>2004</v>
      </c>
      <c r="B7" s="71">
        <f>'4C'!B7/'4C'!$B7*100</f>
        <v>100</v>
      </c>
      <c r="C7" s="71">
        <f>'4C'!C7/'4C'!$B7*100</f>
        <v>2.7703173197658253</v>
      </c>
      <c r="D7" s="71">
        <f>'4C'!D7/'4C'!$B7*100</f>
        <v>0.44133312567163629</v>
      </c>
      <c r="E7" s="71">
        <f>'4C'!E7/'4C'!$B7*100</f>
        <v>6.5544523614599458E-3</v>
      </c>
      <c r="F7" s="71" t="s">
        <v>9</v>
      </c>
      <c r="G7" s="71">
        <f>'4C'!G7/'4C'!$B7*100</f>
        <v>0.37017050003292828</v>
      </c>
      <c r="H7" s="71">
        <f>'4C'!H7/'4C'!$B7*100</f>
        <v>1.385985769347573</v>
      </c>
      <c r="I7" s="71">
        <f>'4C'!I7/'4C'!$B7*100</f>
        <v>0.57688544284221033</v>
      </c>
      <c r="J7" s="71">
        <f>'4C'!J7/'4C'!$B7*100</f>
        <v>0.25846390478690384</v>
      </c>
      <c r="K7" s="71">
        <f>'4C'!K7/'4C'!$B7*100</f>
        <v>0.55063642171845872</v>
      </c>
      <c r="L7" s="71">
        <f>'4C'!L7/'4C'!$B7*100</f>
        <v>0.94299842474661577</v>
      </c>
      <c r="M7" s="71">
        <f>'4C'!M7/'4C'!$B7*100</f>
        <v>0.5586266112638576</v>
      </c>
      <c r="N7" s="71">
        <f>'4C'!N7/'4C'!$B7*100</f>
        <v>0.38437181348275823</v>
      </c>
      <c r="P7" s="3">
        <v>2003</v>
      </c>
      <c r="Q7" s="3">
        <f t="shared" si="0"/>
        <v>0</v>
      </c>
      <c r="R7" s="3">
        <f t="shared" si="0"/>
        <v>1.7188108781301281</v>
      </c>
      <c r="S7" s="3">
        <f t="shared" si="1"/>
        <v>-2.0075777539193096</v>
      </c>
      <c r="T7" s="3">
        <f t="shared" si="2"/>
        <v>3.0227057128004775</v>
      </c>
      <c r="U7" s="3">
        <f t="shared" si="3"/>
        <v>-3.5726822703359029</v>
      </c>
      <c r="V7" s="3">
        <f t="shared" si="3"/>
        <v>-8.8567766624995663</v>
      </c>
      <c r="W7" s="3" t="e">
        <f>((#REF!/#REF!)-1)*100</f>
        <v>#REF!</v>
      </c>
    </row>
    <row r="8" spans="1:23">
      <c r="A8" s="20">
        <v>2005</v>
      </c>
      <c r="B8" s="71">
        <f>'4C'!B8/'4C'!$B8*100</f>
        <v>100</v>
      </c>
      <c r="C8" s="71">
        <f>'4C'!C8/'4C'!$B8*100</f>
        <v>2.6720139634138822</v>
      </c>
      <c r="D8" s="71">
        <f>'4C'!D8/'4C'!$B8*100</f>
        <v>0.42075269215113054</v>
      </c>
      <c r="E8" s="71">
        <f>'4C'!E8/'4C'!$B8*100</f>
        <v>6.7226683442499595E-3</v>
      </c>
      <c r="F8" s="71" t="s">
        <v>9</v>
      </c>
      <c r="G8" s="71">
        <f>'4C'!G8/'4C'!$B8*100</f>
        <v>0.35093562274112172</v>
      </c>
      <c r="H8" s="71">
        <f>'4C'!H8/'4C'!$B8*100</f>
        <v>1.3351897766100482</v>
      </c>
      <c r="I8" s="71">
        <f>'4C'!I8/'4C'!$B8*100</f>
        <v>0.55144383179760448</v>
      </c>
      <c r="J8" s="71">
        <f>'4C'!J8/'4C'!$B8*100</f>
        <v>0.25330274210857417</v>
      </c>
      <c r="K8" s="71">
        <f>'4C'!K8/'4C'!$B8*100</f>
        <v>0.53044320270386958</v>
      </c>
      <c r="L8" s="71">
        <f>'4C'!L8/'4C'!$B8*100</f>
        <v>0.91607149465270321</v>
      </c>
      <c r="M8" s="71">
        <f>'4C'!M8/'4C'!$B8*100</f>
        <v>0.53059739234479264</v>
      </c>
      <c r="N8" s="71">
        <f>'4C'!N8/'4C'!$B8*100</f>
        <v>0.38547410230791057</v>
      </c>
      <c r="P8" s="3">
        <v>2004</v>
      </c>
      <c r="Q8" s="3">
        <f t="shared" si="0"/>
        <v>0</v>
      </c>
      <c r="R8" s="3">
        <f t="shared" si="0"/>
        <v>-0.47463288874516341</v>
      </c>
      <c r="S8" s="3">
        <f t="shared" si="1"/>
        <v>-4.663242417886881</v>
      </c>
      <c r="T8" s="3">
        <f t="shared" si="2"/>
        <v>-4.4101669335352973</v>
      </c>
      <c r="U8" s="3">
        <f t="shared" si="3"/>
        <v>-5.0175230384479246</v>
      </c>
      <c r="V8" s="3">
        <f t="shared" si="3"/>
        <v>0.28677670590999682</v>
      </c>
      <c r="W8" s="3" t="e">
        <f>((#REF!/#REF!)-1)*100</f>
        <v>#REF!</v>
      </c>
    </row>
    <row r="9" spans="1:23">
      <c r="A9" s="20">
        <v>2006</v>
      </c>
      <c r="B9" s="71">
        <f>'4C'!B9/'4C'!$B9*100</f>
        <v>100</v>
      </c>
      <c r="C9" s="71">
        <f>'4C'!C9/'4C'!$B9*100</f>
        <v>2.4962362211781746</v>
      </c>
      <c r="D9" s="71">
        <f>'4C'!D9/'4C'!$B9*100</f>
        <v>0.40017780297056926</v>
      </c>
      <c r="E9" s="71">
        <f>'4C'!E9/'4C'!$B9*100</f>
        <v>6.5101564496574142E-3</v>
      </c>
      <c r="F9" s="71" t="s">
        <v>9</v>
      </c>
      <c r="G9" s="71">
        <f>'4C'!G9/'4C'!$B9*100</f>
        <v>0.32132921043611384</v>
      </c>
      <c r="H9" s="71">
        <f>'4C'!H9/'4C'!$B9*100</f>
        <v>1.2493747221828584</v>
      </c>
      <c r="I9" s="71">
        <f>'4C'!I9/'4C'!$B9*100</f>
        <v>0.50107008804153907</v>
      </c>
      <c r="J9" s="71">
        <f>'4C'!J9/'4C'!$B9*100</f>
        <v>0.24526635926616305</v>
      </c>
      <c r="K9" s="71">
        <f>'4C'!K9/'4C'!$B9*100</f>
        <v>0.5030685546725967</v>
      </c>
      <c r="L9" s="71">
        <f>'4C'!L9/'4C'!$B9*100</f>
        <v>0.84668369602474702</v>
      </c>
      <c r="M9" s="71">
        <f>'4C'!M9/'4C'!$B9*100</f>
        <v>0.49882938303095925</v>
      </c>
      <c r="N9" s="71">
        <f>'4C'!N9/'4C'!$B9*100</f>
        <v>0.34785431299378777</v>
      </c>
      <c r="P9" s="3">
        <v>2005</v>
      </c>
      <c r="Q9" s="3">
        <f t="shared" si="0"/>
        <v>0</v>
      </c>
      <c r="R9" s="3">
        <f t="shared" si="0"/>
        <v>-3.5484511341196345</v>
      </c>
      <c r="S9" s="3">
        <f t="shared" si="1"/>
        <v>-4.8900196158866098</v>
      </c>
      <c r="T9" s="3">
        <f t="shared" si="2"/>
        <v>-9.1348820770841392</v>
      </c>
      <c r="U9" s="3">
        <f t="shared" si="3"/>
        <v>-5.9872154993912847</v>
      </c>
      <c r="V9" s="3">
        <f t="shared" si="3"/>
        <v>-9.7593558397011897</v>
      </c>
      <c r="W9" s="3" t="e">
        <f>((#REF!/#REF!)-1)*100</f>
        <v>#REF!</v>
      </c>
    </row>
    <row r="10" spans="1:23">
      <c r="A10" s="20">
        <v>2007</v>
      </c>
      <c r="B10" s="71">
        <f>'4C'!B10/'4C'!$B10*100</f>
        <v>100</v>
      </c>
      <c r="C10" s="71">
        <f>'4C'!C10/'4C'!$B10*100</f>
        <v>2.2632665844043678</v>
      </c>
      <c r="D10" s="71">
        <f>'4C'!D10/'4C'!$B10*100</f>
        <v>0.35432015695622737</v>
      </c>
      <c r="E10" s="71">
        <f>'4C'!E10/'4C'!$B10*100</f>
        <v>5.5451030032695236E-3</v>
      </c>
      <c r="F10" s="71" t="s">
        <v>9</v>
      </c>
      <c r="G10" s="71">
        <f>'4C'!G10/'4C'!$B10*100</f>
        <v>0.28443993416233615</v>
      </c>
      <c r="H10" s="71">
        <f>'4C'!H10/'4C'!$B10*100</f>
        <v>1.0929815392788564</v>
      </c>
      <c r="I10" s="71">
        <f>'4C'!I10/'4C'!$B10*100</f>
        <v>0.40607445165340955</v>
      </c>
      <c r="J10" s="71">
        <f>'4C'!J10/'4C'!$B10*100</f>
        <v>0.21053503983381386</v>
      </c>
      <c r="K10" s="71">
        <f>'4C'!K10/'4C'!$B10*100</f>
        <v>0.47637204779163289</v>
      </c>
      <c r="L10" s="71">
        <f>'4C'!L10/'4C'!$B10*100</f>
        <v>0.81596488816928425</v>
      </c>
      <c r="M10" s="71">
        <f>'4C'!M10/'4C'!$B10*100</f>
        <v>0.48376551846265897</v>
      </c>
      <c r="N10" s="71">
        <f>'4C'!N10/'4C'!$B10*100</f>
        <v>0.33216955732488729</v>
      </c>
      <c r="P10" s="3">
        <v>2006</v>
      </c>
      <c r="Q10" s="3">
        <f t="shared" si="0"/>
        <v>0</v>
      </c>
      <c r="R10" s="3">
        <f t="shared" si="0"/>
        <v>-6.5784739392277132</v>
      </c>
      <c r="S10" s="3">
        <f t="shared" si="1"/>
        <v>-11.459317751743081</v>
      </c>
      <c r="T10" s="3">
        <f t="shared" si="2"/>
        <v>-18.958552636703054</v>
      </c>
      <c r="U10" s="3">
        <f t="shared" si="3"/>
        <v>-3.0198430727496617</v>
      </c>
      <c r="V10" s="3">
        <f t="shared" si="3"/>
        <v>-4.5090013499934916</v>
      </c>
      <c r="W10" s="3" t="e">
        <f>((#REF!/#REF!)-1)*100</f>
        <v>#REF!</v>
      </c>
    </row>
    <row r="11" spans="1:23">
      <c r="A11" s="20">
        <v>2008</v>
      </c>
      <c r="B11" s="71">
        <f>'4C'!B11/'4C'!$B11*100</f>
        <v>100</v>
      </c>
      <c r="C11" s="71">
        <f>'4C'!C11/'4C'!$B11*100</f>
        <v>2.044045931018537</v>
      </c>
      <c r="D11" s="71">
        <f>'4C'!D11/'4C'!$B11*100</f>
        <v>0.29910133937945466</v>
      </c>
      <c r="E11" s="71">
        <f>'4C'!E11/'4C'!$B11*100</f>
        <v>5.0430219911148438E-3</v>
      </c>
      <c r="F11" s="71" t="s">
        <v>9</v>
      </c>
      <c r="G11" s="71">
        <f>'4C'!G11/'4C'!$B11*100</f>
        <v>0.25312431432595733</v>
      </c>
      <c r="H11" s="71">
        <f>'4C'!H11/'4C'!$B11*100</f>
        <v>0.96475075084994089</v>
      </c>
      <c r="I11" s="71">
        <f>'4C'!I11/'4C'!$B11*100</f>
        <v>0.34307295217917533</v>
      </c>
      <c r="J11" s="71">
        <f>'4C'!J11/'4C'!$B11*100</f>
        <v>0.17520814999539935</v>
      </c>
      <c r="K11" s="71">
        <f>'4C'!K11/'4C'!$B11*100</f>
        <v>0.4464696486753662</v>
      </c>
      <c r="L11" s="71">
        <f>'4C'!L11/'4C'!$B11*100</f>
        <v>0.78019384078914156</v>
      </c>
      <c r="M11" s="71">
        <f>'4C'!M11/'4C'!$B11*100</f>
        <v>0.46192311957211579</v>
      </c>
      <c r="N11" s="71">
        <f>'4C'!N11/'4C'!$B11*100</f>
        <v>0.31827072121702571</v>
      </c>
      <c r="P11" s="3">
        <v>2007</v>
      </c>
      <c r="Q11" s="3">
        <f t="shared" si="0"/>
        <v>0</v>
      </c>
      <c r="R11" s="3">
        <f t="shared" si="0"/>
        <v>-9.3328361633920114</v>
      </c>
      <c r="S11" s="3">
        <f t="shared" si="1"/>
        <v>-15.584441498086843</v>
      </c>
      <c r="T11" s="3">
        <f t="shared" si="2"/>
        <v>-15.514765634161821</v>
      </c>
      <c r="U11" s="3">
        <f t="shared" si="3"/>
        <v>-4.5150797353137868</v>
      </c>
      <c r="V11" s="3">
        <f t="shared" si="3"/>
        <v>-4.184259454657802</v>
      </c>
      <c r="W11" s="3" t="e">
        <f>((#REF!/#REF!)-1)*100</f>
        <v>#REF!</v>
      </c>
    </row>
    <row r="12" spans="1:23">
      <c r="A12" s="20">
        <v>2009</v>
      </c>
      <c r="B12" s="71">
        <f>'4C'!B12/'4C'!$B12*100</f>
        <v>100</v>
      </c>
      <c r="C12" s="71">
        <f>'4C'!C12/'4C'!$B12*100</f>
        <v>1.9297690510073751</v>
      </c>
      <c r="D12" s="71">
        <f>'4C'!D12/'4C'!$B12*100</f>
        <v>0.26899251779913697</v>
      </c>
      <c r="E12" s="71">
        <f>'4C'!E12/'4C'!$B12*100</f>
        <v>5.5066521846675156E-3</v>
      </c>
      <c r="F12" s="71" t="s">
        <v>9</v>
      </c>
      <c r="G12" s="71">
        <f>'4C'!G12/'4C'!$B12*100</f>
        <v>0.22586203663382221</v>
      </c>
      <c r="H12" s="71">
        <f>'4C'!H12/'4C'!$B12*100</f>
        <v>0.84656591775204759</v>
      </c>
      <c r="I12" s="71">
        <f>'4C'!I12/'4C'!$B12*100</f>
        <v>0.29691273265977552</v>
      </c>
      <c r="J12" s="71">
        <f>'4C'!J12/'4C'!$B12*100</f>
        <v>0.14811406092381385</v>
      </c>
      <c r="K12" s="71">
        <f>'4C'!K12/'4C'!$B12*100</f>
        <v>0.40153912416845833</v>
      </c>
      <c r="L12" s="71">
        <f>'4C'!L12/'4C'!$B12*100</f>
        <v>0.81421061545619045</v>
      </c>
      <c r="M12" s="71">
        <f>'4C'!M12/'4C'!$B12*100</f>
        <v>0.41076648728871196</v>
      </c>
      <c r="N12" s="71">
        <f>'4C'!N12/'4C'!$B12*100</f>
        <v>0.40341436247999368</v>
      </c>
      <c r="P12" s="3">
        <v>2008</v>
      </c>
      <c r="Q12" s="3">
        <f t="shared" si="0"/>
        <v>0</v>
      </c>
      <c r="R12" s="3">
        <f t="shared" si="0"/>
        <v>-9.6860288088212005</v>
      </c>
      <c r="S12" s="3">
        <f t="shared" si="1"/>
        <v>-10.066428202155308</v>
      </c>
      <c r="T12" s="3">
        <f t="shared" si="2"/>
        <v>-13.454928237913633</v>
      </c>
      <c r="U12" s="3">
        <f t="shared" si="3"/>
        <v>-11.074707048824649</v>
      </c>
      <c r="V12" s="3">
        <f t="shared" si="3"/>
        <v>26.751955359698123</v>
      </c>
      <c r="W12" s="3" t="e">
        <f>((#REF!/#REF!)-1)*100</f>
        <v>#REF!</v>
      </c>
    </row>
    <row r="13" spans="1:23">
      <c r="A13" s="20">
        <v>2010</v>
      </c>
      <c r="B13" s="71">
        <f>'4C'!B13/'4C'!$B13*100</f>
        <v>100</v>
      </c>
      <c r="C13" s="71">
        <f>'4C'!C13/'4C'!$B13*100</f>
        <v>1.8002390209522428</v>
      </c>
      <c r="D13" s="71">
        <f>'4C'!D13/'4C'!$B13*100</f>
        <v>0.23781139175864491</v>
      </c>
      <c r="E13" s="71">
        <f>'4C'!E13/'4C'!$B13*100</f>
        <v>5.1332566885007088E-3</v>
      </c>
      <c r="F13" s="71" t="s">
        <v>9</v>
      </c>
      <c r="G13" s="71">
        <f>'4C'!G13/'4C'!$B13*100</f>
        <v>0.22447672495863155</v>
      </c>
      <c r="H13" s="71">
        <f>'4C'!H13/'4C'!$B13*100</f>
        <v>0.83568828859287103</v>
      </c>
      <c r="I13" s="71">
        <f>'4C'!I13/'4C'!$B13*100</f>
        <v>0.28760988193214604</v>
      </c>
      <c r="J13" s="71">
        <f>'4C'!J13/'4C'!$B13*100</f>
        <v>0.15004450297537131</v>
      </c>
      <c r="K13" s="71">
        <f>'4C'!K13/'4C'!$B13*100</f>
        <v>0.3980339036853538</v>
      </c>
      <c r="L13" s="71">
        <f>'4C'!L13/'4C'!$B13*100</f>
        <v>0.72673934060072676</v>
      </c>
      <c r="M13" s="71">
        <f>'4C'!M13/'4C'!$B13*100</f>
        <v>0.33793939865963002</v>
      </c>
      <c r="N13" s="71">
        <f>'4C'!N13/'4C'!$B13*100</f>
        <v>0.38879994194109679</v>
      </c>
      <c r="P13" s="3">
        <v>2009</v>
      </c>
      <c r="Q13" s="3">
        <f t="shared" si="0"/>
        <v>0</v>
      </c>
      <c r="R13" s="3">
        <f t="shared" si="0"/>
        <v>-5.5907197718506492</v>
      </c>
      <c r="S13" s="3">
        <f t="shared" si="1"/>
        <v>-11.591819094304967</v>
      </c>
      <c r="T13" s="3">
        <f t="shared" si="2"/>
        <v>-3.1331935967493063</v>
      </c>
      <c r="U13" s="3">
        <f t="shared" si="3"/>
        <v>-17.729559465715273</v>
      </c>
      <c r="V13" s="3">
        <f t="shared" si="3"/>
        <v>-3.6226822587710039</v>
      </c>
      <c r="W13" s="3" t="e">
        <f>((#REF!/#REF!)-1)*100</f>
        <v>#REF!</v>
      </c>
    </row>
    <row r="14" spans="1:23">
      <c r="A14" s="20">
        <v>2011</v>
      </c>
      <c r="B14" s="71">
        <f>'4C'!B14/'4C'!$B14*100</f>
        <v>100</v>
      </c>
      <c r="C14" s="71">
        <f>'4C'!C14/'4C'!$B14*100</f>
        <v>1.7515545681667526</v>
      </c>
      <c r="D14" s="71">
        <f>'4C'!D14/'4C'!$B14*100</f>
        <v>0.22835068804400402</v>
      </c>
      <c r="E14" s="71">
        <f>'4C'!E14/'4C'!$B14*100</f>
        <v>4.6411554900928839E-3</v>
      </c>
      <c r="F14" s="71" t="s">
        <v>9</v>
      </c>
      <c r="G14" s="71">
        <f>'4C'!G14/'4C'!$B14*100</f>
        <v>0.21559480786054117</v>
      </c>
      <c r="H14" s="71">
        <f>'4C'!H14/'4C'!$B14*100</f>
        <v>0.79127322657508126</v>
      </c>
      <c r="I14" s="71">
        <f>'4C'!I14/'4C'!$B14*100</f>
        <v>0.27333194974358344</v>
      </c>
      <c r="J14" s="71">
        <f>'4C'!J14/'4C'!$B14*100</f>
        <v>0.13465188852703444</v>
      </c>
      <c r="K14" s="71">
        <f>'4C'!K14/'4C'!$B14*100</f>
        <v>0.3832893883044633</v>
      </c>
      <c r="L14" s="71">
        <f>'4C'!L14/'4C'!$B14*100</f>
        <v>0.73193065354766706</v>
      </c>
      <c r="M14" s="71">
        <f>'4C'!M14/'4C'!$B14*100</f>
        <v>0.33658593683183052</v>
      </c>
      <c r="N14" s="71">
        <f>'4C'!N14/'4C'!$B14*100</f>
        <v>0.39534471671583665</v>
      </c>
      <c r="P14" s="3">
        <v>2010</v>
      </c>
      <c r="Q14" s="3">
        <f t="shared" si="0"/>
        <v>0</v>
      </c>
      <c r="R14" s="3">
        <f t="shared" si="0"/>
        <v>-6.7122037213476542</v>
      </c>
      <c r="S14" s="3">
        <f t="shared" si="1"/>
        <v>-3.9782382352156476</v>
      </c>
      <c r="T14" s="3">
        <f t="shared" si="2"/>
        <v>-4.964339922065375</v>
      </c>
      <c r="U14" s="3">
        <f t="shared" si="3"/>
        <v>-0.4005043014125409</v>
      </c>
      <c r="V14" s="3">
        <f t="shared" si="3"/>
        <v>1.6833270967235414</v>
      </c>
      <c r="W14" s="3" t="e">
        <f>((#REF!/#REF!)-1)*100</f>
        <v>#REF!</v>
      </c>
    </row>
    <row r="15" spans="1:23">
      <c r="A15" s="20">
        <v>2012</v>
      </c>
      <c r="B15" s="71">
        <f>'4C'!B15/'4C'!$B15*100</f>
        <v>100</v>
      </c>
      <c r="C15" s="71">
        <f>'4C'!C15/'4C'!$B15*100</f>
        <v>1.6812809176751204</v>
      </c>
      <c r="D15" s="71">
        <f>'4C'!D15/'4C'!$B15*100</f>
        <v>0.21714332873653169</v>
      </c>
      <c r="E15" s="71">
        <f>'4C'!E15/'4C'!$B15*100</f>
        <v>3.8955946019178442E-3</v>
      </c>
      <c r="F15" s="71" t="s">
        <v>9</v>
      </c>
      <c r="G15" s="71">
        <f>'4C'!G15/'4C'!$B15*100</f>
        <v>0.20727448907833984</v>
      </c>
      <c r="H15" s="71">
        <f>'4C'!H15/'4C'!$B15*100</f>
        <v>0.77929205792143186</v>
      </c>
      <c r="I15" s="71">
        <f>'4C'!I15/'4C'!$B15*100</f>
        <v>0.26723778969156414</v>
      </c>
      <c r="J15" s="71">
        <f>'4C'!J15/'4C'!$B15*100</f>
        <v>0.13429701686907888</v>
      </c>
      <c r="K15" s="71">
        <f>'4C'!K15/'4C'!$B15*100</f>
        <v>0.37775725136078891</v>
      </c>
      <c r="L15" s="71">
        <f>'4C'!L15/'4C'!$B15*100</f>
        <v>0.68484553101715706</v>
      </c>
      <c r="M15" s="71">
        <f>'4C'!M15/'4C'!$B15*100</f>
        <v>0.30330811007969233</v>
      </c>
      <c r="N15" s="71">
        <f>'4C'!N15/'4C'!$B15*100</f>
        <v>0.38156627719377523</v>
      </c>
      <c r="P15" s="3">
        <v>2011</v>
      </c>
      <c r="Q15" s="3">
        <f t="shared" si="0"/>
        <v>0</v>
      </c>
      <c r="R15" s="3">
        <f t="shared" si="0"/>
        <v>-2.7043327146491047</v>
      </c>
      <c r="S15" s="3">
        <f t="shared" si="1"/>
        <v>-4.9079595088903911</v>
      </c>
      <c r="T15" s="3">
        <f t="shared" si="2"/>
        <v>-2.2295820366906693</v>
      </c>
      <c r="U15" s="3">
        <f t="shared" si="3"/>
        <v>-9.8868737848559878</v>
      </c>
      <c r="V15" s="3">
        <f t="shared" si="3"/>
        <v>-3.4851710265714764</v>
      </c>
      <c r="W15" s="3" t="e">
        <f>((#REF!/#REF!)-1)*100</f>
        <v>#REF!</v>
      </c>
    </row>
    <row r="16" spans="1:23">
      <c r="A16" s="20">
        <v>2013</v>
      </c>
      <c r="B16" s="71">
        <f>'4C'!B16/'4C'!$B16*100</f>
        <v>100</v>
      </c>
      <c r="C16" s="71">
        <f>'4C'!C16/'4C'!$B16*100</f>
        <v>1.6440938154772682</v>
      </c>
      <c r="D16" s="71">
        <f>'4C'!D16/'4C'!$B16*100</f>
        <v>0.18883072045540444</v>
      </c>
      <c r="E16" s="71">
        <f>'4C'!E16/'4C'!$B16*100</f>
        <v>2.9936577633173874E-3</v>
      </c>
      <c r="F16" s="71" t="s">
        <v>9</v>
      </c>
      <c r="G16" s="71">
        <f>'4C'!G16/'4C'!$B16*100</f>
        <v>0.18385088590680915</v>
      </c>
      <c r="H16" s="71">
        <f>'4C'!H16/'4C'!$B16*100</f>
        <v>0.76531133608960933</v>
      </c>
      <c r="I16" s="71">
        <f>'4C'!I16/'4C'!$B16*100</f>
        <v>0.2553244650060118</v>
      </c>
      <c r="J16" s="71">
        <f>'4C'!J16/'4C'!$B16*100</f>
        <v>0.13862938257823593</v>
      </c>
      <c r="K16" s="71">
        <f>'4C'!K16/'4C'!$B16*100</f>
        <v>0.37135748850536165</v>
      </c>
      <c r="L16" s="71">
        <f>'4C'!L16/'4C'!$B16*100</f>
        <v>0.68995175893225436</v>
      </c>
      <c r="M16" s="71">
        <f>'4C'!M16/'4C'!$B16*100</f>
        <v>0.25555474637242082</v>
      </c>
      <c r="N16" s="71">
        <f>'4C'!N16/'4C'!$B16*100</f>
        <v>0.43439701255983354</v>
      </c>
      <c r="P16" s="3">
        <v>2012</v>
      </c>
      <c r="Q16" s="3">
        <f t="shared" si="0"/>
        <v>0</v>
      </c>
      <c r="R16" s="3">
        <f t="shared" si="0"/>
        <v>-4.0120731474089011</v>
      </c>
      <c r="S16" s="3">
        <f t="shared" si="1"/>
        <v>-13.038672864539169</v>
      </c>
      <c r="T16" s="3">
        <f t="shared" si="2"/>
        <v>-4.4579491168903367</v>
      </c>
      <c r="U16" s="3">
        <f t="shared" si="3"/>
        <v>-15.744176340924287</v>
      </c>
      <c r="V16" s="3">
        <f t="shared" si="3"/>
        <v>13.845755907624046</v>
      </c>
      <c r="W16" s="3" t="e">
        <f>((#REF!/#REF!)-1)*100</f>
        <v>#REF!</v>
      </c>
    </row>
    <row r="17" spans="1:23">
      <c r="A17" s="13"/>
      <c r="B17" s="13"/>
      <c r="C17" s="13"/>
      <c r="D17" s="14"/>
      <c r="E17" s="14"/>
      <c r="F17" s="14"/>
      <c r="G17" s="14"/>
      <c r="H17" s="13"/>
      <c r="I17" s="13"/>
      <c r="J17" s="13"/>
      <c r="K17" s="13"/>
      <c r="L17" s="13"/>
      <c r="M17" s="13"/>
      <c r="N17" s="13"/>
    </row>
    <row r="18" spans="1:2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23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N19" s="460"/>
      <c r="Q19" s="3" t="s">
        <v>27</v>
      </c>
    </row>
    <row r="20" spans="1:23" ht="30">
      <c r="A20" s="67" t="s">
        <v>71</v>
      </c>
      <c r="B20" s="13">
        <f>((B10/B4)^(1/6)-1)*100</f>
        <v>0</v>
      </c>
      <c r="C20" s="13">
        <f t="shared" ref="C20:N20" si="4">((C10/C4)^(1/6)-1)*100</f>
        <v>-3.9809460847860523</v>
      </c>
      <c r="D20" s="13">
        <f t="shared" si="4"/>
        <v>-4.3778550711040864</v>
      </c>
      <c r="E20" s="62" t="s">
        <v>10</v>
      </c>
      <c r="F20" s="62" t="s">
        <v>10</v>
      </c>
      <c r="G20" s="13">
        <f t="shared" si="4"/>
        <v>-6.5139750074903908</v>
      </c>
      <c r="H20" s="13">
        <f t="shared" si="4"/>
        <v>-3.0736983822644892</v>
      </c>
      <c r="I20" s="13">
        <f t="shared" si="4"/>
        <v>-7.6772030370776729</v>
      </c>
      <c r="J20" s="13">
        <f t="shared" si="4"/>
        <v>-0.24226707623680177</v>
      </c>
      <c r="K20" s="13">
        <f t="shared" si="4"/>
        <v>1.0004413843780924</v>
      </c>
      <c r="L20" s="13">
        <f t="shared" si="4"/>
        <v>-4.9471661558055153</v>
      </c>
      <c r="M20" s="13">
        <f t="shared" si="4"/>
        <v>-4.9761304085265579</v>
      </c>
      <c r="N20" s="13">
        <f t="shared" si="4"/>
        <v>-4.906298547898114</v>
      </c>
      <c r="P20" s="3">
        <v>1999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  <c r="W20" s="3" t="e">
        <f>#REF!/#REF!</f>
        <v>#REF!</v>
      </c>
    </row>
    <row r="21" spans="1:23" ht="30">
      <c r="A21" s="67" t="s">
        <v>69</v>
      </c>
      <c r="B21" s="13">
        <f>((B16/B10)^(1/6)-1)*100</f>
        <v>0</v>
      </c>
      <c r="C21" s="13">
        <f t="shared" ref="C21:N21" si="5">((C16/C10)^(1/6)-1)*100</f>
        <v>-5.1875984055841933</v>
      </c>
      <c r="D21" s="13">
        <f t="shared" si="5"/>
        <v>-9.9577929146438251</v>
      </c>
      <c r="E21" s="13">
        <f t="shared" si="5"/>
        <v>-9.763531851205121</v>
      </c>
      <c r="F21" s="62" t="s">
        <v>10</v>
      </c>
      <c r="G21" s="13">
        <f t="shared" si="5"/>
        <v>-7.0150790400015257</v>
      </c>
      <c r="H21" s="13">
        <f t="shared" si="5"/>
        <v>-5.7667391010312148</v>
      </c>
      <c r="I21" s="13">
        <f t="shared" si="5"/>
        <v>-7.4418936735939027</v>
      </c>
      <c r="J21" s="13">
        <f t="shared" si="5"/>
        <v>-6.7271707669317777</v>
      </c>
      <c r="K21" s="13">
        <f t="shared" si="5"/>
        <v>-4.0656098141998109</v>
      </c>
      <c r="L21" s="13">
        <f t="shared" si="5"/>
        <v>-2.7571058520276526</v>
      </c>
      <c r="M21" s="13">
        <f t="shared" si="5"/>
        <v>-10.089963574202088</v>
      </c>
      <c r="N21" s="13">
        <f t="shared" si="5"/>
        <v>4.5733852003627007</v>
      </c>
      <c r="P21" s="3">
        <v>2000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  <c r="W21" s="3" t="e">
        <f>#REF!/#REF!</f>
        <v>#REF!</v>
      </c>
    </row>
    <row r="22" spans="1:23" ht="30">
      <c r="A22" s="67" t="s">
        <v>72</v>
      </c>
      <c r="B22" s="13">
        <f>((B16/B4)^(1/12)-1)*100</f>
        <v>0</v>
      </c>
      <c r="C22" s="13">
        <f t="shared" ref="C22:N22" si="6">((C16/C4)^(1/12)-1)*100</f>
        <v>-4.5861797194707847</v>
      </c>
      <c r="D22" s="13">
        <f t="shared" si="6"/>
        <v>-7.2097581874387746</v>
      </c>
      <c r="E22" s="62" t="s">
        <v>10</v>
      </c>
      <c r="F22" s="62" t="s">
        <v>10</v>
      </c>
      <c r="G22" s="13">
        <f t="shared" si="6"/>
        <v>-6.7648636790134331</v>
      </c>
      <c r="H22" s="13">
        <f t="shared" si="6"/>
        <v>-4.4297040481917849</v>
      </c>
      <c r="I22" s="13">
        <f t="shared" si="6"/>
        <v>-7.5596232285622627</v>
      </c>
      <c r="J22" s="13">
        <f t="shared" si="6"/>
        <v>-3.5391997354563109</v>
      </c>
      <c r="K22" s="13">
        <f t="shared" si="6"/>
        <v>-1.5651700224612042</v>
      </c>
      <c r="L22" s="13">
        <f t="shared" si="6"/>
        <v>-3.858371867458954</v>
      </c>
      <c r="M22" s="13">
        <f t="shared" si="6"/>
        <v>-7.568405962627434</v>
      </c>
      <c r="N22" s="13">
        <f t="shared" si="6"/>
        <v>-0.2790379504943763</v>
      </c>
      <c r="P22" s="3">
        <v>2001</v>
      </c>
      <c r="Q22" s="3" t="e">
        <f>B4/#REF!</f>
        <v>#REF!</v>
      </c>
      <c r="R22" s="3" t="e">
        <f>C4/#REF!</f>
        <v>#REF!</v>
      </c>
      <c r="S22" s="3" t="e">
        <f>D5/#REF!</f>
        <v>#REF!</v>
      </c>
      <c r="T22" s="3" t="e">
        <f>I5/#REF!</f>
        <v>#REF!</v>
      </c>
      <c r="U22" s="3" t="e">
        <f>M5/#REF!</f>
        <v>#REF!</v>
      </c>
      <c r="V22" s="3" t="e">
        <f>N5/#REF!</f>
        <v>#REF!</v>
      </c>
      <c r="W22" s="3" t="e">
        <f>#REF!/#REF!</f>
        <v>#REF!</v>
      </c>
    </row>
    <row r="23" spans="1:23">
      <c r="P23" s="3">
        <v>2002</v>
      </c>
      <c r="Q23" s="3" t="e">
        <f>B5/#REF!</f>
        <v>#REF!</v>
      </c>
      <c r="R23" s="3" t="e">
        <f>C5/#REF!</f>
        <v>#REF!</v>
      </c>
      <c r="S23" s="3" t="e">
        <f>D6/#REF!</f>
        <v>#REF!</v>
      </c>
      <c r="T23" s="3" t="e">
        <f>I6/#REF!</f>
        <v>#REF!</v>
      </c>
      <c r="U23" s="3" t="e">
        <f>M6/#REF!</f>
        <v>#REF!</v>
      </c>
      <c r="V23" s="3" t="e">
        <f>N6/#REF!</f>
        <v>#REF!</v>
      </c>
      <c r="W23" s="3" t="e">
        <f>#REF!/#REF!</f>
        <v>#REF!</v>
      </c>
    </row>
    <row r="24" spans="1:23">
      <c r="A24" s="237" t="s">
        <v>316</v>
      </c>
      <c r="L24" s="58"/>
      <c r="P24" s="3">
        <v>2003</v>
      </c>
      <c r="Q24" s="3" t="e">
        <f>B6/#REF!</f>
        <v>#REF!</v>
      </c>
      <c r="R24" s="3" t="e">
        <f>C6/#REF!</f>
        <v>#REF!</v>
      </c>
      <c r="S24" s="3" t="e">
        <f>D7/#REF!</f>
        <v>#REF!</v>
      </c>
      <c r="T24" s="3" t="e">
        <f>I7/#REF!</f>
        <v>#REF!</v>
      </c>
      <c r="U24" s="3" t="e">
        <f>M7/#REF!</f>
        <v>#REF!</v>
      </c>
      <c r="V24" s="3" t="e">
        <f>N7/#REF!</f>
        <v>#REF!</v>
      </c>
      <c r="W24" s="3" t="e">
        <f>#REF!/#REF!</f>
        <v>#REF!</v>
      </c>
    </row>
    <row r="25" spans="1:23">
      <c r="A25" s="59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P25" s="3">
        <v>2004</v>
      </c>
      <c r="Q25" s="3" t="e">
        <f>B7/#REF!</f>
        <v>#REF!</v>
      </c>
      <c r="R25" s="3" t="e">
        <f>C7/#REF!</f>
        <v>#REF!</v>
      </c>
      <c r="S25" s="3" t="e">
        <f>D8/#REF!</f>
        <v>#REF!</v>
      </c>
      <c r="T25" s="3" t="e">
        <f>I8/#REF!</f>
        <v>#REF!</v>
      </c>
      <c r="U25" s="3" t="e">
        <f>M8/#REF!</f>
        <v>#REF!</v>
      </c>
      <c r="V25" s="3" t="e">
        <f>N8/#REF!</f>
        <v>#REF!</v>
      </c>
      <c r="W25" s="3" t="e">
        <f>#REF!/#REF!</f>
        <v>#REF!</v>
      </c>
    </row>
    <row r="26" spans="1:23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P26" s="3">
        <v>2005</v>
      </c>
      <c r="Q26" s="3" t="e">
        <f>B8/#REF!</f>
        <v>#REF!</v>
      </c>
      <c r="R26" s="3" t="e">
        <f>C8/#REF!</f>
        <v>#REF!</v>
      </c>
      <c r="S26" s="3" t="e">
        <f>D9/#REF!</f>
        <v>#REF!</v>
      </c>
      <c r="T26" s="3" t="e">
        <f>I9/#REF!</f>
        <v>#REF!</v>
      </c>
      <c r="U26" s="3" t="e">
        <f>M9/#REF!</f>
        <v>#REF!</v>
      </c>
      <c r="V26" s="3" t="e">
        <f>N9/#REF!</f>
        <v>#REF!</v>
      </c>
      <c r="W26" s="3" t="e">
        <f>#REF!/#REF!</f>
        <v>#REF!</v>
      </c>
    </row>
    <row r="27" spans="1:23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P27" s="3">
        <v>2006</v>
      </c>
      <c r="Q27" s="3" t="e">
        <f>B9/#REF!</f>
        <v>#REF!</v>
      </c>
      <c r="R27" s="3" t="e">
        <f>C9/#REF!</f>
        <v>#REF!</v>
      </c>
      <c r="S27" s="3" t="e">
        <f>D10/#REF!</f>
        <v>#REF!</v>
      </c>
      <c r="T27" s="3" t="e">
        <f>I10/#REF!</f>
        <v>#REF!</v>
      </c>
      <c r="U27" s="3" t="e">
        <f>M10/#REF!</f>
        <v>#REF!</v>
      </c>
      <c r="V27" s="3" t="e">
        <f>N10/#REF!</f>
        <v>#REF!</v>
      </c>
      <c r="W27" s="3" t="e">
        <f>#REF!/#REF!</f>
        <v>#REF!</v>
      </c>
    </row>
    <row r="28" spans="1:23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P28" s="3">
        <v>2007</v>
      </c>
      <c r="Q28" s="3" t="e">
        <f>B10/#REF!</f>
        <v>#REF!</v>
      </c>
      <c r="R28" s="3" t="e">
        <f>C10/#REF!</f>
        <v>#REF!</v>
      </c>
      <c r="S28" s="3" t="e">
        <f>D11/#REF!</f>
        <v>#REF!</v>
      </c>
      <c r="T28" s="3" t="e">
        <f>I11/#REF!</f>
        <v>#REF!</v>
      </c>
      <c r="U28" s="3" t="e">
        <f>M11/#REF!</f>
        <v>#REF!</v>
      </c>
      <c r="V28" s="3" t="e">
        <f>N11/#REF!</f>
        <v>#REF!</v>
      </c>
      <c r="W28" s="3" t="e">
        <f>#REF!/#REF!</f>
        <v>#REF!</v>
      </c>
    </row>
    <row r="29" spans="1:23">
      <c r="P29" s="3">
        <v>2008</v>
      </c>
      <c r="Q29" s="3" t="e">
        <f>B11/#REF!</f>
        <v>#REF!</v>
      </c>
      <c r="R29" s="3" t="e">
        <f>C11/#REF!</f>
        <v>#REF!</v>
      </c>
      <c r="S29" s="3" t="e">
        <f>D12/#REF!</f>
        <v>#REF!</v>
      </c>
      <c r="T29" s="3" t="e">
        <f>I12/#REF!</f>
        <v>#REF!</v>
      </c>
      <c r="U29" s="3" t="e">
        <f>M12/#REF!</f>
        <v>#REF!</v>
      </c>
      <c r="V29" s="3" t="e">
        <f>N12/#REF!</f>
        <v>#REF!</v>
      </c>
      <c r="W29" s="3" t="e">
        <f>#REF!/#REF!</f>
        <v>#REF!</v>
      </c>
    </row>
    <row r="30" spans="1:23">
      <c r="P30" s="3">
        <v>2009</v>
      </c>
      <c r="Q30" s="3" t="e">
        <f>B12/#REF!</f>
        <v>#REF!</v>
      </c>
      <c r="R30" s="3" t="e">
        <f>C12/#REF!</f>
        <v>#REF!</v>
      </c>
      <c r="S30" s="3" t="e">
        <f>D13/#REF!</f>
        <v>#REF!</v>
      </c>
      <c r="T30" s="3" t="e">
        <f>I13/#REF!</f>
        <v>#REF!</v>
      </c>
      <c r="U30" s="3" t="e">
        <f>M13/#REF!</f>
        <v>#REF!</v>
      </c>
      <c r="V30" s="3" t="e">
        <f>N13/#REF!</f>
        <v>#REF!</v>
      </c>
      <c r="W30" s="3" t="e">
        <f>#REF!/#REF!</f>
        <v>#REF!</v>
      </c>
    </row>
    <row r="31" spans="1:23">
      <c r="P31" s="3">
        <v>2010</v>
      </c>
      <c r="Q31" s="3" t="e">
        <f>B13/#REF!</f>
        <v>#REF!</v>
      </c>
      <c r="R31" s="3" t="e">
        <f>C13/#REF!</f>
        <v>#REF!</v>
      </c>
      <c r="S31" s="3" t="e">
        <f>D14/#REF!</f>
        <v>#REF!</v>
      </c>
      <c r="T31" s="3" t="e">
        <f>I14/#REF!</f>
        <v>#REF!</v>
      </c>
      <c r="U31" s="3" t="e">
        <f>M14/#REF!</f>
        <v>#REF!</v>
      </c>
      <c r="V31" s="3" t="e">
        <f>N14/#REF!</f>
        <v>#REF!</v>
      </c>
      <c r="W31" s="3" t="e">
        <f>#REF!/#REF!</f>
        <v>#REF!</v>
      </c>
    </row>
    <row r="32" spans="1:23">
      <c r="P32" s="3">
        <v>2011</v>
      </c>
      <c r="Q32" s="3" t="e">
        <f>B14/#REF!</f>
        <v>#REF!</v>
      </c>
      <c r="R32" s="3" t="e">
        <f>C14/#REF!</f>
        <v>#REF!</v>
      </c>
      <c r="S32" s="3" t="e">
        <f>D15/#REF!</f>
        <v>#REF!</v>
      </c>
      <c r="T32" s="3" t="e">
        <f>I15/#REF!</f>
        <v>#REF!</v>
      </c>
      <c r="U32" s="3" t="e">
        <f>M15/#REF!</f>
        <v>#REF!</v>
      </c>
      <c r="V32" s="3" t="e">
        <f>N15/#REF!</f>
        <v>#REF!</v>
      </c>
      <c r="W32" s="3" t="e">
        <f>#REF!/#REF!</f>
        <v>#REF!</v>
      </c>
    </row>
    <row r="33" spans="16:23">
      <c r="P33" s="3">
        <v>2012</v>
      </c>
      <c r="Q33" s="3" t="e">
        <f>B15/#REF!</f>
        <v>#REF!</v>
      </c>
      <c r="R33" s="3" t="e">
        <f>C15/#REF!</f>
        <v>#REF!</v>
      </c>
      <c r="S33" s="3" t="e">
        <f>D16/#REF!</f>
        <v>#REF!</v>
      </c>
      <c r="T33" s="3" t="e">
        <f>I16/#REF!</f>
        <v>#REF!</v>
      </c>
      <c r="U33" s="3" t="e">
        <f>M16/#REF!</f>
        <v>#REF!</v>
      </c>
      <c r="V33" s="3" t="e">
        <f>N16/#REF!</f>
        <v>#REF!</v>
      </c>
      <c r="W33" s="3" t="e">
        <f>#REF!/#REF!</f>
        <v>#REF!</v>
      </c>
    </row>
  </sheetData>
  <mergeCells count="2">
    <mergeCell ref="A1:N1"/>
    <mergeCell ref="A19:N19"/>
  </mergeCells>
  <printOptions gridLines="1"/>
  <pageMargins left="0.7" right="0.7" top="0.75" bottom="0.75" header="0.3" footer="0.3"/>
  <pageSetup scale="65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15" width="9.140625" style="3"/>
    <col min="16" max="25" width="0" style="3" hidden="1" customWidth="1"/>
    <col min="26" max="16384" width="9.140625" style="3"/>
  </cols>
  <sheetData>
    <row r="1" spans="1:23">
      <c r="A1" s="454" t="s">
        <v>181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23" ht="135">
      <c r="A2" s="66"/>
      <c r="B2" s="66" t="s">
        <v>2</v>
      </c>
      <c r="C2" s="66" t="s">
        <v>8</v>
      </c>
      <c r="D2" s="66" t="s">
        <v>20</v>
      </c>
      <c r="E2" s="54" t="s">
        <v>63</v>
      </c>
      <c r="F2" s="54" t="s">
        <v>64</v>
      </c>
      <c r="G2" s="54" t="s">
        <v>65</v>
      </c>
      <c r="H2" s="66" t="s">
        <v>4</v>
      </c>
      <c r="I2" s="66" t="s">
        <v>36</v>
      </c>
      <c r="J2" s="66" t="s">
        <v>37</v>
      </c>
      <c r="K2" s="66" t="s">
        <v>38</v>
      </c>
      <c r="L2" s="66" t="s">
        <v>5</v>
      </c>
      <c r="M2" s="66" t="s">
        <v>6</v>
      </c>
      <c r="N2" s="66" t="s">
        <v>7</v>
      </c>
    </row>
    <row r="3" spans="1:23">
      <c r="A3" s="66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</row>
    <row r="4" spans="1:23">
      <c r="A4" s="66">
        <v>2001</v>
      </c>
      <c r="B4" s="71">
        <f>'4D'!B4/'4D'!$B4*100</f>
        <v>100</v>
      </c>
      <c r="C4" s="71">
        <f>'4D'!C4/'4D'!$B4*100</f>
        <v>1.4213420122163134</v>
      </c>
      <c r="D4" s="71">
        <f>'4D'!D4/'4D'!$B4*100</f>
        <v>0.14275798768467299</v>
      </c>
      <c r="E4" s="71" t="s">
        <v>9</v>
      </c>
      <c r="F4" s="71">
        <f>'4D'!F4/'4D'!$B4*100</f>
        <v>1.4654031195263976E-3</v>
      </c>
      <c r="G4" s="71">
        <f>'4D'!G4/'4D'!$B4*100</f>
        <v>0.14024303908764796</v>
      </c>
      <c r="H4" s="71">
        <f>'4D'!H4/'4D'!$B4*100</f>
        <v>0.56936852017058093</v>
      </c>
      <c r="I4" s="71">
        <f>'4D'!I4/'4D'!$B4*100</f>
        <v>0.17723456648326025</v>
      </c>
      <c r="J4" s="71">
        <f>'4D'!J4/'4D'!$B4*100</f>
        <v>0.11388558568103124</v>
      </c>
      <c r="K4" s="71">
        <f>'4D'!K4/'4D'!$B4*100</f>
        <v>0.27824836800628938</v>
      </c>
      <c r="L4" s="71">
        <f>'4D'!L4/'4D'!$B4*100</f>
        <v>0.7092155043610594</v>
      </c>
      <c r="M4" s="71">
        <f>'4D'!M4/'4D'!$B4*100</f>
        <v>0.30319982652795502</v>
      </c>
      <c r="N4" s="71">
        <f>'4D'!N4/'4D'!$B4*100</f>
        <v>0.40601567783310444</v>
      </c>
      <c r="P4" s="3">
        <v>2000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  <c r="W4" s="3" t="e">
        <f>((#REF!/#REF!)-1)*100</f>
        <v>#REF!</v>
      </c>
    </row>
    <row r="5" spans="1:23">
      <c r="A5" s="66">
        <v>2002</v>
      </c>
      <c r="B5" s="71">
        <f>'4D'!B5/'4D'!$B5*100</f>
        <v>100</v>
      </c>
      <c r="C5" s="71">
        <f>'4D'!C5/'4D'!$B5*100</f>
        <v>1.3903622997488918</v>
      </c>
      <c r="D5" s="71">
        <f>'4D'!D5/'4D'!$B5*100</f>
        <v>0.13476366230744302</v>
      </c>
      <c r="E5" s="71" t="s">
        <v>9</v>
      </c>
      <c r="F5" s="71">
        <f>'4D'!F5/'4D'!$B5*100</f>
        <v>2.8172910949508705E-3</v>
      </c>
      <c r="G5" s="71">
        <f>'4D'!G5/'4D'!$B5*100</f>
        <v>0.13002284143042223</v>
      </c>
      <c r="H5" s="71">
        <f>'4D'!H5/'4D'!$B5*100</f>
        <v>0.56918994914886722</v>
      </c>
      <c r="I5" s="71">
        <f>'4D'!I5/'4D'!$B5*100</f>
        <v>0.16486010303902163</v>
      </c>
      <c r="J5" s="71">
        <f>'4D'!J5/'4D'!$B5*100</f>
        <v>0.11787934533149606</v>
      </c>
      <c r="K5" s="71">
        <f>'4D'!K5/'4D'!$B5*100</f>
        <v>0.28645050077834955</v>
      </c>
      <c r="L5" s="71">
        <f>'4D'!L5/'4D'!$B5*100</f>
        <v>0.68640868829258173</v>
      </c>
      <c r="M5" s="71">
        <f>'4D'!M5/'4D'!$B5*100</f>
        <v>0.27648311918035096</v>
      </c>
      <c r="N5" s="71">
        <f>'4D'!N5/'4D'!$B5*100</f>
        <v>0.40992556911223071</v>
      </c>
      <c r="P5" s="3">
        <v>2001</v>
      </c>
      <c r="Q5" s="3" t="e">
        <f>((B4/#REF!)-1)*100</f>
        <v>#REF!</v>
      </c>
      <c r="R5" s="3" t="e">
        <f>((C4/#REF!)-1)*100</f>
        <v>#REF!</v>
      </c>
      <c r="S5" s="3" t="e">
        <f>((D4/#REF!)-1)*100</f>
        <v>#REF!</v>
      </c>
      <c r="T5" s="3" t="e">
        <f>((H4/#REF!)-1)*100</f>
        <v>#REF!</v>
      </c>
      <c r="U5" s="3" t="e">
        <f>((L4/#REF!)-1)*100</f>
        <v>#REF!</v>
      </c>
      <c r="V5" s="3" t="e">
        <f>((M4/#REF!)-1)*100</f>
        <v>#REF!</v>
      </c>
      <c r="W5" s="3" t="e">
        <f>((N4/#REF!)-1)*100</f>
        <v>#REF!</v>
      </c>
    </row>
    <row r="6" spans="1:23">
      <c r="A6" s="66">
        <v>2003</v>
      </c>
      <c r="B6" s="71">
        <f>'4D'!B6/'4D'!$B6*100</f>
        <v>100</v>
      </c>
      <c r="C6" s="71">
        <f>'4D'!C6/'4D'!$B6*100</f>
        <v>1.3445366942145609</v>
      </c>
      <c r="D6" s="71">
        <f>'4D'!D6/'4D'!$B6*100</f>
        <v>0.13104464130888385</v>
      </c>
      <c r="E6" s="71" t="s">
        <v>9</v>
      </c>
      <c r="F6" s="71" t="s">
        <v>9</v>
      </c>
      <c r="G6" s="71">
        <f>'4D'!G6/'4D'!$B6*100</f>
        <v>0.12589965757274912</v>
      </c>
      <c r="H6" s="71">
        <f>'4D'!H6/'4D'!$B6*100</f>
        <v>0.54191923137754083</v>
      </c>
      <c r="I6" s="71">
        <f>'4D'!I6/'4D'!$B6*100</f>
        <v>0.14937602780577877</v>
      </c>
      <c r="J6" s="71">
        <f>'4D'!J6/'4D'!$B6*100</f>
        <v>0.1179725715200378</v>
      </c>
      <c r="K6" s="71">
        <f>'4D'!K6/'4D'!$B6*100</f>
        <v>0.27458968754704327</v>
      </c>
      <c r="L6" s="71">
        <f>'4D'!L6/'4D'!$B6*100</f>
        <v>0.67157282152813635</v>
      </c>
      <c r="M6" s="71">
        <f>'4D'!M6/'4D'!$B6*100</f>
        <v>0.255896246639087</v>
      </c>
      <c r="N6" s="71">
        <f>'4D'!N6/'4D'!$B6*100</f>
        <v>0.41567657488904936</v>
      </c>
      <c r="P6" s="3">
        <v>2002</v>
      </c>
      <c r="Q6" s="3">
        <f t="shared" ref="Q6:S16" si="0">((B5/B4)-1)*100</f>
        <v>0</v>
      </c>
      <c r="R6" s="3">
        <f t="shared" si="0"/>
        <v>-2.1796099883879871</v>
      </c>
      <c r="S6" s="3">
        <f t="shared" si="0"/>
        <v>-5.5999145875381799</v>
      </c>
      <c r="T6" s="3">
        <f t="shared" ref="T6:T16" si="1">((H5/H4)-1)*100</f>
        <v>-3.1362995210937328E-2</v>
      </c>
      <c r="U6" s="3">
        <f t="shared" ref="U6:W16" si="2">((L5/L4)-1)*100</f>
        <v>-3.2157808068542737</v>
      </c>
      <c r="V6" s="3">
        <f t="shared" si="2"/>
        <v>-8.8115839819389858</v>
      </c>
      <c r="W6" s="3">
        <f t="shared" si="2"/>
        <v>0.96299022244492605</v>
      </c>
    </row>
    <row r="7" spans="1:23">
      <c r="A7" s="66">
        <v>2004</v>
      </c>
      <c r="B7" s="71">
        <f>'4D'!B7/'4D'!$B7*100</f>
        <v>100</v>
      </c>
      <c r="C7" s="71">
        <f>'4D'!C7/'4D'!$B7*100</f>
        <v>1.2894605309759759</v>
      </c>
      <c r="D7" s="71">
        <f>'4D'!D7/'4D'!$B7*100</f>
        <v>0.12772418033640728</v>
      </c>
      <c r="E7" s="71" t="s">
        <v>9</v>
      </c>
      <c r="F7" s="71">
        <f>'4D'!F7/'4D'!$B7*100</f>
        <v>3.6599875335193862E-3</v>
      </c>
      <c r="G7" s="71">
        <f>'4D'!G7/'4D'!$B7*100</f>
        <v>0.12288173529205856</v>
      </c>
      <c r="H7" s="71">
        <f>'4D'!H7/'4D'!$B7*100</f>
        <v>0.52334067895959502</v>
      </c>
      <c r="I7" s="71">
        <f>'4D'!I7/'4D'!$B7*100</f>
        <v>0.14013059961669608</v>
      </c>
      <c r="J7" s="71">
        <f>'4D'!J7/'4D'!$B7*100</f>
        <v>0.12725495116544325</v>
      </c>
      <c r="K7" s="71">
        <f>'4D'!K7/'4D'!$B7*100</f>
        <v>0.25595512817745569</v>
      </c>
      <c r="L7" s="71">
        <f>'4D'!L7/'4D'!$B7*100</f>
        <v>0.63839567167997369</v>
      </c>
      <c r="M7" s="71">
        <f>'4D'!M7/'4D'!$B7*100</f>
        <v>0.24563208641624718</v>
      </c>
      <c r="N7" s="71">
        <f>'4D'!N7/'4D'!$B7*100</f>
        <v>0.39276358526372651</v>
      </c>
      <c r="P7" s="3">
        <v>2003</v>
      </c>
      <c r="Q7" s="3">
        <f t="shared" si="0"/>
        <v>0</v>
      </c>
      <c r="R7" s="3">
        <f t="shared" si="0"/>
        <v>-3.2959470738387564</v>
      </c>
      <c r="S7" s="3">
        <f t="shared" si="0"/>
        <v>-2.759661569655758</v>
      </c>
      <c r="T7" s="3">
        <f t="shared" si="1"/>
        <v>-4.7911453482454185</v>
      </c>
      <c r="U7" s="3">
        <f t="shared" si="2"/>
        <v>-2.1613751424605532</v>
      </c>
      <c r="V7" s="3">
        <f t="shared" si="2"/>
        <v>-7.4459781133455305</v>
      </c>
      <c r="W7" s="3">
        <f t="shared" si="2"/>
        <v>1.4029390236070194</v>
      </c>
    </row>
    <row r="8" spans="1:23">
      <c r="A8" s="66">
        <v>2005</v>
      </c>
      <c r="B8" s="71">
        <f>'4D'!B8/'4D'!$B8*100</f>
        <v>100</v>
      </c>
      <c r="C8" s="71">
        <f>'4D'!C8/'4D'!$B8*100</f>
        <v>1.2013992996125167</v>
      </c>
      <c r="D8" s="71">
        <f>'4D'!D8/'4D'!$B8*100</f>
        <v>0.11911640304240148</v>
      </c>
      <c r="E8" s="71" t="s">
        <v>9</v>
      </c>
      <c r="F8" s="71">
        <f>'4D'!F8/'4D'!$B8*100</f>
        <v>3.8728045578114746E-3</v>
      </c>
      <c r="G8" s="71">
        <f>'4D'!G8/'4D'!$B8*100</f>
        <v>0.11398954748491773</v>
      </c>
      <c r="H8" s="71">
        <f>'4D'!H8/'4D'!$B8*100</f>
        <v>0.50615711377949391</v>
      </c>
      <c r="I8" s="71">
        <f>'4D'!I8/'4D'!$B8*100</f>
        <v>0.13634116236142965</v>
      </c>
      <c r="J8" s="71">
        <f>'4D'!J8/'4D'!$B8*100</f>
        <v>0.12035201211560802</v>
      </c>
      <c r="K8" s="71">
        <f>'4D'!K8/'4D'!$B8*100</f>
        <v>0.24946393930245625</v>
      </c>
      <c r="L8" s="71">
        <f>'4D'!L8/'4D'!$B8*100</f>
        <v>0.57612578279062132</v>
      </c>
      <c r="M8" s="71">
        <f>'4D'!M8/'4D'!$B8*100</f>
        <v>0.20924209768061422</v>
      </c>
      <c r="N8" s="71">
        <f>'4D'!N8/'4D'!$B8*100</f>
        <v>0.36688368511000702</v>
      </c>
      <c r="P8" s="3">
        <v>2004</v>
      </c>
      <c r="Q8" s="3">
        <f t="shared" si="0"/>
        <v>0</v>
      </c>
      <c r="R8" s="3">
        <f t="shared" si="0"/>
        <v>-4.0962930558588351</v>
      </c>
      <c r="S8" s="3">
        <f t="shared" si="0"/>
        <v>-2.5338395674264547</v>
      </c>
      <c r="T8" s="3">
        <f t="shared" si="1"/>
        <v>-3.4282880809968219</v>
      </c>
      <c r="U8" s="3">
        <f t="shared" si="2"/>
        <v>-4.9402162780604275</v>
      </c>
      <c r="V8" s="3">
        <f t="shared" si="2"/>
        <v>-4.0110632170843319</v>
      </c>
      <c r="W8" s="3">
        <f t="shared" si="2"/>
        <v>-5.5122157488520234</v>
      </c>
    </row>
    <row r="9" spans="1:23">
      <c r="A9" s="66">
        <v>2006</v>
      </c>
      <c r="B9" s="71">
        <f>'4D'!B9/'4D'!$B9*100</f>
        <v>100</v>
      </c>
      <c r="C9" s="71">
        <f>'4D'!C9/'4D'!$B9*100</f>
        <v>1.1323958024459215</v>
      </c>
      <c r="D9" s="71">
        <f>'4D'!D9/'4D'!$B9*100</f>
        <v>0.10935047840834303</v>
      </c>
      <c r="E9" s="71" t="s">
        <v>9</v>
      </c>
      <c r="F9" s="71">
        <f>'4D'!F9/'4D'!$B9*100</f>
        <v>4.5743503699257259E-3</v>
      </c>
      <c r="G9" s="71">
        <f>'4D'!G9/'4D'!$B9*100</f>
        <v>0.10249799307157682</v>
      </c>
      <c r="H9" s="71">
        <f>'4D'!H9/'4D'!$B9*100</f>
        <v>0.47676302333822712</v>
      </c>
      <c r="I9" s="71">
        <f>'4D'!I9/'4D'!$B9*100</f>
        <v>0.12180789898098661</v>
      </c>
      <c r="J9" s="71">
        <f>'4D'!J9/'4D'!$B9*100</f>
        <v>0.11354513961712867</v>
      </c>
      <c r="K9" s="71">
        <f>'4D'!K9/'4D'!$B9*100</f>
        <v>0.24139190430386703</v>
      </c>
      <c r="L9" s="71">
        <f>'4D'!L9/'4D'!$B9*100</f>
        <v>0.54628230069935124</v>
      </c>
      <c r="M9" s="71">
        <f>'4D'!M9/'4D'!$B9*100</f>
        <v>0.19781805295398169</v>
      </c>
      <c r="N9" s="71">
        <f>'4D'!N9/'4D'!$B9*100</f>
        <v>0.3484642477453696</v>
      </c>
      <c r="P9" s="3">
        <v>2005</v>
      </c>
      <c r="Q9" s="3">
        <f t="shared" si="0"/>
        <v>0</v>
      </c>
      <c r="R9" s="3">
        <f t="shared" si="0"/>
        <v>-6.8293080127707961</v>
      </c>
      <c r="S9" s="3">
        <f t="shared" si="0"/>
        <v>-6.7393482356544743</v>
      </c>
      <c r="T9" s="3">
        <f t="shared" si="1"/>
        <v>-3.2834377052940233</v>
      </c>
      <c r="U9" s="3">
        <f t="shared" si="2"/>
        <v>-9.7541214096088176</v>
      </c>
      <c r="V9" s="3">
        <f t="shared" si="2"/>
        <v>-14.814835173433583</v>
      </c>
      <c r="W9" s="3">
        <f t="shared" si="2"/>
        <v>-6.5891801390757898</v>
      </c>
    </row>
    <row r="10" spans="1:23">
      <c r="A10" s="66">
        <v>2007</v>
      </c>
      <c r="B10" s="71">
        <f>'4D'!B10/'4D'!$B10*100</f>
        <v>100</v>
      </c>
      <c r="C10" s="71">
        <f>'4D'!C10/'4D'!$B10*100</f>
        <v>1.0207675484298204</v>
      </c>
      <c r="D10" s="71">
        <f>'4D'!D10/'4D'!$B10*100</f>
        <v>9.4803227687739133E-2</v>
      </c>
      <c r="E10" s="71" t="s">
        <v>9</v>
      </c>
      <c r="F10" s="71">
        <f>'4D'!F10/'4D'!$B10*100</f>
        <v>2.9186651662829392E-3</v>
      </c>
      <c r="G10" s="71">
        <f>'4D'!G10/'4D'!$B10*100</f>
        <v>9.0104888639576358E-2</v>
      </c>
      <c r="H10" s="71">
        <f>'4D'!H10/'4D'!$B10*100</f>
        <v>0.43730146625551453</v>
      </c>
      <c r="I10" s="71">
        <f>'4D'!I10/'4D'!$B10*100</f>
        <v>0.10464482425453465</v>
      </c>
      <c r="J10" s="71">
        <f>'4D'!J10/'4D'!$B10*100</f>
        <v>0.10227785799163445</v>
      </c>
      <c r="K10" s="71">
        <f>'4D'!K10/'4D'!$B10*100</f>
        <v>0.23036098727052665</v>
      </c>
      <c r="L10" s="71">
        <f>'4D'!L10/'4D'!$B10*100</f>
        <v>0.48866285448656677</v>
      </c>
      <c r="M10" s="71">
        <f>'4D'!M10/'4D'!$B10*100</f>
        <v>0.16086472218311884</v>
      </c>
      <c r="N10" s="71">
        <f>'4D'!N10/'4D'!$B10*100</f>
        <v>0.3277981323034479</v>
      </c>
      <c r="P10" s="3">
        <v>2006</v>
      </c>
      <c r="Q10" s="3">
        <f t="shared" si="0"/>
        <v>0</v>
      </c>
      <c r="R10" s="3">
        <f t="shared" si="0"/>
        <v>-5.7435939232568733</v>
      </c>
      <c r="S10" s="3">
        <f t="shared" si="0"/>
        <v>-8.198639637046556</v>
      </c>
      <c r="T10" s="3">
        <f t="shared" si="1"/>
        <v>-5.8073056055223731</v>
      </c>
      <c r="U10" s="3">
        <f t="shared" si="2"/>
        <v>-5.180028907353373</v>
      </c>
      <c r="V10" s="3">
        <f t="shared" si="2"/>
        <v>-5.4597257689846472</v>
      </c>
      <c r="W10" s="3">
        <f t="shared" si="2"/>
        <v>-5.020511435147224</v>
      </c>
    </row>
    <row r="11" spans="1:23">
      <c r="A11" s="66">
        <v>2008</v>
      </c>
      <c r="B11" s="71">
        <f>'4D'!B11/'4D'!$B11*100</f>
        <v>100</v>
      </c>
      <c r="C11" s="71">
        <f>'4D'!C11/'4D'!$B11*100</f>
        <v>0.88518643658320095</v>
      </c>
      <c r="D11" s="71">
        <f>'4D'!D11/'4D'!$B11*100</f>
        <v>7.9252397967133098E-2</v>
      </c>
      <c r="E11" s="71" t="s">
        <v>9</v>
      </c>
      <c r="F11" s="71">
        <f>'4D'!F11/'4D'!$B11*100</f>
        <v>2.5034444244091082E-3</v>
      </c>
      <c r="G11" s="71">
        <f>'4D'!G11/'4D'!$B11*100</f>
        <v>7.5068319523540247E-2</v>
      </c>
      <c r="H11" s="71">
        <f>'4D'!H11/'4D'!$B11*100</f>
        <v>0.36917927288069424</v>
      </c>
      <c r="I11" s="71">
        <f>'4D'!I11/'4D'!$B11*100</f>
        <v>7.3965403448450928E-2</v>
      </c>
      <c r="J11" s="71">
        <f>'4D'!J11/'4D'!$B11*100</f>
        <v>8.8933550181806084E-2</v>
      </c>
      <c r="K11" s="71">
        <f>'4D'!K11/'4D'!$B11*100</f>
        <v>0.20628031925043724</v>
      </c>
      <c r="L11" s="71">
        <f>'4D'!L11/'4D'!$B11*100</f>
        <v>0.4367547657353737</v>
      </c>
      <c r="M11" s="71">
        <f>'4D'!M11/'4D'!$B11*100</f>
        <v>0.13364541773384009</v>
      </c>
      <c r="N11" s="71">
        <f>'4D'!N11/'4D'!$B11*100</f>
        <v>0.30309184139716711</v>
      </c>
      <c r="P11" s="3">
        <v>2007</v>
      </c>
      <c r="Q11" s="3">
        <f t="shared" si="0"/>
        <v>0</v>
      </c>
      <c r="R11" s="3">
        <f t="shared" si="0"/>
        <v>-9.8577064463670201</v>
      </c>
      <c r="S11" s="3">
        <f t="shared" si="0"/>
        <v>-13.303326087226331</v>
      </c>
      <c r="T11" s="3">
        <f t="shared" si="1"/>
        <v>-8.276975174460544</v>
      </c>
      <c r="U11" s="3">
        <f t="shared" si="2"/>
        <v>-10.547558677815482</v>
      </c>
      <c r="V11" s="3">
        <f t="shared" si="2"/>
        <v>-18.680464304973864</v>
      </c>
      <c r="W11" s="3">
        <f t="shared" si="2"/>
        <v>-5.9306271950811063</v>
      </c>
    </row>
    <row r="12" spans="1:23">
      <c r="A12" s="66">
        <v>2009</v>
      </c>
      <c r="B12" s="71">
        <f>'4D'!B12/'4D'!$B12*100</f>
        <v>100</v>
      </c>
      <c r="C12" s="71">
        <f>'4D'!C12/'4D'!$B12*100</f>
        <v>0.71241798915444754</v>
      </c>
      <c r="D12" s="71">
        <f>'4D'!D12/'4D'!$B12*100</f>
        <v>6.1312166362016987E-2</v>
      </c>
      <c r="E12" s="71" t="s">
        <v>9</v>
      </c>
      <c r="F12" s="71">
        <f>'4D'!F12/'4D'!$B12*100</f>
        <v>1.8454567899730419E-3</v>
      </c>
      <c r="G12" s="71">
        <f>'4D'!G12/'4D'!$B12*100</f>
        <v>5.772875511935089E-2</v>
      </c>
      <c r="H12" s="71">
        <f>'4D'!H12/'4D'!$B12*100</f>
        <v>0.28541870547835496</v>
      </c>
      <c r="I12" s="71">
        <f>'4D'!I12/'4D'!$B12*100</f>
        <v>5.6743317027617708E-2</v>
      </c>
      <c r="J12" s="71">
        <f>'4D'!J12/'4D'!$B12*100</f>
        <v>6.3533881332469969E-2</v>
      </c>
      <c r="K12" s="71">
        <f>'4D'!K12/'4D'!$B12*100</f>
        <v>0.1651594241744806</v>
      </c>
      <c r="L12" s="71">
        <f>'4D'!L12/'4D'!$B12*100</f>
        <v>0.3656871173140756</v>
      </c>
      <c r="M12" s="71">
        <f>'4D'!M12/'4D'!$B12*100</f>
        <v>0.1068394062000898</v>
      </c>
      <c r="N12" s="71">
        <f>'4D'!N12/'4D'!$B12*100</f>
        <v>0.2588477111139858</v>
      </c>
      <c r="P12" s="3">
        <v>2008</v>
      </c>
      <c r="Q12" s="3">
        <f t="shared" si="0"/>
        <v>0</v>
      </c>
      <c r="R12" s="3">
        <f t="shared" si="0"/>
        <v>-13.282270978850663</v>
      </c>
      <c r="S12" s="3">
        <f t="shared" si="0"/>
        <v>-16.403270331498653</v>
      </c>
      <c r="T12" s="3">
        <f t="shared" si="1"/>
        <v>-15.577856154503856</v>
      </c>
      <c r="U12" s="3">
        <f t="shared" si="2"/>
        <v>-10.622474836097862</v>
      </c>
      <c r="V12" s="3">
        <f t="shared" si="2"/>
        <v>-16.920617572256713</v>
      </c>
      <c r="W12" s="3">
        <f t="shared" si="2"/>
        <v>-7.5370444403294545</v>
      </c>
    </row>
    <row r="13" spans="1:23">
      <c r="A13" s="66">
        <v>2010</v>
      </c>
      <c r="B13" s="71">
        <f>'4D'!B13/'4D'!$B13*100</f>
        <v>100</v>
      </c>
      <c r="C13" s="71">
        <f>'4D'!C13/'4D'!$B13*100</f>
        <v>0.6941022323234276</v>
      </c>
      <c r="D13" s="71">
        <f>'4D'!D13/'4D'!$B13*100</f>
        <v>6.0467736561400191E-2</v>
      </c>
      <c r="E13" s="71" t="s">
        <v>9</v>
      </c>
      <c r="F13" s="71">
        <f>'4D'!F13/'4D'!$B13*100</f>
        <v>2.2520242062456968E-3</v>
      </c>
      <c r="G13" s="71">
        <f>'4D'!G13/'4D'!$B13*100</f>
        <v>5.6460197422726753E-2</v>
      </c>
      <c r="H13" s="71">
        <f>'4D'!H13/'4D'!$B13*100</f>
        <v>0.2801198928036478</v>
      </c>
      <c r="I13" s="71">
        <f>'4D'!I13/'4D'!$B13*100</f>
        <v>6.013081955416659E-2</v>
      </c>
      <c r="J13" s="71">
        <f>'4D'!J13/'4D'!$B13*100</f>
        <v>5.5218924238181886E-2</v>
      </c>
      <c r="K13" s="71">
        <f>'4D'!K13/'4D'!$B13*100</f>
        <v>0.1647701490112993</v>
      </c>
      <c r="L13" s="71">
        <f>'4D'!L13/'4D'!$B13*100</f>
        <v>0.35351460295837955</v>
      </c>
      <c r="M13" s="71">
        <f>'4D'!M13/'4D'!$B13*100</f>
        <v>9.9089065074810662E-2</v>
      </c>
      <c r="N13" s="71">
        <f>'4D'!N13/'4D'!$B13*100</f>
        <v>0.25440780540950403</v>
      </c>
      <c r="P13" s="3">
        <v>2009</v>
      </c>
      <c r="Q13" s="3">
        <f t="shared" si="0"/>
        <v>0</v>
      </c>
      <c r="R13" s="3">
        <f t="shared" si="0"/>
        <v>-19.51774680321985</v>
      </c>
      <c r="S13" s="3">
        <f t="shared" si="0"/>
        <v>-22.636831269832534</v>
      </c>
      <c r="T13" s="3">
        <f t="shared" si="1"/>
        <v>-22.688317994875018</v>
      </c>
      <c r="U13" s="3">
        <f t="shared" si="2"/>
        <v>-16.271751105369148</v>
      </c>
      <c r="V13" s="3">
        <f t="shared" si="2"/>
        <v>-20.05756126045075</v>
      </c>
      <c r="W13" s="3">
        <f t="shared" si="2"/>
        <v>-14.597598562610081</v>
      </c>
    </row>
    <row r="14" spans="1:23">
      <c r="A14" s="66">
        <v>2011</v>
      </c>
      <c r="B14" s="71">
        <f>'4D'!B14/'4D'!$B14*100</f>
        <v>100</v>
      </c>
      <c r="C14" s="71">
        <f>'4D'!C14/'4D'!$B14*100</f>
        <v>0.67700940974235868</v>
      </c>
      <c r="D14" s="71">
        <f>'4D'!D14/'4D'!$B14*100</f>
        <v>6.1365226010818237E-2</v>
      </c>
      <c r="E14" s="71" t="s">
        <v>9</v>
      </c>
      <c r="F14" s="71">
        <f>'4D'!F14/'4D'!$B14*100</f>
        <v>2.9704124207970105E-3</v>
      </c>
      <c r="G14" s="71">
        <f>'4D'!G14/'4D'!$B14*100</f>
        <v>5.654267408058309E-2</v>
      </c>
      <c r="H14" s="71">
        <f>'4D'!H14/'4D'!$B14*100</f>
        <v>0.27030753029252796</v>
      </c>
      <c r="I14" s="71">
        <f>'4D'!I14/'4D'!$B14*100</f>
        <v>5.6892134365382742E-2</v>
      </c>
      <c r="J14" s="71">
        <f>'4D'!J14/'4D'!$B14*100</f>
        <v>5.0794052395628883E-2</v>
      </c>
      <c r="K14" s="71">
        <f>'4D'!K14/'4D'!$B14*100</f>
        <v>0.16260387051727634</v>
      </c>
      <c r="L14" s="71">
        <f>'4D'!L14/'4D'!$B14*100</f>
        <v>0.34533665343901243</v>
      </c>
      <c r="M14" s="71">
        <f>'4D'!M14/'4D'!$B14*100</f>
        <v>9.5979267220223402E-2</v>
      </c>
      <c r="N14" s="71">
        <f>'4D'!N14/'4D'!$B14*100</f>
        <v>0.24935738621878903</v>
      </c>
      <c r="P14" s="3">
        <v>2010</v>
      </c>
      <c r="Q14" s="3">
        <f t="shared" si="0"/>
        <v>0</v>
      </c>
      <c r="R14" s="3">
        <f t="shared" si="0"/>
        <v>-2.5709284591140746</v>
      </c>
      <c r="S14" s="3">
        <f t="shared" si="0"/>
        <v>-1.37726303068606</v>
      </c>
      <c r="T14" s="3">
        <f t="shared" si="1"/>
        <v>-1.8565050478476786</v>
      </c>
      <c r="U14" s="3">
        <f t="shared" si="2"/>
        <v>-3.3286691762897225</v>
      </c>
      <c r="V14" s="3">
        <f t="shared" si="2"/>
        <v>-7.2541971178351812</v>
      </c>
      <c r="W14" s="3">
        <f t="shared" si="2"/>
        <v>-1.7152578577473432</v>
      </c>
    </row>
    <row r="15" spans="1:23">
      <c r="A15" s="66">
        <v>2012</v>
      </c>
      <c r="B15" s="71">
        <f>'4D'!B15/'4D'!$B15*100</f>
        <v>100</v>
      </c>
      <c r="C15" s="71">
        <f>'4D'!C15/'4D'!$B15*100</f>
        <v>0.63584971915559985</v>
      </c>
      <c r="D15" s="71">
        <f>'4D'!D15/'4D'!$B15*100</f>
        <v>5.7628998539709111E-2</v>
      </c>
      <c r="E15" s="71" t="s">
        <v>9</v>
      </c>
      <c r="F15" s="71">
        <f>'4D'!F15/'4D'!$B15*100</f>
        <v>1.6204384872068967E-3</v>
      </c>
      <c r="G15" s="71">
        <f>'4D'!G15/'4D'!$B15*100</f>
        <v>5.4732895711509542E-2</v>
      </c>
      <c r="H15" s="71">
        <f>'4D'!H15/'4D'!$B15*100</f>
        <v>0.26790675031577005</v>
      </c>
      <c r="I15" s="71">
        <f>'4D'!I15/'4D'!$B15*100</f>
        <v>4.9406135152499635E-2</v>
      </c>
      <c r="J15" s="71">
        <f>'4D'!J15/'4D'!$B15*100</f>
        <v>5.33365604193419E-2</v>
      </c>
      <c r="K15" s="71">
        <f>'4D'!K15/'4D'!$B15*100</f>
        <v>0.16514681603661777</v>
      </c>
      <c r="L15" s="71">
        <f>'4D'!L15/'4D'!$B15*100</f>
        <v>0.3103139703001207</v>
      </c>
      <c r="M15" s="71">
        <f>'4D'!M15/'4D'!$B15*100</f>
        <v>7.9332531043895094E-2</v>
      </c>
      <c r="N15" s="71">
        <f>'4D'!N15/'4D'!$B15*100</f>
        <v>0.23099867796353638</v>
      </c>
      <c r="P15" s="3">
        <v>2011</v>
      </c>
      <c r="Q15" s="3">
        <f t="shared" si="0"/>
        <v>0</v>
      </c>
      <c r="R15" s="3">
        <f t="shared" si="0"/>
        <v>-2.4625799752656996</v>
      </c>
      <c r="S15" s="3">
        <f t="shared" si="0"/>
        <v>1.4842451536229095</v>
      </c>
      <c r="T15" s="3">
        <f t="shared" si="1"/>
        <v>-3.5029152742100611</v>
      </c>
      <c r="U15" s="3">
        <f t="shared" si="2"/>
        <v>-2.3133272150372641</v>
      </c>
      <c r="V15" s="3">
        <f t="shared" si="2"/>
        <v>-3.138386513425484</v>
      </c>
      <c r="W15" s="3">
        <f t="shared" si="2"/>
        <v>-1.9851667611320623</v>
      </c>
    </row>
    <row r="16" spans="1:23">
      <c r="A16" s="20">
        <v>2013</v>
      </c>
      <c r="B16" s="71">
        <f>'4D'!B16/'4D'!$B16*100</f>
        <v>100</v>
      </c>
      <c r="C16" s="71">
        <f>'4D'!C16/'4D'!$B16*100</f>
        <v>0.62128699166262791</v>
      </c>
      <c r="D16" s="71">
        <f>'4D'!D16/'4D'!$B16*100</f>
        <v>5.8581026719647065E-2</v>
      </c>
      <c r="E16" s="71" t="s">
        <v>9</v>
      </c>
      <c r="F16" s="71">
        <f>'4D'!F16/'4D'!$B16*100</f>
        <v>5.8102535252858812E-4</v>
      </c>
      <c r="G16" s="71">
        <f>'4D'!G16/'4D'!$B16*100</f>
        <v>5.6991751490671802E-2</v>
      </c>
      <c r="H16" s="71">
        <f>'4D'!H16/'4D'!$B16*100</f>
        <v>0.2625721924000517</v>
      </c>
      <c r="I16" s="71">
        <f>'4D'!I16/'4D'!$B16*100</f>
        <v>4.9899824393631685E-2</v>
      </c>
      <c r="J16" s="71">
        <f>'4D'!J16/'4D'!$B16*100</f>
        <v>4.6071892659325694E-2</v>
      </c>
      <c r="K16" s="71">
        <f>'4D'!K16/'4D'!$B16*100</f>
        <v>0.1666004753470943</v>
      </c>
      <c r="L16" s="71">
        <f>'4D'!L16/'4D'!$B16*100</f>
        <v>0.30013377254292922</v>
      </c>
      <c r="M16" s="71">
        <f>'4D'!M16/'4D'!$B16*100</f>
        <v>8.4932235354914218E-2</v>
      </c>
      <c r="N16" s="71">
        <f>'4D'!N16/'4D'!$B16*100</f>
        <v>0.21520153718801502</v>
      </c>
      <c r="P16" s="3">
        <v>2012</v>
      </c>
      <c r="Q16" s="3">
        <f t="shared" si="0"/>
        <v>0</v>
      </c>
      <c r="R16" s="3">
        <f t="shared" si="0"/>
        <v>-6.0796334577421174</v>
      </c>
      <c r="S16" s="3">
        <f t="shared" si="0"/>
        <v>-6.088509264922215</v>
      </c>
      <c r="T16" s="3">
        <f t="shared" si="1"/>
        <v>-0.88816614696592966</v>
      </c>
      <c r="U16" s="3">
        <f t="shared" si="2"/>
        <v>-10.141606108161593</v>
      </c>
      <c r="V16" s="3">
        <f t="shared" si="2"/>
        <v>-17.34409592660522</v>
      </c>
      <c r="W16" s="3">
        <f t="shared" si="2"/>
        <v>-7.3624080415827358</v>
      </c>
    </row>
    <row r="17" spans="1:23">
      <c r="A17" s="5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23">
      <c r="A18" s="5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23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N19" s="460"/>
      <c r="Q19" s="3" t="s">
        <v>27</v>
      </c>
    </row>
    <row r="20" spans="1:23" ht="30">
      <c r="A20" s="67" t="s">
        <v>71</v>
      </c>
      <c r="B20" s="13">
        <f>((B10/B4)^(1/6)-1)*100</f>
        <v>0</v>
      </c>
      <c r="C20" s="13">
        <f t="shared" ref="C20:N20" si="3">((C10/C4)^(1/6)-1)*100</f>
        <v>-5.367994591671021</v>
      </c>
      <c r="D20" s="13">
        <f t="shared" si="3"/>
        <v>-6.594929833147356</v>
      </c>
      <c r="E20" s="62" t="s">
        <v>10</v>
      </c>
      <c r="F20" s="13">
        <f t="shared" si="3"/>
        <v>12.168572746476269</v>
      </c>
      <c r="G20" s="13">
        <f t="shared" si="3"/>
        <v>-7.1081012841031193</v>
      </c>
      <c r="H20" s="13">
        <f t="shared" si="3"/>
        <v>-4.303090275151245</v>
      </c>
      <c r="I20" s="13">
        <f t="shared" si="3"/>
        <v>-8.407153890551422</v>
      </c>
      <c r="J20" s="13">
        <f t="shared" si="3"/>
        <v>-1.7757297953988727</v>
      </c>
      <c r="K20" s="13">
        <f t="shared" si="3"/>
        <v>-3.0987489157337289</v>
      </c>
      <c r="L20" s="13">
        <f t="shared" si="3"/>
        <v>-6.0193341380765597</v>
      </c>
      <c r="M20" s="13">
        <f t="shared" si="3"/>
        <v>-10.024974695890943</v>
      </c>
      <c r="N20" s="13">
        <f t="shared" si="3"/>
        <v>-3.5037109925899257</v>
      </c>
      <c r="P20" s="3">
        <v>1999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  <c r="W20" s="3" t="e">
        <f>#REF!/#REF!</f>
        <v>#REF!</v>
      </c>
    </row>
    <row r="21" spans="1:23" ht="30">
      <c r="A21" s="67" t="s">
        <v>69</v>
      </c>
      <c r="B21" s="13">
        <f>((B16/B10)^(1/6)-1)*100</f>
        <v>0</v>
      </c>
      <c r="C21" s="13">
        <f t="shared" ref="C21:N21" si="4">((C16/C10)^(1/6)-1)*100</f>
        <v>-7.9421344875903133</v>
      </c>
      <c r="D21" s="13">
        <f t="shared" si="4"/>
        <v>-7.709788220599445</v>
      </c>
      <c r="E21" s="62" t="s">
        <v>10</v>
      </c>
      <c r="F21" s="13">
        <f t="shared" si="4"/>
        <v>-23.586785796898756</v>
      </c>
      <c r="G21" s="13">
        <f t="shared" si="4"/>
        <v>-7.3503161654236209</v>
      </c>
      <c r="H21" s="13">
        <f t="shared" si="4"/>
        <v>-8.1502526259995776</v>
      </c>
      <c r="I21" s="13">
        <f t="shared" si="4"/>
        <v>-11.611273350707529</v>
      </c>
      <c r="J21" s="13">
        <f t="shared" si="4"/>
        <v>-12.446051168372097</v>
      </c>
      <c r="K21" s="13">
        <f t="shared" si="4"/>
        <v>-5.2575631689252944</v>
      </c>
      <c r="L21" s="13">
        <f t="shared" si="4"/>
        <v>-7.8028301317996647</v>
      </c>
      <c r="M21" s="13">
        <f t="shared" si="4"/>
        <v>-10.098151073985273</v>
      </c>
      <c r="N21" s="13">
        <f t="shared" si="4"/>
        <v>-6.7734064254852395</v>
      </c>
      <c r="P21" s="3">
        <v>2000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  <c r="W21" s="3" t="e">
        <f>#REF!/#REF!</f>
        <v>#REF!</v>
      </c>
    </row>
    <row r="22" spans="1:23" ht="30">
      <c r="A22" s="67" t="s">
        <v>72</v>
      </c>
      <c r="B22" s="13">
        <f>((B16/B4)^(1/12)-1)*100</f>
        <v>0</v>
      </c>
      <c r="C22" s="13">
        <f t="shared" ref="C22:N22" si="5">((C16/C4)^(1/12)-1)*100</f>
        <v>-6.6639382283054776</v>
      </c>
      <c r="D22" s="13">
        <f t="shared" si="5"/>
        <v>-7.1540323602117928</v>
      </c>
      <c r="E22" s="62" t="s">
        <v>10</v>
      </c>
      <c r="F22" s="13">
        <f t="shared" si="5"/>
        <v>-7.4194341336550558</v>
      </c>
      <c r="G22" s="13">
        <f t="shared" si="5"/>
        <v>-7.2292877745280144</v>
      </c>
      <c r="H22" s="13">
        <f t="shared" si="5"/>
        <v>-6.246402827945408</v>
      </c>
      <c r="I22" s="13">
        <f t="shared" si="5"/>
        <v>-10.023475073779597</v>
      </c>
      <c r="J22" s="13">
        <f t="shared" si="5"/>
        <v>-7.2642316712820847</v>
      </c>
      <c r="K22" s="13">
        <f t="shared" si="5"/>
        <v>-4.1842358497141241</v>
      </c>
      <c r="L22" s="13">
        <f t="shared" si="5"/>
        <v>-6.9153534958727452</v>
      </c>
      <c r="M22" s="13">
        <f t="shared" si="5"/>
        <v>-10.061570327226832</v>
      </c>
      <c r="N22" s="13">
        <f t="shared" si="5"/>
        <v>-5.1526472865861432</v>
      </c>
      <c r="P22" s="3">
        <v>2001</v>
      </c>
      <c r="Q22" s="3" t="e">
        <f>B4/#REF!</f>
        <v>#REF!</v>
      </c>
      <c r="R22" s="3" t="e">
        <f>C4/#REF!</f>
        <v>#REF!</v>
      </c>
      <c r="S22" s="3" t="e">
        <f>D4/#REF!</f>
        <v>#REF!</v>
      </c>
      <c r="T22" s="3" t="e">
        <f>H4/#REF!</f>
        <v>#REF!</v>
      </c>
      <c r="U22" s="3" t="e">
        <f>L4/#REF!</f>
        <v>#REF!</v>
      </c>
      <c r="V22" s="3" t="e">
        <f>M4/#REF!</f>
        <v>#REF!</v>
      </c>
      <c r="W22" s="3" t="e">
        <f>N4/#REF!</f>
        <v>#REF!</v>
      </c>
    </row>
    <row r="23" spans="1:23">
      <c r="P23" s="3">
        <v>2002</v>
      </c>
      <c r="Q23" s="3" t="e">
        <f>B5/#REF!</f>
        <v>#REF!</v>
      </c>
      <c r="R23" s="3" t="e">
        <f>C5/#REF!</f>
        <v>#REF!</v>
      </c>
      <c r="S23" s="3" t="e">
        <f>D5/#REF!</f>
        <v>#REF!</v>
      </c>
      <c r="T23" s="3" t="e">
        <f>H5/#REF!</f>
        <v>#REF!</v>
      </c>
      <c r="U23" s="3" t="e">
        <f>L5/#REF!</f>
        <v>#REF!</v>
      </c>
      <c r="V23" s="3" t="e">
        <f>M5/#REF!</f>
        <v>#REF!</v>
      </c>
      <c r="W23" s="3" t="e">
        <f>N5/#REF!</f>
        <v>#REF!</v>
      </c>
    </row>
    <row r="24" spans="1:23">
      <c r="A24" s="237" t="s">
        <v>317</v>
      </c>
      <c r="P24" s="3">
        <v>2003</v>
      </c>
      <c r="Q24" s="3" t="e">
        <f>B6/#REF!</f>
        <v>#REF!</v>
      </c>
      <c r="R24" s="3" t="e">
        <f>C6/#REF!</f>
        <v>#REF!</v>
      </c>
      <c r="S24" s="3" t="e">
        <f>D6/#REF!</f>
        <v>#REF!</v>
      </c>
      <c r="T24" s="3" t="e">
        <f>H6/#REF!</f>
        <v>#REF!</v>
      </c>
      <c r="U24" s="3" t="e">
        <f>L6/#REF!</f>
        <v>#REF!</v>
      </c>
      <c r="V24" s="3" t="e">
        <f>M6/#REF!</f>
        <v>#REF!</v>
      </c>
      <c r="W24" s="3" t="e">
        <f>N6/#REF!</f>
        <v>#REF!</v>
      </c>
    </row>
    <row r="25" spans="1:23">
      <c r="A25" s="59"/>
      <c r="P25" s="3">
        <v>2004</v>
      </c>
      <c r="Q25" s="3" t="e">
        <f>B7/#REF!</f>
        <v>#REF!</v>
      </c>
      <c r="R25" s="3" t="e">
        <f>C7/#REF!</f>
        <v>#REF!</v>
      </c>
      <c r="S25" s="3" t="e">
        <f>D7/#REF!</f>
        <v>#REF!</v>
      </c>
      <c r="T25" s="3" t="e">
        <f>H7/#REF!</f>
        <v>#REF!</v>
      </c>
      <c r="U25" s="3" t="e">
        <f>L7/#REF!</f>
        <v>#REF!</v>
      </c>
      <c r="V25" s="3" t="e">
        <f>M7/#REF!</f>
        <v>#REF!</v>
      </c>
      <c r="W25" s="3" t="e">
        <f>N7/#REF!</f>
        <v>#REF!</v>
      </c>
    </row>
    <row r="26" spans="1:23">
      <c r="P26" s="3">
        <v>2005</v>
      </c>
      <c r="Q26" s="3" t="e">
        <f>B8/#REF!</f>
        <v>#REF!</v>
      </c>
      <c r="R26" s="3" t="e">
        <f>C8/#REF!</f>
        <v>#REF!</v>
      </c>
      <c r="S26" s="3" t="e">
        <f>D8/#REF!</f>
        <v>#REF!</v>
      </c>
      <c r="T26" s="3" t="e">
        <f>H8/#REF!</f>
        <v>#REF!</v>
      </c>
      <c r="U26" s="3" t="e">
        <f>L8/#REF!</f>
        <v>#REF!</v>
      </c>
      <c r="V26" s="3" t="e">
        <f>M8/#REF!</f>
        <v>#REF!</v>
      </c>
      <c r="W26" s="3" t="e">
        <f>N8/#REF!</f>
        <v>#REF!</v>
      </c>
    </row>
    <row r="27" spans="1:23">
      <c r="P27" s="3">
        <v>2006</v>
      </c>
      <c r="Q27" s="3" t="e">
        <f>B9/#REF!</f>
        <v>#REF!</v>
      </c>
      <c r="R27" s="3" t="e">
        <f>C9/#REF!</f>
        <v>#REF!</v>
      </c>
      <c r="S27" s="3" t="e">
        <f>D9/#REF!</f>
        <v>#REF!</v>
      </c>
      <c r="T27" s="3" t="e">
        <f>H9/#REF!</f>
        <v>#REF!</v>
      </c>
      <c r="U27" s="3" t="e">
        <f>L9/#REF!</f>
        <v>#REF!</v>
      </c>
      <c r="V27" s="3" t="e">
        <f>M9/#REF!</f>
        <v>#REF!</v>
      </c>
      <c r="W27" s="3" t="e">
        <f>N9/#REF!</f>
        <v>#REF!</v>
      </c>
    </row>
    <row r="28" spans="1:23">
      <c r="P28" s="3">
        <v>2007</v>
      </c>
      <c r="Q28" s="3" t="e">
        <f>B10/#REF!</f>
        <v>#REF!</v>
      </c>
      <c r="R28" s="3" t="e">
        <f>C10/#REF!</f>
        <v>#REF!</v>
      </c>
      <c r="S28" s="3" t="e">
        <f>D10/#REF!</f>
        <v>#REF!</v>
      </c>
      <c r="T28" s="3" t="e">
        <f>H10/#REF!</f>
        <v>#REF!</v>
      </c>
      <c r="U28" s="3" t="e">
        <f>L10/#REF!</f>
        <v>#REF!</v>
      </c>
      <c r="V28" s="3" t="e">
        <f>M10/#REF!</f>
        <v>#REF!</v>
      </c>
      <c r="W28" s="3" t="e">
        <f>N10/#REF!</f>
        <v>#REF!</v>
      </c>
    </row>
    <row r="29" spans="1:23">
      <c r="P29" s="3">
        <v>2008</v>
      </c>
      <c r="Q29" s="3" t="e">
        <f>B11/#REF!</f>
        <v>#REF!</v>
      </c>
      <c r="R29" s="3" t="e">
        <f>C11/#REF!</f>
        <v>#REF!</v>
      </c>
      <c r="S29" s="3" t="e">
        <f>D11/#REF!</f>
        <v>#REF!</v>
      </c>
      <c r="T29" s="3" t="e">
        <f>H11/#REF!</f>
        <v>#REF!</v>
      </c>
      <c r="U29" s="3" t="e">
        <f>L11/#REF!</f>
        <v>#REF!</v>
      </c>
      <c r="V29" s="3" t="e">
        <f>M11/#REF!</f>
        <v>#REF!</v>
      </c>
      <c r="W29" s="3" t="e">
        <f>N11/#REF!</f>
        <v>#REF!</v>
      </c>
    </row>
    <row r="30" spans="1:23">
      <c r="P30" s="3">
        <v>2009</v>
      </c>
      <c r="Q30" s="3" t="e">
        <f>B12/#REF!</f>
        <v>#REF!</v>
      </c>
      <c r="R30" s="3" t="e">
        <f>C12/#REF!</f>
        <v>#REF!</v>
      </c>
      <c r="S30" s="3" t="e">
        <f>D12/#REF!</f>
        <v>#REF!</v>
      </c>
      <c r="T30" s="3" t="e">
        <f>H12/#REF!</f>
        <v>#REF!</v>
      </c>
      <c r="U30" s="3" t="e">
        <f>L12/#REF!</f>
        <v>#REF!</v>
      </c>
      <c r="V30" s="3" t="e">
        <f>M12/#REF!</f>
        <v>#REF!</v>
      </c>
      <c r="W30" s="3" t="e">
        <f>N12/#REF!</f>
        <v>#REF!</v>
      </c>
    </row>
    <row r="31" spans="1:23">
      <c r="P31" s="3">
        <v>2010</v>
      </c>
      <c r="Q31" s="3" t="e">
        <f>B13/#REF!</f>
        <v>#REF!</v>
      </c>
      <c r="R31" s="3" t="e">
        <f>C13/#REF!</f>
        <v>#REF!</v>
      </c>
      <c r="S31" s="3" t="e">
        <f>D13/#REF!</f>
        <v>#REF!</v>
      </c>
      <c r="T31" s="3" t="e">
        <f>H13/#REF!</f>
        <v>#REF!</v>
      </c>
      <c r="U31" s="3" t="e">
        <f>L13/#REF!</f>
        <v>#REF!</v>
      </c>
      <c r="V31" s="3" t="e">
        <f>M13/#REF!</f>
        <v>#REF!</v>
      </c>
      <c r="W31" s="3" t="e">
        <f>N13/#REF!</f>
        <v>#REF!</v>
      </c>
    </row>
    <row r="32" spans="1:23">
      <c r="P32" s="3">
        <v>2011</v>
      </c>
      <c r="Q32" s="3" t="e">
        <f>B14/#REF!</f>
        <v>#REF!</v>
      </c>
      <c r="R32" s="3" t="e">
        <f>C14/#REF!</f>
        <v>#REF!</v>
      </c>
      <c r="S32" s="3" t="e">
        <f>D14/#REF!</f>
        <v>#REF!</v>
      </c>
      <c r="T32" s="3" t="e">
        <f>H14/#REF!</f>
        <v>#REF!</v>
      </c>
      <c r="U32" s="3" t="e">
        <f>L14/#REF!</f>
        <v>#REF!</v>
      </c>
      <c r="V32" s="3" t="e">
        <f>M14/#REF!</f>
        <v>#REF!</v>
      </c>
      <c r="W32" s="3" t="e">
        <f>N14/#REF!</f>
        <v>#REF!</v>
      </c>
    </row>
    <row r="33" spans="16:23">
      <c r="P33" s="3">
        <v>2012</v>
      </c>
      <c r="Q33" s="3" t="e">
        <f>B15/#REF!</f>
        <v>#REF!</v>
      </c>
      <c r="R33" s="3" t="e">
        <f>C15/#REF!</f>
        <v>#REF!</v>
      </c>
      <c r="S33" s="3" t="e">
        <f>D15/#REF!</f>
        <v>#REF!</v>
      </c>
      <c r="T33" s="3" t="e">
        <f>H15/#REF!</f>
        <v>#REF!</v>
      </c>
      <c r="U33" s="3" t="e">
        <f>L15/#REF!</f>
        <v>#REF!</v>
      </c>
      <c r="V33" s="3" t="e">
        <f>M15/#REF!</f>
        <v>#REF!</v>
      </c>
      <c r="W33" s="3" t="e">
        <f>N15/#REF!</f>
        <v>#REF!</v>
      </c>
    </row>
  </sheetData>
  <mergeCells count="2">
    <mergeCell ref="A1:N1"/>
    <mergeCell ref="A19:N19"/>
  </mergeCells>
  <printOptions gridLines="1"/>
  <pageMargins left="0.7" right="0.7" top="0.75" bottom="0.75" header="0.3" footer="0.3"/>
  <pageSetup scale="67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3" style="3" customWidth="1"/>
    <col min="3" max="3" width="12.85546875" style="3" customWidth="1"/>
    <col min="4" max="4" width="9.28515625" style="3" bestFit="1" customWidth="1"/>
    <col min="5" max="7" width="9.28515625" style="3" customWidth="1"/>
    <col min="8" max="8" width="9.28515625" style="3" bestFit="1" customWidth="1"/>
    <col min="9" max="11" width="9.28515625" style="3" customWidth="1"/>
    <col min="12" max="14" width="9.28515625" style="3" bestFit="1" customWidth="1"/>
    <col min="15" max="42" width="9.28515625" style="3" customWidth="1"/>
    <col min="43" max="43" width="9.140625" style="3"/>
    <col min="44" max="45" width="9.28515625" style="3" hidden="1" customWidth="1"/>
    <col min="46" max="46" width="14.7109375" style="3" hidden="1" customWidth="1"/>
    <col min="47" max="51" width="9.28515625" style="3" hidden="1" customWidth="1"/>
    <col min="52" max="54" width="0" style="3" hidden="1" customWidth="1"/>
    <col min="55" max="16384" width="9.140625" style="3"/>
  </cols>
  <sheetData>
    <row r="1" spans="1:51">
      <c r="A1" s="460" t="s">
        <v>182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G1" s="460"/>
      <c r="AH1" s="460"/>
      <c r="AI1" s="460"/>
      <c r="AJ1" s="460"/>
      <c r="AK1" s="460"/>
      <c r="AL1" s="460"/>
      <c r="AM1" s="460"/>
      <c r="AN1" s="67"/>
      <c r="AO1" s="67"/>
      <c r="AP1" s="67"/>
    </row>
    <row r="2" spans="1:51">
      <c r="A2" s="67"/>
      <c r="B2" s="460" t="s">
        <v>75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 t="s">
        <v>153</v>
      </c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 t="s">
        <v>154</v>
      </c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67"/>
      <c r="AP2" s="67"/>
    </row>
    <row r="3" spans="1:51" ht="15" customHeight="1">
      <c r="A3" s="117"/>
      <c r="B3" s="460" t="s">
        <v>2</v>
      </c>
      <c r="C3" s="460" t="s">
        <v>8</v>
      </c>
      <c r="D3" s="460" t="s">
        <v>157</v>
      </c>
      <c r="E3" s="460"/>
      <c r="F3" s="460"/>
      <c r="G3" s="460"/>
      <c r="H3" s="460" t="s">
        <v>4</v>
      </c>
      <c r="I3" s="460"/>
      <c r="J3" s="460"/>
      <c r="K3" s="460"/>
      <c r="L3" s="460" t="s">
        <v>5</v>
      </c>
      <c r="M3" s="460"/>
      <c r="N3" s="460"/>
      <c r="O3" s="460" t="s">
        <v>2</v>
      </c>
      <c r="P3" s="460" t="s">
        <v>8</v>
      </c>
      <c r="Q3" s="460" t="s">
        <v>3</v>
      </c>
      <c r="R3" s="460"/>
      <c r="S3" s="460"/>
      <c r="T3" s="460"/>
      <c r="U3" s="460" t="s">
        <v>4</v>
      </c>
      <c r="V3" s="460"/>
      <c r="W3" s="460"/>
      <c r="X3" s="460"/>
      <c r="Y3" s="460" t="s">
        <v>5</v>
      </c>
      <c r="Z3" s="460"/>
      <c r="AA3" s="460"/>
      <c r="AB3" s="460" t="s">
        <v>2</v>
      </c>
      <c r="AC3" s="460" t="s">
        <v>8</v>
      </c>
      <c r="AD3" s="460" t="s">
        <v>3</v>
      </c>
      <c r="AE3" s="460"/>
      <c r="AF3" s="460"/>
      <c r="AG3" s="460"/>
      <c r="AH3" s="460" t="s">
        <v>4</v>
      </c>
      <c r="AI3" s="460"/>
      <c r="AJ3" s="460"/>
      <c r="AK3" s="460"/>
      <c r="AL3" s="460" t="s">
        <v>5</v>
      </c>
      <c r="AM3" s="460"/>
      <c r="AN3" s="460"/>
      <c r="AO3" s="117"/>
      <c r="AP3" s="117"/>
    </row>
    <row r="4" spans="1:51" ht="135">
      <c r="A4" s="67"/>
      <c r="B4" s="460"/>
      <c r="C4" s="460"/>
      <c r="D4" s="67" t="s">
        <v>20</v>
      </c>
      <c r="E4" s="54" t="s">
        <v>63</v>
      </c>
      <c r="F4" s="54" t="s">
        <v>64</v>
      </c>
      <c r="G4" s="54" t="s">
        <v>65</v>
      </c>
      <c r="H4" s="67" t="s">
        <v>4</v>
      </c>
      <c r="I4" s="66" t="s">
        <v>36</v>
      </c>
      <c r="J4" s="66" t="s">
        <v>37</v>
      </c>
      <c r="K4" s="66" t="s">
        <v>38</v>
      </c>
      <c r="L4" s="67" t="s">
        <v>5</v>
      </c>
      <c r="M4" s="67" t="s">
        <v>6</v>
      </c>
      <c r="N4" s="67" t="s">
        <v>7</v>
      </c>
      <c r="O4" s="460"/>
      <c r="P4" s="460"/>
      <c r="Q4" s="67" t="s">
        <v>20</v>
      </c>
      <c r="R4" s="54" t="s">
        <v>63</v>
      </c>
      <c r="S4" s="54" t="s">
        <v>64</v>
      </c>
      <c r="T4" s="54" t="s">
        <v>65</v>
      </c>
      <c r="U4" s="67" t="s">
        <v>4</v>
      </c>
      <c r="V4" s="66" t="s">
        <v>36</v>
      </c>
      <c r="W4" s="66" t="s">
        <v>37</v>
      </c>
      <c r="X4" s="66" t="s">
        <v>38</v>
      </c>
      <c r="Y4" s="67" t="s">
        <v>5</v>
      </c>
      <c r="Z4" s="67" t="s">
        <v>6</v>
      </c>
      <c r="AA4" s="67" t="s">
        <v>7</v>
      </c>
      <c r="AB4" s="460"/>
      <c r="AC4" s="460"/>
      <c r="AD4" s="67" t="s">
        <v>20</v>
      </c>
      <c r="AE4" s="54" t="s">
        <v>63</v>
      </c>
      <c r="AF4" s="54" t="s">
        <v>64</v>
      </c>
      <c r="AG4" s="54" t="s">
        <v>65</v>
      </c>
      <c r="AH4" s="67" t="s">
        <v>4</v>
      </c>
      <c r="AI4" s="66" t="s">
        <v>36</v>
      </c>
      <c r="AJ4" s="66" t="s">
        <v>37</v>
      </c>
      <c r="AK4" s="66" t="s">
        <v>38</v>
      </c>
      <c r="AL4" s="67" t="s">
        <v>5</v>
      </c>
      <c r="AM4" s="67" t="s">
        <v>6</v>
      </c>
      <c r="AN4" s="67" t="s">
        <v>7</v>
      </c>
      <c r="AO4" s="67"/>
      <c r="AP4" s="67"/>
    </row>
    <row r="5" spans="1:51">
      <c r="A5" s="67"/>
      <c r="B5" s="13"/>
      <c r="C5" s="13"/>
    </row>
    <row r="6" spans="1:51">
      <c r="A6" s="20">
        <v>2001</v>
      </c>
      <c r="B6" s="25">
        <v>3059149</v>
      </c>
      <c r="C6" s="8">
        <f>D6+H6+L6</f>
        <v>88347</v>
      </c>
      <c r="D6" s="25">
        <v>14179</v>
      </c>
      <c r="E6" s="25" t="s">
        <v>9</v>
      </c>
      <c r="F6" s="25" t="s">
        <v>9</v>
      </c>
      <c r="G6" s="25">
        <v>13035</v>
      </c>
      <c r="H6" s="25">
        <v>40324</v>
      </c>
      <c r="I6" s="25">
        <v>20061</v>
      </c>
      <c r="J6" s="25">
        <v>6535</v>
      </c>
      <c r="K6" s="25">
        <v>13728</v>
      </c>
      <c r="L6" s="25">
        <v>33844</v>
      </c>
      <c r="M6" s="25">
        <v>20102</v>
      </c>
      <c r="N6" s="25">
        <v>13742</v>
      </c>
      <c r="O6" s="25" t="s">
        <v>10</v>
      </c>
      <c r="P6" s="25">
        <f>Q6+U6+Y6</f>
        <v>18215</v>
      </c>
      <c r="Q6" s="25">
        <v>2789</v>
      </c>
      <c r="R6" s="25" t="s">
        <v>10</v>
      </c>
      <c r="S6" s="25" t="s">
        <v>10</v>
      </c>
      <c r="T6" s="25">
        <v>2512</v>
      </c>
      <c r="U6" s="25">
        <v>6153</v>
      </c>
      <c r="V6" s="25">
        <v>3209</v>
      </c>
      <c r="W6" s="25">
        <v>927</v>
      </c>
      <c r="X6" s="25">
        <v>2017</v>
      </c>
      <c r="Y6" s="25">
        <v>9273</v>
      </c>
      <c r="Z6" s="25">
        <v>5749</v>
      </c>
      <c r="AA6" s="25" t="s">
        <v>10</v>
      </c>
      <c r="AB6" s="25" t="s">
        <v>10</v>
      </c>
      <c r="AC6" s="25">
        <f t="shared" ref="AC6:AC13" si="0">AD6+AH6+AL6</f>
        <v>62842</v>
      </c>
      <c r="AD6" s="25">
        <v>8315</v>
      </c>
      <c r="AE6" s="25" t="s">
        <v>10</v>
      </c>
      <c r="AF6" s="25" t="s">
        <v>10</v>
      </c>
      <c r="AG6" s="25">
        <v>7593</v>
      </c>
      <c r="AH6" s="25">
        <v>30880</v>
      </c>
      <c r="AI6" s="25">
        <v>15443</v>
      </c>
      <c r="AJ6" s="25">
        <v>4831</v>
      </c>
      <c r="AK6" s="25">
        <v>10606</v>
      </c>
      <c r="AL6" s="25">
        <v>23647</v>
      </c>
      <c r="AM6" s="25">
        <v>13726</v>
      </c>
      <c r="AN6" s="25" t="s">
        <v>10</v>
      </c>
      <c r="AO6" s="25"/>
      <c r="AP6" s="25"/>
      <c r="AR6" s="3">
        <v>2000</v>
      </c>
      <c r="AS6" s="3" t="e">
        <f>((#REF!/#REF!)-1)*100</f>
        <v>#REF!</v>
      </c>
      <c r="AT6" s="3" t="e">
        <f>((#REF!/#REF!)-1)*100</f>
        <v>#REF!</v>
      </c>
      <c r="AU6" s="3" t="e">
        <f>((#REF!/#REF!)-1)*100</f>
        <v>#REF!</v>
      </c>
      <c r="AV6" s="3" t="e">
        <f>((#REF!/#REF!)-1)*100</f>
        <v>#REF!</v>
      </c>
      <c r="AW6" s="3" t="e">
        <f>((#REF!/#REF!)-1)*100</f>
        <v>#REF!</v>
      </c>
      <c r="AX6" s="3" t="e">
        <f>((#REF!/#REF!)-1)*100</f>
        <v>#REF!</v>
      </c>
      <c r="AY6" s="3" t="e">
        <f>((#REF!/#REF!)-1)*100</f>
        <v>#REF!</v>
      </c>
    </row>
    <row r="7" spans="1:51">
      <c r="A7" s="20">
        <v>2002</v>
      </c>
      <c r="B7" s="25">
        <v>3104776</v>
      </c>
      <c r="C7" s="8">
        <f t="shared" ref="C7:C18" si="1">D7+H7+L7</f>
        <v>84962</v>
      </c>
      <c r="D7" s="25">
        <v>13461</v>
      </c>
      <c r="E7" s="25">
        <v>372</v>
      </c>
      <c r="F7" s="25" t="s">
        <v>9</v>
      </c>
      <c r="G7" s="25">
        <v>12809</v>
      </c>
      <c r="H7" s="25">
        <v>39755</v>
      </c>
      <c r="I7" s="25">
        <v>18502</v>
      </c>
      <c r="J7" s="25">
        <v>7021</v>
      </c>
      <c r="K7" s="25">
        <v>14232</v>
      </c>
      <c r="L7" s="25">
        <v>31746</v>
      </c>
      <c r="M7" s="25">
        <v>18252</v>
      </c>
      <c r="N7" s="25">
        <v>13494</v>
      </c>
      <c r="O7" s="25" t="s">
        <v>10</v>
      </c>
      <c r="P7" s="25">
        <f t="shared" ref="P7:P16" si="2">Q7+U7+Y7</f>
        <v>15843</v>
      </c>
      <c r="Q7" s="25">
        <v>2435</v>
      </c>
      <c r="R7" s="25" t="s">
        <v>10</v>
      </c>
      <c r="S7" s="25" t="s">
        <v>10</v>
      </c>
      <c r="T7" s="25">
        <v>2291</v>
      </c>
      <c r="U7" s="25">
        <v>5320</v>
      </c>
      <c r="V7" s="25">
        <v>2294</v>
      </c>
      <c r="W7" s="25">
        <v>952</v>
      </c>
      <c r="X7" s="25">
        <v>2074</v>
      </c>
      <c r="Y7" s="25">
        <v>8088</v>
      </c>
      <c r="Z7" s="25">
        <v>4800</v>
      </c>
      <c r="AA7" s="25" t="s">
        <v>10</v>
      </c>
      <c r="AB7" s="25" t="s">
        <v>10</v>
      </c>
      <c r="AC7" s="25">
        <f t="shared" si="0"/>
        <v>63725</v>
      </c>
      <c r="AD7" s="25">
        <v>8451</v>
      </c>
      <c r="AE7" s="25" t="s">
        <v>10</v>
      </c>
      <c r="AF7" s="25" t="s">
        <v>10</v>
      </c>
      <c r="AG7" s="25">
        <v>8026</v>
      </c>
      <c r="AH7" s="25">
        <v>32911</v>
      </c>
      <c r="AI7" s="25">
        <v>15526</v>
      </c>
      <c r="AJ7" s="25">
        <v>5786</v>
      </c>
      <c r="AK7" s="25">
        <v>11599</v>
      </c>
      <c r="AL7" s="25">
        <v>22363</v>
      </c>
      <c r="AM7" s="25">
        <v>12400</v>
      </c>
      <c r="AN7" s="25" t="s">
        <v>10</v>
      </c>
      <c r="AO7" s="25"/>
      <c r="AP7" s="25"/>
      <c r="AR7" s="3">
        <v>2001</v>
      </c>
      <c r="AS7" s="3" t="e">
        <f>((B6/#REF!)-1)*100</f>
        <v>#REF!</v>
      </c>
      <c r="AT7" s="3" t="e">
        <f>((C6/#REF!)-1)*100</f>
        <v>#REF!</v>
      </c>
      <c r="AU7" s="3" t="e">
        <f>((D7/#REF!)-1)*100</f>
        <v>#REF!</v>
      </c>
      <c r="AV7" s="3" t="e">
        <f>((I7/#REF!)-1)*100</f>
        <v>#REF!</v>
      </c>
      <c r="AW7" s="3" t="e">
        <f>((M7/#REF!)-1)*100</f>
        <v>#REF!</v>
      </c>
      <c r="AX7" s="3" t="e">
        <f>((N7/#REF!)-1)*100</f>
        <v>#REF!</v>
      </c>
      <c r="AY7" s="3" t="e">
        <f>((#REF!/#REF!)-1)*100</f>
        <v>#REF!</v>
      </c>
    </row>
    <row r="8" spans="1:51">
      <c r="A8" s="20">
        <v>2003</v>
      </c>
      <c r="B8" s="25">
        <v>3165586</v>
      </c>
      <c r="C8" s="8">
        <f t="shared" si="1"/>
        <v>88115</v>
      </c>
      <c r="D8" s="25">
        <v>14257</v>
      </c>
      <c r="E8" s="25">
        <v>226</v>
      </c>
      <c r="F8" s="25" t="s">
        <v>9</v>
      </c>
      <c r="G8" s="25">
        <v>12218</v>
      </c>
      <c r="H8" s="25">
        <v>42168</v>
      </c>
      <c r="I8" s="25">
        <v>17726</v>
      </c>
      <c r="J8" s="25">
        <v>7504</v>
      </c>
      <c r="K8" s="25">
        <v>16939</v>
      </c>
      <c r="L8" s="25">
        <v>31690</v>
      </c>
      <c r="M8" s="25">
        <v>18339</v>
      </c>
      <c r="N8" s="25">
        <v>13350</v>
      </c>
      <c r="O8" s="25" t="s">
        <v>10</v>
      </c>
      <c r="P8" s="25">
        <f t="shared" si="2"/>
        <v>15452</v>
      </c>
      <c r="Q8" s="25">
        <v>2511</v>
      </c>
      <c r="R8" s="25" t="s">
        <v>10</v>
      </c>
      <c r="S8" s="25" t="s">
        <v>10</v>
      </c>
      <c r="T8" s="25">
        <v>2147</v>
      </c>
      <c r="U8" s="25">
        <v>6274</v>
      </c>
      <c r="V8" s="25">
        <v>2418</v>
      </c>
      <c r="W8" s="25">
        <v>1116</v>
      </c>
      <c r="X8" s="25">
        <v>2740</v>
      </c>
      <c r="Y8" s="25">
        <v>6667</v>
      </c>
      <c r="Z8" s="25">
        <v>3964</v>
      </c>
      <c r="AA8" s="25" t="s">
        <v>10</v>
      </c>
      <c r="AB8" s="25" t="s">
        <v>10</v>
      </c>
      <c r="AC8" s="25">
        <f t="shared" si="0"/>
        <v>66133</v>
      </c>
      <c r="AD8" s="25">
        <v>8057</v>
      </c>
      <c r="AE8" s="25" t="s">
        <v>10</v>
      </c>
      <c r="AF8" s="25" t="s">
        <v>10</v>
      </c>
      <c r="AG8" s="25">
        <v>6690</v>
      </c>
      <c r="AH8" s="25">
        <v>33860</v>
      </c>
      <c r="AI8" s="25">
        <v>14340</v>
      </c>
      <c r="AJ8" s="25">
        <v>6128</v>
      </c>
      <c r="AK8" s="25">
        <v>13392</v>
      </c>
      <c r="AL8" s="25">
        <v>24216</v>
      </c>
      <c r="AM8" s="25">
        <v>13788</v>
      </c>
      <c r="AN8" s="25" t="s">
        <v>10</v>
      </c>
      <c r="AO8" s="25"/>
      <c r="AP8" s="25"/>
      <c r="AR8" s="3">
        <v>2002</v>
      </c>
      <c r="AS8" s="3">
        <f t="shared" ref="AS8:AT18" si="3">((B7/B6)-1)*100</f>
        <v>1.4914932224615374</v>
      </c>
      <c r="AT8" s="3">
        <f t="shared" si="3"/>
        <v>-3.8314826762651855</v>
      </c>
      <c r="AU8" s="3">
        <f t="shared" ref="AU8:AU18" si="4">((D8/D7)-1)*100</f>
        <v>5.9133793923185518</v>
      </c>
      <c r="AV8" s="3">
        <f t="shared" ref="AV8:AV18" si="5">((I8/I7)-1)*100</f>
        <v>-4.1941411739271466</v>
      </c>
      <c r="AW8" s="3">
        <f t="shared" ref="AW8:AX18" si="6">((M8/M7)-1)*100</f>
        <v>0.47666009204470061</v>
      </c>
      <c r="AX8" s="3">
        <f t="shared" si="6"/>
        <v>-1.067140951534018</v>
      </c>
      <c r="AY8" s="3" t="e">
        <f>((#REF!/#REF!)-1)*100</f>
        <v>#REF!</v>
      </c>
    </row>
    <row r="9" spans="1:51">
      <c r="A9" s="20">
        <v>2004</v>
      </c>
      <c r="B9" s="25">
        <v>3203929</v>
      </c>
      <c r="C9" s="8">
        <f t="shared" si="1"/>
        <v>88759</v>
      </c>
      <c r="D9" s="25">
        <v>14140</v>
      </c>
      <c r="E9" s="25">
        <v>210</v>
      </c>
      <c r="F9" s="25" t="s">
        <v>9</v>
      </c>
      <c r="G9" s="25">
        <v>11860</v>
      </c>
      <c r="H9" s="25">
        <v>44406</v>
      </c>
      <c r="I9" s="25">
        <v>18483</v>
      </c>
      <c r="J9" s="25">
        <v>8281</v>
      </c>
      <c r="K9" s="25">
        <v>17642</v>
      </c>
      <c r="L9" s="25">
        <v>30213</v>
      </c>
      <c r="M9" s="25">
        <v>17898</v>
      </c>
      <c r="N9" s="25">
        <v>12315</v>
      </c>
      <c r="O9" s="25" t="s">
        <v>10</v>
      </c>
      <c r="P9" s="25">
        <f t="shared" si="2"/>
        <v>16659</v>
      </c>
      <c r="Q9" s="25">
        <v>2507</v>
      </c>
      <c r="R9" s="25" t="s">
        <v>10</v>
      </c>
      <c r="S9" s="25" t="s">
        <v>10</v>
      </c>
      <c r="T9" s="25">
        <v>2100</v>
      </c>
      <c r="U9" s="25">
        <v>7804</v>
      </c>
      <c r="V9" s="25">
        <v>2977</v>
      </c>
      <c r="W9" s="25">
        <v>1455</v>
      </c>
      <c r="X9" s="25">
        <v>3373</v>
      </c>
      <c r="Y9" s="25">
        <v>6348</v>
      </c>
      <c r="Z9" s="25">
        <v>3856</v>
      </c>
      <c r="AA9" s="25" t="s">
        <v>10</v>
      </c>
      <c r="AB9" s="25" t="s">
        <v>10</v>
      </c>
      <c r="AC9" s="25">
        <f t="shared" si="0"/>
        <v>66641</v>
      </c>
      <c r="AD9" s="25">
        <v>8146</v>
      </c>
      <c r="AE9" s="25" t="s">
        <v>10</v>
      </c>
      <c r="AF9" s="25" t="s">
        <v>10</v>
      </c>
      <c r="AG9" s="25">
        <v>6567</v>
      </c>
      <c r="AH9" s="25">
        <v>35675</v>
      </c>
      <c r="AI9" s="25">
        <v>15064</v>
      </c>
      <c r="AJ9" s="25">
        <v>6704</v>
      </c>
      <c r="AK9" s="25">
        <v>13907</v>
      </c>
      <c r="AL9" s="25">
        <v>22820</v>
      </c>
      <c r="AM9" s="25">
        <v>13275</v>
      </c>
      <c r="AN9" s="25" t="s">
        <v>10</v>
      </c>
      <c r="AO9" s="25"/>
      <c r="AP9" s="25"/>
      <c r="AR9" s="3">
        <v>2003</v>
      </c>
      <c r="AS9" s="3">
        <f t="shared" si="3"/>
        <v>1.9585954026957175</v>
      </c>
      <c r="AT9" s="3">
        <f t="shared" si="3"/>
        <v>3.7110708316659302</v>
      </c>
      <c r="AU9" s="3">
        <f t="shared" si="4"/>
        <v>-0.82064950550606586</v>
      </c>
      <c r="AV9" s="3">
        <f t="shared" si="5"/>
        <v>4.2705630147805484</v>
      </c>
      <c r="AW9" s="3">
        <f t="shared" si="6"/>
        <v>-2.4047112710616769</v>
      </c>
      <c r="AX9" s="3">
        <f t="shared" si="6"/>
        <v>-7.7528089887640483</v>
      </c>
      <c r="AY9" s="3" t="e">
        <f>((#REF!/#REF!)-1)*100</f>
        <v>#REF!</v>
      </c>
    </row>
    <row r="10" spans="1:51">
      <c r="A10" s="20">
        <v>2005</v>
      </c>
      <c r="B10" s="25">
        <v>3242760</v>
      </c>
      <c r="C10" s="8">
        <f t="shared" si="1"/>
        <v>86647</v>
      </c>
      <c r="D10" s="25">
        <v>13644</v>
      </c>
      <c r="E10" s="25">
        <v>218</v>
      </c>
      <c r="F10" s="25" t="s">
        <v>9</v>
      </c>
      <c r="G10" s="25">
        <v>11380</v>
      </c>
      <c r="H10" s="25">
        <v>43297</v>
      </c>
      <c r="I10" s="25">
        <v>17882</v>
      </c>
      <c r="J10" s="25">
        <v>8214</v>
      </c>
      <c r="K10" s="25">
        <v>17201</v>
      </c>
      <c r="L10" s="25">
        <v>29706</v>
      </c>
      <c r="M10" s="25">
        <v>17206</v>
      </c>
      <c r="N10" s="25">
        <v>12500</v>
      </c>
      <c r="O10" s="25" t="s">
        <v>10</v>
      </c>
      <c r="P10" s="25">
        <f t="shared" si="2"/>
        <v>18488</v>
      </c>
      <c r="Q10" s="25">
        <v>2012</v>
      </c>
      <c r="R10" s="25" t="s">
        <v>10</v>
      </c>
      <c r="S10" s="25" t="s">
        <v>10</v>
      </c>
      <c r="T10" s="25">
        <v>1672</v>
      </c>
      <c r="U10" s="25">
        <v>8271</v>
      </c>
      <c r="V10" s="25">
        <v>3023</v>
      </c>
      <c r="W10" s="25">
        <v>1630</v>
      </c>
      <c r="X10" s="25">
        <v>3617</v>
      </c>
      <c r="Y10" s="25">
        <v>8205</v>
      </c>
      <c r="Z10" s="25">
        <v>4874</v>
      </c>
      <c r="AA10" s="25" t="s">
        <v>10</v>
      </c>
      <c r="AB10" s="25" t="s">
        <v>10</v>
      </c>
      <c r="AC10" s="25">
        <f t="shared" si="0"/>
        <v>64283</v>
      </c>
      <c r="AD10" s="25">
        <v>8568</v>
      </c>
      <c r="AE10" s="25" t="s">
        <v>10</v>
      </c>
      <c r="AF10" s="25" t="s">
        <v>10</v>
      </c>
      <c r="AG10" s="25">
        <v>6898</v>
      </c>
      <c r="AH10" s="25">
        <v>34621</v>
      </c>
      <c r="AI10" s="25">
        <v>14669</v>
      </c>
      <c r="AJ10" s="25">
        <v>6534</v>
      </c>
      <c r="AK10" s="25">
        <v>13418</v>
      </c>
      <c r="AL10" s="25">
        <v>21094</v>
      </c>
      <c r="AM10" s="25">
        <v>12035</v>
      </c>
      <c r="AN10" s="25" t="s">
        <v>10</v>
      </c>
      <c r="AO10" s="25"/>
      <c r="AP10" s="25"/>
      <c r="AR10" s="3">
        <v>2004</v>
      </c>
      <c r="AS10" s="3">
        <f t="shared" si="3"/>
        <v>1.2112449322179142</v>
      </c>
      <c r="AT10" s="3">
        <f t="shared" si="3"/>
        <v>0.73086307666119232</v>
      </c>
      <c r="AU10" s="3">
        <f t="shared" si="4"/>
        <v>-3.5077793493635046</v>
      </c>
      <c r="AV10" s="3">
        <f t="shared" si="5"/>
        <v>-3.2516366390737406</v>
      </c>
      <c r="AW10" s="3">
        <f t="shared" si="6"/>
        <v>-3.8663537825455396</v>
      </c>
      <c r="AX10" s="3">
        <f t="shared" si="6"/>
        <v>1.5022330491270885</v>
      </c>
      <c r="AY10" s="3" t="e">
        <f>((#REF!/#REF!)-1)*100</f>
        <v>#REF!</v>
      </c>
    </row>
    <row r="11" spans="1:51">
      <c r="A11" s="20">
        <v>2006</v>
      </c>
      <c r="B11" s="25">
        <v>3302532</v>
      </c>
      <c r="C11" s="8">
        <f t="shared" si="1"/>
        <v>82439</v>
      </c>
      <c r="D11" s="25">
        <v>13216</v>
      </c>
      <c r="E11" s="25">
        <v>215</v>
      </c>
      <c r="F11" s="25" t="s">
        <v>9</v>
      </c>
      <c r="G11" s="25">
        <v>10612</v>
      </c>
      <c r="H11" s="25">
        <v>41261</v>
      </c>
      <c r="I11" s="25">
        <v>16548</v>
      </c>
      <c r="J11" s="25">
        <v>8100</v>
      </c>
      <c r="K11" s="25">
        <v>16614</v>
      </c>
      <c r="L11" s="25">
        <v>27962</v>
      </c>
      <c r="M11" s="25">
        <v>16474</v>
      </c>
      <c r="N11" s="25">
        <v>11488</v>
      </c>
      <c r="O11" s="25" t="s">
        <v>10</v>
      </c>
      <c r="P11" s="25">
        <f t="shared" si="2"/>
        <v>19300</v>
      </c>
      <c r="Q11" s="25">
        <v>2730</v>
      </c>
      <c r="R11" s="25" t="s">
        <v>10</v>
      </c>
      <c r="S11" s="25" t="s">
        <v>10</v>
      </c>
      <c r="T11" s="25">
        <v>2339</v>
      </c>
      <c r="U11" s="25">
        <v>8218</v>
      </c>
      <c r="V11" s="25">
        <v>2949</v>
      </c>
      <c r="W11" s="25">
        <v>1584</v>
      </c>
      <c r="X11" s="25">
        <v>3684</v>
      </c>
      <c r="Y11" s="25">
        <v>8352</v>
      </c>
      <c r="Z11" s="25">
        <v>4985</v>
      </c>
      <c r="AA11" s="25" t="s">
        <v>10</v>
      </c>
      <c r="AB11" s="25" t="s">
        <v>10</v>
      </c>
      <c r="AC11" s="25">
        <f t="shared" si="0"/>
        <v>59302</v>
      </c>
      <c r="AD11" s="25">
        <v>8056</v>
      </c>
      <c r="AE11" s="25" t="s">
        <v>10</v>
      </c>
      <c r="AF11" s="25" t="s">
        <v>10</v>
      </c>
      <c r="AG11" s="25">
        <v>6132</v>
      </c>
      <c r="AH11" s="25">
        <v>32336</v>
      </c>
      <c r="AI11" s="25">
        <v>13324</v>
      </c>
      <c r="AJ11" s="25">
        <v>6333</v>
      </c>
      <c r="AK11" s="25">
        <v>12680</v>
      </c>
      <c r="AL11" s="25">
        <v>18910</v>
      </c>
      <c r="AM11" s="25">
        <v>11000</v>
      </c>
      <c r="AN11" s="25" t="s">
        <v>10</v>
      </c>
      <c r="AO11" s="25"/>
      <c r="AP11" s="25"/>
      <c r="AR11" s="3">
        <v>2005</v>
      </c>
      <c r="AS11" s="3">
        <f t="shared" si="3"/>
        <v>1.2119806649897757</v>
      </c>
      <c r="AT11" s="3">
        <f t="shared" si="3"/>
        <v>-2.3794770107820051</v>
      </c>
      <c r="AU11" s="3">
        <f t="shared" si="4"/>
        <v>-3.1369099970683045</v>
      </c>
      <c r="AV11" s="3">
        <f t="shared" si="5"/>
        <v>-7.460015658203778</v>
      </c>
      <c r="AW11" s="3">
        <f t="shared" si="6"/>
        <v>-4.2543298849238687</v>
      </c>
      <c r="AX11" s="3">
        <f t="shared" si="6"/>
        <v>-8.0960000000000036</v>
      </c>
      <c r="AY11" s="3" t="e">
        <f>((#REF!/#REF!)-1)*100</f>
        <v>#REF!</v>
      </c>
    </row>
    <row r="12" spans="1:51">
      <c r="A12" s="20">
        <v>2007</v>
      </c>
      <c r="B12" s="25">
        <v>3354311</v>
      </c>
      <c r="C12" s="8">
        <f t="shared" si="1"/>
        <v>75917</v>
      </c>
      <c r="D12" s="25">
        <v>11885</v>
      </c>
      <c r="E12" s="25">
        <v>186</v>
      </c>
      <c r="F12" s="25" t="s">
        <v>9</v>
      </c>
      <c r="G12" s="25">
        <v>9541</v>
      </c>
      <c r="H12" s="25">
        <v>36662</v>
      </c>
      <c r="I12" s="25">
        <v>13621</v>
      </c>
      <c r="J12" s="25">
        <v>7062</v>
      </c>
      <c r="K12" s="25">
        <v>15979</v>
      </c>
      <c r="L12" s="25">
        <v>27370</v>
      </c>
      <c r="M12" s="25">
        <v>16227</v>
      </c>
      <c r="N12" s="25">
        <v>11142</v>
      </c>
      <c r="O12" s="25" t="s">
        <v>10</v>
      </c>
      <c r="P12" s="25">
        <f t="shared" si="2"/>
        <v>15907</v>
      </c>
      <c r="Q12" s="25">
        <v>2870</v>
      </c>
      <c r="R12" s="25" t="s">
        <v>10</v>
      </c>
      <c r="S12" s="25" t="s">
        <v>10</v>
      </c>
      <c r="T12" s="25">
        <v>2578</v>
      </c>
      <c r="U12" s="25">
        <v>4725</v>
      </c>
      <c r="V12" s="25">
        <v>1602</v>
      </c>
      <c r="W12" s="25">
        <v>856</v>
      </c>
      <c r="X12" s="25">
        <v>2267</v>
      </c>
      <c r="Y12" s="25">
        <v>8312</v>
      </c>
      <c r="Z12" s="25">
        <v>4926</v>
      </c>
      <c r="AA12" s="25" t="s">
        <v>10</v>
      </c>
      <c r="AB12" s="25" t="s">
        <v>10</v>
      </c>
      <c r="AC12" s="25">
        <f t="shared" si="0"/>
        <v>57513</v>
      </c>
      <c r="AD12" s="25">
        <v>7622</v>
      </c>
      <c r="AE12" s="25" t="s">
        <v>10</v>
      </c>
      <c r="AF12" s="25" t="s">
        <v>10</v>
      </c>
      <c r="AG12" s="25">
        <v>5828</v>
      </c>
      <c r="AH12" s="25">
        <v>31399</v>
      </c>
      <c r="AI12" s="25">
        <v>11902</v>
      </c>
      <c r="AJ12" s="25">
        <v>5906</v>
      </c>
      <c r="AK12" s="25">
        <v>13591</v>
      </c>
      <c r="AL12" s="25">
        <v>18492</v>
      </c>
      <c r="AM12" s="25">
        <v>10965</v>
      </c>
      <c r="AN12" s="25" t="s">
        <v>10</v>
      </c>
      <c r="AO12" s="25"/>
      <c r="AP12" s="25"/>
      <c r="AR12" s="3">
        <v>2006</v>
      </c>
      <c r="AS12" s="3">
        <f t="shared" si="3"/>
        <v>1.843244643451869</v>
      </c>
      <c r="AT12" s="3">
        <f t="shared" si="3"/>
        <v>-4.8564866642815119</v>
      </c>
      <c r="AU12" s="3">
        <f t="shared" si="4"/>
        <v>-10.07112590799032</v>
      </c>
      <c r="AV12" s="3">
        <f t="shared" si="5"/>
        <v>-17.687938119410195</v>
      </c>
      <c r="AW12" s="3">
        <f t="shared" si="6"/>
        <v>-1.4993322811703291</v>
      </c>
      <c r="AX12" s="3">
        <f t="shared" si="6"/>
        <v>-3.0118384401114251</v>
      </c>
      <c r="AY12" s="3" t="e">
        <f>((#REF!/#REF!)-1)*100</f>
        <v>#REF!</v>
      </c>
    </row>
    <row r="13" spans="1:51">
      <c r="A13" s="20">
        <v>2008</v>
      </c>
      <c r="B13" s="25">
        <v>3390824</v>
      </c>
      <c r="C13" s="8">
        <f t="shared" si="1"/>
        <v>69310</v>
      </c>
      <c r="D13" s="25">
        <v>10142</v>
      </c>
      <c r="E13" s="25">
        <v>171</v>
      </c>
      <c r="F13" s="25" t="s">
        <v>9</v>
      </c>
      <c r="G13" s="25">
        <v>8583</v>
      </c>
      <c r="H13" s="25">
        <v>32713</v>
      </c>
      <c r="I13" s="25">
        <v>11633</v>
      </c>
      <c r="J13" s="25">
        <v>5941</v>
      </c>
      <c r="K13" s="25">
        <v>15139</v>
      </c>
      <c r="L13" s="25">
        <v>26455</v>
      </c>
      <c r="M13" s="25">
        <v>15663</v>
      </c>
      <c r="N13" s="25">
        <v>10792</v>
      </c>
      <c r="O13" s="25" t="s">
        <v>10</v>
      </c>
      <c r="P13" s="25">
        <f t="shared" si="2"/>
        <v>15533</v>
      </c>
      <c r="Q13" s="25">
        <v>2363</v>
      </c>
      <c r="R13" s="25" t="s">
        <v>10</v>
      </c>
      <c r="S13" s="25" t="s">
        <v>10</v>
      </c>
      <c r="T13" s="25">
        <v>2152</v>
      </c>
      <c r="U13" s="25">
        <v>6292</v>
      </c>
      <c r="V13" s="25">
        <v>2146</v>
      </c>
      <c r="W13" s="25">
        <v>1071</v>
      </c>
      <c r="X13" s="25">
        <v>3075</v>
      </c>
      <c r="Y13" s="25">
        <v>6878</v>
      </c>
      <c r="Z13" s="25">
        <v>3920</v>
      </c>
      <c r="AA13" s="25" t="s">
        <v>10</v>
      </c>
      <c r="AB13" s="25" t="s">
        <v>10</v>
      </c>
      <c r="AC13" s="25">
        <f t="shared" si="0"/>
        <v>51182</v>
      </c>
      <c r="AD13" s="25">
        <v>6707</v>
      </c>
      <c r="AE13" s="25" t="s">
        <v>10</v>
      </c>
      <c r="AF13" s="25" t="s">
        <v>10</v>
      </c>
      <c r="AG13" s="25">
        <v>5503</v>
      </c>
      <c r="AH13" s="25">
        <v>25617</v>
      </c>
      <c r="AI13" s="25">
        <v>9261</v>
      </c>
      <c r="AJ13" s="25">
        <v>4595</v>
      </c>
      <c r="AK13" s="25">
        <v>11761</v>
      </c>
      <c r="AL13" s="25">
        <v>18858</v>
      </c>
      <c r="AM13" s="25">
        <v>11313</v>
      </c>
      <c r="AN13" s="25" t="s">
        <v>10</v>
      </c>
      <c r="AO13" s="25"/>
      <c r="AP13" s="25"/>
      <c r="AR13" s="3">
        <v>2007</v>
      </c>
      <c r="AS13" s="3">
        <f t="shared" si="3"/>
        <v>1.567857631659586</v>
      </c>
      <c r="AT13" s="3">
        <f t="shared" si="3"/>
        <v>-7.9113041157704451</v>
      </c>
      <c r="AU13" s="3">
        <f t="shared" si="4"/>
        <v>-14.665544804375264</v>
      </c>
      <c r="AV13" s="3">
        <f t="shared" si="5"/>
        <v>-14.595110491153363</v>
      </c>
      <c r="AW13" s="3">
        <f t="shared" si="6"/>
        <v>-3.4756886670364251</v>
      </c>
      <c r="AX13" s="3">
        <f t="shared" si="6"/>
        <v>-3.1412672769700278</v>
      </c>
      <c r="AY13" s="3" t="e">
        <f>((#REF!/#REF!)-1)*100</f>
        <v>#REF!</v>
      </c>
    </row>
    <row r="14" spans="1:51">
      <c r="A14" s="20">
        <v>2009</v>
      </c>
      <c r="B14" s="25">
        <v>3359573</v>
      </c>
      <c r="C14" s="8">
        <f t="shared" si="1"/>
        <v>64832</v>
      </c>
      <c r="D14" s="25">
        <v>9037</v>
      </c>
      <c r="E14" s="25">
        <v>185</v>
      </c>
      <c r="F14" s="25" t="s">
        <v>9</v>
      </c>
      <c r="G14" s="25">
        <v>7588</v>
      </c>
      <c r="H14" s="25">
        <v>28441</v>
      </c>
      <c r="I14" s="25">
        <v>9975</v>
      </c>
      <c r="J14" s="25">
        <v>4976</v>
      </c>
      <c r="K14" s="25">
        <v>13490</v>
      </c>
      <c r="L14" s="25">
        <v>27354</v>
      </c>
      <c r="M14" s="25">
        <v>13800</v>
      </c>
      <c r="N14" s="25">
        <v>13553</v>
      </c>
      <c r="O14" s="25" t="s">
        <v>10</v>
      </c>
      <c r="P14" s="25" t="s">
        <v>9</v>
      </c>
      <c r="Q14" s="25" t="s">
        <v>76</v>
      </c>
      <c r="R14" s="25" t="s">
        <v>10</v>
      </c>
      <c r="S14" s="25" t="s">
        <v>10</v>
      </c>
      <c r="T14" s="25" t="s">
        <v>76</v>
      </c>
      <c r="U14" s="25">
        <v>4614</v>
      </c>
      <c r="V14" s="25">
        <v>1945</v>
      </c>
      <c r="W14" s="25" t="s">
        <v>76</v>
      </c>
      <c r="X14" s="25">
        <v>1449</v>
      </c>
      <c r="Y14" s="25">
        <v>7553</v>
      </c>
      <c r="Z14" s="25" t="s">
        <v>76</v>
      </c>
      <c r="AA14" s="25" t="s">
        <v>10</v>
      </c>
      <c r="AB14" s="25" t="s">
        <v>10</v>
      </c>
      <c r="AC14" s="25" t="s">
        <v>9</v>
      </c>
      <c r="AD14" s="25" t="s">
        <v>76</v>
      </c>
      <c r="AE14" s="25" t="s">
        <v>10</v>
      </c>
      <c r="AF14" s="25" t="s">
        <v>10</v>
      </c>
      <c r="AG14" s="25" t="s">
        <v>76</v>
      </c>
      <c r="AH14" s="25">
        <v>21777</v>
      </c>
      <c r="AI14" s="25">
        <v>7499</v>
      </c>
      <c r="AJ14" s="25" t="s">
        <v>76</v>
      </c>
      <c r="AK14" s="25">
        <v>10751</v>
      </c>
      <c r="AL14" s="25">
        <v>19379</v>
      </c>
      <c r="AM14" s="25" t="s">
        <v>76</v>
      </c>
      <c r="AN14" s="25" t="s">
        <v>10</v>
      </c>
      <c r="AO14" s="25"/>
      <c r="AP14" s="25"/>
      <c r="AR14" s="3">
        <v>2008</v>
      </c>
      <c r="AS14" s="3">
        <f t="shared" si="3"/>
        <v>1.0885394943998872</v>
      </c>
      <c r="AT14" s="3">
        <f t="shared" si="3"/>
        <v>-8.7029255634442855</v>
      </c>
      <c r="AU14" s="3">
        <f t="shared" si="4"/>
        <v>-10.895286925655689</v>
      </c>
      <c r="AV14" s="3">
        <f t="shared" si="5"/>
        <v>-14.252557379867614</v>
      </c>
      <c r="AW14" s="3">
        <f t="shared" si="6"/>
        <v>-11.894273127753308</v>
      </c>
      <c r="AX14" s="3">
        <f t="shared" si="6"/>
        <v>25.583765752409192</v>
      </c>
      <c r="AY14" s="3" t="e">
        <f>((#REF!/#REF!)-1)*100</f>
        <v>#REF!</v>
      </c>
    </row>
    <row r="15" spans="1:51">
      <c r="A15" s="20">
        <v>2010</v>
      </c>
      <c r="B15" s="25">
        <v>3389661</v>
      </c>
      <c r="C15" s="8">
        <f t="shared" si="1"/>
        <v>61022</v>
      </c>
      <c r="D15" s="25">
        <v>8061</v>
      </c>
      <c r="E15" s="25">
        <v>174</v>
      </c>
      <c r="F15" s="25" t="s">
        <v>9</v>
      </c>
      <c r="G15" s="25">
        <v>7609</v>
      </c>
      <c r="H15" s="25">
        <v>28327</v>
      </c>
      <c r="I15" s="25">
        <v>9749</v>
      </c>
      <c r="J15" s="25">
        <v>5086</v>
      </c>
      <c r="K15" s="25">
        <v>13492</v>
      </c>
      <c r="L15" s="25">
        <v>24634</v>
      </c>
      <c r="M15" s="25">
        <v>11455</v>
      </c>
      <c r="N15" s="25">
        <v>13179</v>
      </c>
      <c r="O15" s="25" t="s">
        <v>10</v>
      </c>
      <c r="P15" s="25" t="s">
        <v>9</v>
      </c>
      <c r="Q15" s="25" t="s">
        <v>76</v>
      </c>
      <c r="R15" s="25" t="s">
        <v>10</v>
      </c>
      <c r="S15" s="25" t="s">
        <v>10</v>
      </c>
      <c r="T15" s="25" t="s">
        <v>76</v>
      </c>
      <c r="U15" s="25">
        <v>3269</v>
      </c>
      <c r="V15" s="25" t="s">
        <v>76</v>
      </c>
      <c r="W15" s="25" t="s">
        <v>76</v>
      </c>
      <c r="X15" s="25" t="s">
        <v>76</v>
      </c>
      <c r="Y15" s="25">
        <v>8823</v>
      </c>
      <c r="Z15" s="25" t="s">
        <v>76</v>
      </c>
      <c r="AA15" s="25" t="s">
        <v>10</v>
      </c>
      <c r="AB15" s="25" t="s">
        <v>10</v>
      </c>
      <c r="AC15" s="25">
        <f>AD15+AH15+AL15</f>
        <v>43992</v>
      </c>
      <c r="AD15" s="25">
        <v>5313</v>
      </c>
      <c r="AE15" s="25" t="s">
        <v>10</v>
      </c>
      <c r="AF15" s="25" t="s">
        <v>10</v>
      </c>
      <c r="AG15" s="25">
        <v>5039</v>
      </c>
      <c r="AH15" s="25">
        <v>23293</v>
      </c>
      <c r="AI15" s="25" t="s">
        <v>76</v>
      </c>
      <c r="AJ15" s="25" t="s">
        <v>76</v>
      </c>
      <c r="AK15" s="25" t="s">
        <v>76</v>
      </c>
      <c r="AL15" s="25">
        <v>15386</v>
      </c>
      <c r="AM15" s="25" t="s">
        <v>76</v>
      </c>
      <c r="AN15" s="25" t="s">
        <v>10</v>
      </c>
      <c r="AO15" s="25"/>
      <c r="AP15" s="25"/>
      <c r="AR15" s="3">
        <v>2009</v>
      </c>
      <c r="AS15" s="3">
        <f t="shared" si="3"/>
        <v>-0.92163438739374381</v>
      </c>
      <c r="AT15" s="3">
        <f t="shared" si="3"/>
        <v>-6.4608281633241944</v>
      </c>
      <c r="AU15" s="3">
        <f t="shared" si="4"/>
        <v>-10.800044262476483</v>
      </c>
      <c r="AV15" s="3">
        <f t="shared" si="5"/>
        <v>-2.2656641604010042</v>
      </c>
      <c r="AW15" s="3">
        <f t="shared" si="6"/>
        <v>-16.992753623188406</v>
      </c>
      <c r="AX15" s="3">
        <f t="shared" si="6"/>
        <v>-2.7595366339555838</v>
      </c>
      <c r="AY15" s="3" t="e">
        <f>((#REF!/#REF!)-1)*100</f>
        <v>#REF!</v>
      </c>
    </row>
    <row r="16" spans="1:51">
      <c r="A16" s="20">
        <v>2011</v>
      </c>
      <c r="B16" s="25">
        <v>3425871</v>
      </c>
      <c r="C16" s="8">
        <f t="shared" si="1"/>
        <v>60006</v>
      </c>
      <c r="D16" s="25">
        <v>7823</v>
      </c>
      <c r="E16" s="25">
        <v>159</v>
      </c>
      <c r="F16" s="25" t="s">
        <v>9</v>
      </c>
      <c r="G16" s="25">
        <v>7386</v>
      </c>
      <c r="H16" s="25">
        <v>27108</v>
      </c>
      <c r="I16" s="25">
        <v>9364</v>
      </c>
      <c r="J16" s="25">
        <v>4613</v>
      </c>
      <c r="K16" s="25">
        <v>13131</v>
      </c>
      <c r="L16" s="25">
        <v>25075</v>
      </c>
      <c r="M16" s="25">
        <v>11531</v>
      </c>
      <c r="N16" s="25">
        <v>13544</v>
      </c>
      <c r="O16" s="25" t="s">
        <v>10</v>
      </c>
      <c r="P16" s="25">
        <f t="shared" si="2"/>
        <v>13502</v>
      </c>
      <c r="Q16" s="25">
        <v>1238</v>
      </c>
      <c r="R16" s="25" t="s">
        <v>10</v>
      </c>
      <c r="S16" s="25" t="s">
        <v>10</v>
      </c>
      <c r="T16" s="25">
        <v>1187</v>
      </c>
      <c r="U16" s="25">
        <v>3025</v>
      </c>
      <c r="V16" s="25" t="s">
        <v>76</v>
      </c>
      <c r="W16" s="25" t="s">
        <v>76</v>
      </c>
      <c r="X16" s="25">
        <v>1714</v>
      </c>
      <c r="Y16" s="25">
        <v>9239</v>
      </c>
      <c r="Z16" s="25" t="s">
        <v>76</v>
      </c>
      <c r="AA16" s="25" t="s">
        <v>10</v>
      </c>
      <c r="AB16" s="25" t="s">
        <v>10</v>
      </c>
      <c r="AC16" s="25">
        <f>AD16+AH16+AL16</f>
        <v>42552</v>
      </c>
      <c r="AD16" s="25">
        <v>5250</v>
      </c>
      <c r="AE16" s="25" t="s">
        <v>10</v>
      </c>
      <c r="AF16" s="25" t="s">
        <v>10</v>
      </c>
      <c r="AG16" s="25">
        <v>4953</v>
      </c>
      <c r="AH16" s="25">
        <v>22398</v>
      </c>
      <c r="AI16" s="25" t="s">
        <v>76</v>
      </c>
      <c r="AJ16" s="25" t="s">
        <v>76</v>
      </c>
      <c r="AK16" s="25">
        <v>10318</v>
      </c>
      <c r="AL16" s="25">
        <v>14904</v>
      </c>
      <c r="AM16" s="25" t="s">
        <v>76</v>
      </c>
      <c r="AN16" s="25" t="s">
        <v>10</v>
      </c>
      <c r="AO16" s="25"/>
      <c r="AP16" s="25"/>
      <c r="AR16" s="3">
        <v>2010</v>
      </c>
      <c r="AS16" s="3">
        <f t="shared" si="3"/>
        <v>0.89559000503933728</v>
      </c>
      <c r="AT16" s="3">
        <f t="shared" si="3"/>
        <v>-5.876727541954585</v>
      </c>
      <c r="AU16" s="3">
        <f t="shared" si="4"/>
        <v>-2.9524872844560179</v>
      </c>
      <c r="AV16" s="3">
        <f t="shared" si="5"/>
        <v>-3.9491229869730193</v>
      </c>
      <c r="AW16" s="3">
        <f t="shared" si="6"/>
        <v>0.66346573548667909</v>
      </c>
      <c r="AX16" s="3">
        <f t="shared" si="6"/>
        <v>2.7695576295621915</v>
      </c>
      <c r="AY16" s="3" t="e">
        <f>((#REF!/#REF!)-1)*100</f>
        <v>#REF!</v>
      </c>
    </row>
    <row r="17" spans="1:51">
      <c r="A17" s="20">
        <v>2012</v>
      </c>
      <c r="B17" s="25">
        <v>3465453</v>
      </c>
      <c r="C17" s="8">
        <f t="shared" si="1"/>
        <v>58264</v>
      </c>
      <c r="D17" s="25">
        <v>7525</v>
      </c>
      <c r="E17" s="25">
        <v>135</v>
      </c>
      <c r="F17" s="25" t="s">
        <v>9</v>
      </c>
      <c r="G17" s="25">
        <v>7183</v>
      </c>
      <c r="H17" s="25">
        <v>27006</v>
      </c>
      <c r="I17" s="25">
        <v>9261</v>
      </c>
      <c r="J17" s="25">
        <v>4654</v>
      </c>
      <c r="K17" s="25">
        <v>13091</v>
      </c>
      <c r="L17" s="25">
        <v>23733</v>
      </c>
      <c r="M17" s="25">
        <v>10511</v>
      </c>
      <c r="N17" s="25">
        <v>13223</v>
      </c>
      <c r="O17" s="25" t="s">
        <v>10</v>
      </c>
      <c r="P17" s="25" t="s">
        <v>9</v>
      </c>
      <c r="Q17" s="25" t="s">
        <v>76</v>
      </c>
      <c r="R17" s="25" t="s">
        <v>10</v>
      </c>
      <c r="S17" s="25" t="s">
        <v>10</v>
      </c>
      <c r="T17" s="25" t="s">
        <v>76</v>
      </c>
      <c r="U17" s="25">
        <v>3681</v>
      </c>
      <c r="V17" s="25" t="s">
        <v>76</v>
      </c>
      <c r="W17" s="25" t="s">
        <v>76</v>
      </c>
      <c r="X17" s="25">
        <v>1783</v>
      </c>
      <c r="Y17" s="25">
        <v>9587</v>
      </c>
      <c r="Z17" s="25" t="s">
        <v>76</v>
      </c>
      <c r="AA17" s="25" t="s">
        <v>10</v>
      </c>
      <c r="AB17" s="25" t="s">
        <v>10</v>
      </c>
      <c r="AC17" s="25">
        <f>AD17+AH17+AL17</f>
        <v>39659</v>
      </c>
      <c r="AD17" s="25">
        <v>4731</v>
      </c>
      <c r="AE17" s="25" t="s">
        <v>10</v>
      </c>
      <c r="AF17" s="25" t="s">
        <v>10</v>
      </c>
      <c r="AG17" s="25">
        <v>4514</v>
      </c>
      <c r="AH17" s="25">
        <v>21944</v>
      </c>
      <c r="AI17" s="25" t="s">
        <v>76</v>
      </c>
      <c r="AJ17" s="25" t="s">
        <v>76</v>
      </c>
      <c r="AK17" s="25">
        <v>10476</v>
      </c>
      <c r="AL17" s="25">
        <v>12984</v>
      </c>
      <c r="AM17" s="25" t="s">
        <v>76</v>
      </c>
      <c r="AN17" s="25" t="s">
        <v>10</v>
      </c>
      <c r="AO17" s="25"/>
      <c r="AP17" s="25"/>
      <c r="AR17" s="3">
        <v>2011</v>
      </c>
      <c r="AS17" s="3">
        <f t="shared" si="3"/>
        <v>1.068248417762141</v>
      </c>
      <c r="AT17" s="3">
        <f t="shared" si="3"/>
        <v>-1.6649732883222468</v>
      </c>
      <c r="AU17" s="3">
        <f t="shared" si="4"/>
        <v>-3.8092803272401943</v>
      </c>
      <c r="AV17" s="3">
        <f t="shared" si="5"/>
        <v>-1.099957283212305</v>
      </c>
      <c r="AW17" s="3">
        <f t="shared" si="6"/>
        <v>-8.8457202324169657</v>
      </c>
      <c r="AX17" s="3">
        <f t="shared" si="6"/>
        <v>-2.3700531600708841</v>
      </c>
      <c r="AY17" s="3" t="e">
        <f>((#REF!/#REF!)-1)*100</f>
        <v>#REF!</v>
      </c>
    </row>
    <row r="18" spans="1:51">
      <c r="A18" s="20">
        <v>2013</v>
      </c>
      <c r="B18" s="25">
        <v>3474011</v>
      </c>
      <c r="C18" s="8">
        <f t="shared" si="1"/>
        <v>57116</v>
      </c>
      <c r="D18" s="25">
        <v>6560</v>
      </c>
      <c r="E18" s="25">
        <v>104</v>
      </c>
      <c r="F18" s="25" t="s">
        <v>9</v>
      </c>
      <c r="G18" s="25">
        <v>6387</v>
      </c>
      <c r="H18" s="25">
        <v>26587</v>
      </c>
      <c r="I18" s="25">
        <v>8870</v>
      </c>
      <c r="J18" s="25">
        <v>4816</v>
      </c>
      <c r="K18" s="25">
        <v>12901</v>
      </c>
      <c r="L18" s="25">
        <v>23969</v>
      </c>
      <c r="M18" s="25">
        <v>8878</v>
      </c>
      <c r="N18" s="25">
        <v>15091</v>
      </c>
      <c r="O18" s="25" t="s">
        <v>10</v>
      </c>
      <c r="P18" s="25" t="s">
        <v>9</v>
      </c>
      <c r="Q18" s="25" t="s">
        <v>76</v>
      </c>
      <c r="R18" s="25" t="s">
        <v>10</v>
      </c>
      <c r="S18" s="25" t="s">
        <v>10</v>
      </c>
      <c r="T18" s="25" t="s">
        <v>76</v>
      </c>
      <c r="U18" s="25" t="s">
        <v>76</v>
      </c>
      <c r="V18" s="25" t="s">
        <v>76</v>
      </c>
      <c r="W18" s="25" t="s">
        <v>76</v>
      </c>
      <c r="X18" s="25" t="s">
        <v>76</v>
      </c>
      <c r="Y18" s="25">
        <v>8823</v>
      </c>
      <c r="Z18" s="25" t="s">
        <v>76</v>
      </c>
      <c r="AA18" s="25" t="s">
        <v>10</v>
      </c>
      <c r="AB18" s="25" t="s">
        <v>10</v>
      </c>
      <c r="AC18" s="25" t="s">
        <v>9</v>
      </c>
      <c r="AD18" s="25">
        <v>4738</v>
      </c>
      <c r="AE18" s="25" t="s">
        <v>10</v>
      </c>
      <c r="AF18" s="25" t="s">
        <v>10</v>
      </c>
      <c r="AG18" s="25">
        <v>4513</v>
      </c>
      <c r="AH18" s="25" t="s">
        <v>76</v>
      </c>
      <c r="AI18" s="25" t="s">
        <v>76</v>
      </c>
      <c r="AJ18" s="25" t="s">
        <v>76</v>
      </c>
      <c r="AK18" s="25" t="s">
        <v>76</v>
      </c>
      <c r="AL18" s="25">
        <v>14235</v>
      </c>
      <c r="AM18" s="25" t="s">
        <v>76</v>
      </c>
      <c r="AN18" s="25" t="s">
        <v>10</v>
      </c>
      <c r="AO18" s="25"/>
      <c r="AP18" s="25"/>
      <c r="AR18" s="3">
        <v>2012</v>
      </c>
      <c r="AS18" s="3">
        <f t="shared" si="3"/>
        <v>1.1553850101186036</v>
      </c>
      <c r="AT18" s="3">
        <f t="shared" si="3"/>
        <v>-2.9030430290304277</v>
      </c>
      <c r="AU18" s="3">
        <f t="shared" si="4"/>
        <v>-12.82392026578073</v>
      </c>
      <c r="AV18" s="3">
        <f t="shared" si="5"/>
        <v>-4.2220062628225863</v>
      </c>
      <c r="AW18" s="3">
        <f t="shared" si="6"/>
        <v>-15.536105032822755</v>
      </c>
      <c r="AX18" s="3">
        <f t="shared" si="6"/>
        <v>14.126900098313545</v>
      </c>
      <c r="AY18" s="3" t="e">
        <f>((#REF!/#REF!)-1)*100</f>
        <v>#REF!</v>
      </c>
    </row>
    <row r="19" spans="1:51">
      <c r="A19" s="13"/>
      <c r="B19" s="13"/>
      <c r="C19" s="13"/>
      <c r="D19" s="14"/>
      <c r="E19" s="14"/>
      <c r="F19" s="14"/>
      <c r="G19" s="14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1:5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</row>
    <row r="21" spans="1:51" ht="15" customHeight="1">
      <c r="A21" s="460" t="s">
        <v>32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460"/>
      <c r="X21" s="460"/>
      <c r="Y21" s="460"/>
      <c r="Z21" s="460"/>
      <c r="AA21" s="460"/>
      <c r="AB21" s="460"/>
      <c r="AC21" s="460"/>
      <c r="AD21" s="460"/>
      <c r="AE21" s="460"/>
      <c r="AF21" s="460"/>
      <c r="AG21" s="460"/>
      <c r="AH21" s="460"/>
      <c r="AI21" s="460"/>
      <c r="AJ21" s="460"/>
      <c r="AK21" s="460"/>
      <c r="AL21" s="460"/>
      <c r="AM21" s="460"/>
      <c r="AN21" s="67"/>
      <c r="AO21" s="67"/>
      <c r="AP21" s="67"/>
      <c r="AS21" s="3" t="s">
        <v>27</v>
      </c>
    </row>
    <row r="22" spans="1:51" ht="30">
      <c r="A22" s="67" t="s">
        <v>71</v>
      </c>
      <c r="B22" s="13">
        <f>((B12/B6)^(1/6)-1)*100</f>
        <v>1.5470043067634442</v>
      </c>
      <c r="C22" s="13">
        <f t="shared" ref="C22:N22" si="7">((C12/C6)^(1/6)-1)*100</f>
        <v>-2.4955271854041672</v>
      </c>
      <c r="D22" s="13">
        <f t="shared" si="7"/>
        <v>-2.8985763708344714</v>
      </c>
      <c r="E22" s="62" t="s">
        <v>10</v>
      </c>
      <c r="F22" s="62" t="s">
        <v>10</v>
      </c>
      <c r="G22" s="13">
        <f t="shared" si="7"/>
        <v>-5.0677421746343043</v>
      </c>
      <c r="H22" s="13">
        <f t="shared" si="7"/>
        <v>-1.5742443218515922</v>
      </c>
      <c r="I22" s="13">
        <f t="shared" si="7"/>
        <v>-6.2489653919367889</v>
      </c>
      <c r="J22" s="13">
        <f t="shared" si="7"/>
        <v>1.3009893484233981</v>
      </c>
      <c r="K22" s="13">
        <f t="shared" si="7"/>
        <v>2.5629225624445251</v>
      </c>
      <c r="L22" s="13">
        <f t="shared" si="7"/>
        <v>-3.476694722535123</v>
      </c>
      <c r="M22" s="13">
        <f t="shared" si="7"/>
        <v>-3.5061070534931793</v>
      </c>
      <c r="N22" s="13">
        <f t="shared" si="7"/>
        <v>-3.4351948909733254</v>
      </c>
      <c r="O22" s="62" t="s">
        <v>10</v>
      </c>
      <c r="P22" s="13">
        <f t="shared" ref="P22:AM22" si="8">((P12/P6)^(1/6)-1)*100</f>
        <v>-2.2327984587067862</v>
      </c>
      <c r="Q22" s="13">
        <f t="shared" si="8"/>
        <v>0.47828885248577535</v>
      </c>
      <c r="R22" s="62" t="s">
        <v>10</v>
      </c>
      <c r="S22" s="62" t="s">
        <v>10</v>
      </c>
      <c r="T22" s="13">
        <f t="shared" si="8"/>
        <v>0.43317978813708358</v>
      </c>
      <c r="U22" s="13">
        <f t="shared" si="8"/>
        <v>-4.3057558890176377</v>
      </c>
      <c r="V22" s="13">
        <f t="shared" si="8"/>
        <v>-10.933278639247334</v>
      </c>
      <c r="W22" s="13">
        <f t="shared" si="8"/>
        <v>-1.3192734405385265</v>
      </c>
      <c r="X22" s="13">
        <f t="shared" si="8"/>
        <v>1.9665214245897955</v>
      </c>
      <c r="Y22" s="13">
        <f t="shared" si="8"/>
        <v>-1.8069207980872415</v>
      </c>
      <c r="Z22" s="13">
        <f t="shared" si="8"/>
        <v>-2.542107314293085</v>
      </c>
      <c r="AA22" s="62" t="s">
        <v>10</v>
      </c>
      <c r="AB22" s="62" t="s">
        <v>10</v>
      </c>
      <c r="AC22" s="13">
        <f t="shared" si="8"/>
        <v>-1.4660248355857775</v>
      </c>
      <c r="AD22" s="13">
        <f t="shared" si="8"/>
        <v>-1.4399046099051516</v>
      </c>
      <c r="AE22" s="62" t="s">
        <v>10</v>
      </c>
      <c r="AF22" s="62" t="s">
        <v>10</v>
      </c>
      <c r="AG22" s="13">
        <f t="shared" si="8"/>
        <v>-4.3134218884371407</v>
      </c>
      <c r="AH22" s="13">
        <f t="shared" si="8"/>
        <v>0.27817485884922277</v>
      </c>
      <c r="AI22" s="13">
        <f t="shared" si="8"/>
        <v>-4.2479577177598093</v>
      </c>
      <c r="AJ22" s="13">
        <f t="shared" si="8"/>
        <v>3.4052845856036074</v>
      </c>
      <c r="AK22" s="13">
        <f t="shared" si="8"/>
        <v>4.2197350956847623</v>
      </c>
      <c r="AL22" s="13">
        <f t="shared" si="8"/>
        <v>-4.0154560956432324</v>
      </c>
      <c r="AM22" s="13">
        <f t="shared" si="8"/>
        <v>-3.6738712210969582</v>
      </c>
      <c r="AN22" s="62" t="s">
        <v>10</v>
      </c>
      <c r="AO22" s="13"/>
      <c r="AP22" s="13"/>
      <c r="AR22" s="3">
        <v>1999</v>
      </c>
      <c r="AS22" s="3" t="e">
        <f>#REF!/#REF!</f>
        <v>#REF!</v>
      </c>
      <c r="AT22" s="3" t="e">
        <f>#REF!/#REF!</f>
        <v>#REF!</v>
      </c>
      <c r="AU22" s="3" t="e">
        <f>#REF!/#REF!</f>
        <v>#REF!</v>
      </c>
      <c r="AV22" s="3" t="e">
        <f>#REF!/#REF!</f>
        <v>#REF!</v>
      </c>
      <c r="AW22" s="3" t="e">
        <f>#REF!/#REF!</f>
        <v>#REF!</v>
      </c>
      <c r="AX22" s="3" t="e">
        <f>#REF!/#REF!</f>
        <v>#REF!</v>
      </c>
      <c r="AY22" s="3" t="e">
        <f>#REF!/#REF!</f>
        <v>#REF!</v>
      </c>
    </row>
    <row r="23" spans="1:51" ht="30">
      <c r="A23" s="67" t="s">
        <v>69</v>
      </c>
      <c r="B23" s="13">
        <f>((B18/B12)^(1/6)-1)*100</f>
        <v>0.58610172747621814</v>
      </c>
      <c r="C23" s="13">
        <f t="shared" ref="C23:N23" si="9">((C18/C12)^(1/6)-1)*100</f>
        <v>-4.6319012819776351</v>
      </c>
      <c r="D23" s="13">
        <f t="shared" si="9"/>
        <v>-9.430053983458853</v>
      </c>
      <c r="E23" s="13">
        <f t="shared" si="9"/>
        <v>-9.2346543525715248</v>
      </c>
      <c r="F23" s="62" t="s">
        <v>10</v>
      </c>
      <c r="G23" s="13">
        <f t="shared" si="9"/>
        <v>-6.47009281196258</v>
      </c>
      <c r="H23" s="13">
        <f t="shared" si="9"/>
        <v>-5.2144363310451913</v>
      </c>
      <c r="I23" s="13">
        <f t="shared" si="9"/>
        <v>-6.8994090134955721</v>
      </c>
      <c r="J23" s="13">
        <f t="shared" si="9"/>
        <v>-6.1804971035308354</v>
      </c>
      <c r="K23" s="13">
        <f t="shared" si="9"/>
        <v>-3.503336696077064</v>
      </c>
      <c r="L23" s="13">
        <f t="shared" si="9"/>
        <v>-2.1871635695785208</v>
      </c>
      <c r="M23" s="13">
        <f t="shared" si="9"/>
        <v>-9.5629992975360008</v>
      </c>
      <c r="N23" s="13">
        <f t="shared" si="9"/>
        <v>5.1862916175023699</v>
      </c>
      <c r="O23" s="62" t="s">
        <v>10</v>
      </c>
      <c r="P23" s="62" t="s">
        <v>10</v>
      </c>
      <c r="Q23" s="62" t="s">
        <v>10</v>
      </c>
      <c r="R23" s="62" t="s">
        <v>10</v>
      </c>
      <c r="S23" s="62" t="s">
        <v>10</v>
      </c>
      <c r="T23" s="62" t="s">
        <v>10</v>
      </c>
      <c r="U23" s="62" t="s">
        <v>10</v>
      </c>
      <c r="V23" s="62" t="s">
        <v>10</v>
      </c>
      <c r="W23" s="62" t="s">
        <v>10</v>
      </c>
      <c r="X23" s="62" t="s">
        <v>10</v>
      </c>
      <c r="Y23" s="13">
        <f t="shared" ref="Y23:AL23" si="10">((Y18/Y12)^(1/6)-1)*100</f>
        <v>0.99932177589840965</v>
      </c>
      <c r="Z23" s="62" t="s">
        <v>10</v>
      </c>
      <c r="AA23" s="62" t="s">
        <v>10</v>
      </c>
      <c r="AB23" s="62" t="s">
        <v>10</v>
      </c>
      <c r="AC23" s="62" t="s">
        <v>10</v>
      </c>
      <c r="AD23" s="13">
        <f t="shared" si="10"/>
        <v>-7.6179308311310034</v>
      </c>
      <c r="AE23" s="62" t="s">
        <v>10</v>
      </c>
      <c r="AF23" s="62" t="s">
        <v>10</v>
      </c>
      <c r="AG23" s="13">
        <f t="shared" si="10"/>
        <v>-4.17232195981817</v>
      </c>
      <c r="AH23" s="62" t="s">
        <v>10</v>
      </c>
      <c r="AI23" s="62" t="s">
        <v>10</v>
      </c>
      <c r="AJ23" s="62" t="s">
        <v>10</v>
      </c>
      <c r="AK23" s="62" t="s">
        <v>10</v>
      </c>
      <c r="AL23" s="13">
        <f t="shared" si="10"/>
        <v>-4.2668686718154936</v>
      </c>
      <c r="AM23" s="62" t="s">
        <v>10</v>
      </c>
      <c r="AN23" s="62" t="s">
        <v>10</v>
      </c>
      <c r="AO23" s="13"/>
      <c r="AP23" s="13"/>
      <c r="AR23" s="3">
        <v>2000</v>
      </c>
      <c r="AS23" s="3" t="e">
        <f>#REF!/#REF!</f>
        <v>#REF!</v>
      </c>
      <c r="AT23" s="3" t="e">
        <f>#REF!/#REF!</f>
        <v>#REF!</v>
      </c>
      <c r="AU23" s="3" t="e">
        <f>#REF!/#REF!</f>
        <v>#REF!</v>
      </c>
      <c r="AV23" s="3" t="e">
        <f>#REF!/#REF!</f>
        <v>#REF!</v>
      </c>
      <c r="AW23" s="3" t="e">
        <f>#REF!/#REF!</f>
        <v>#REF!</v>
      </c>
      <c r="AX23" s="3" t="e">
        <f>#REF!/#REF!</f>
        <v>#REF!</v>
      </c>
      <c r="AY23" s="3" t="e">
        <f>#REF!/#REF!</f>
        <v>#REF!</v>
      </c>
    </row>
    <row r="24" spans="1:51" ht="30">
      <c r="A24" s="67" t="s">
        <v>72</v>
      </c>
      <c r="B24" s="13">
        <f>((B18/B6)^(1/12)-1)*100</f>
        <v>1.0654110233593972</v>
      </c>
      <c r="C24" s="13">
        <f t="shared" ref="C24:N24" si="11">((C18/C6)^(1/12)-1)*100</f>
        <v>-3.5696303603937052</v>
      </c>
      <c r="D24" s="13">
        <f t="shared" si="11"/>
        <v>-6.2211607225659105</v>
      </c>
      <c r="E24" s="62" t="s">
        <v>10</v>
      </c>
      <c r="F24" s="62" t="s">
        <v>10</v>
      </c>
      <c r="G24" s="13">
        <f t="shared" si="11"/>
        <v>-5.7715262590054888</v>
      </c>
      <c r="H24" s="13">
        <f t="shared" si="11"/>
        <v>-3.4114875800640321</v>
      </c>
      <c r="I24" s="13">
        <f t="shared" si="11"/>
        <v>-6.5747532644044089</v>
      </c>
      <c r="J24" s="13">
        <f t="shared" si="11"/>
        <v>-2.5114957362171841</v>
      </c>
      <c r="K24" s="13">
        <f t="shared" si="11"/>
        <v>-0.51643449305543987</v>
      </c>
      <c r="L24" s="13">
        <f t="shared" si="11"/>
        <v>-2.8340683632976704</v>
      </c>
      <c r="M24" s="13">
        <f t="shared" si="11"/>
        <v>-6.5836295706864671</v>
      </c>
      <c r="N24" s="13">
        <f t="shared" si="11"/>
        <v>0.78340017178109012</v>
      </c>
      <c r="O24" s="62" t="s">
        <v>10</v>
      </c>
      <c r="P24" s="62" t="s">
        <v>10</v>
      </c>
      <c r="Q24" s="62" t="s">
        <v>10</v>
      </c>
      <c r="R24" s="62" t="s">
        <v>10</v>
      </c>
      <c r="S24" s="62" t="s">
        <v>10</v>
      </c>
      <c r="T24" s="62" t="s">
        <v>10</v>
      </c>
      <c r="U24" s="62" t="s">
        <v>10</v>
      </c>
      <c r="V24" s="62" t="s">
        <v>10</v>
      </c>
      <c r="W24" s="62" t="s">
        <v>10</v>
      </c>
      <c r="X24" s="62" t="s">
        <v>10</v>
      </c>
      <c r="Y24" s="13">
        <f t="shared" ref="Y24:AL24" si="12">((Y18/Y6)^(1/12)-1)*100</f>
        <v>-0.41368365844500765</v>
      </c>
      <c r="Z24" s="62" t="s">
        <v>10</v>
      </c>
      <c r="AA24" s="62" t="s">
        <v>10</v>
      </c>
      <c r="AB24" s="62" t="s">
        <v>10</v>
      </c>
      <c r="AC24" s="62" t="s">
        <v>10</v>
      </c>
      <c r="AD24" s="13">
        <f t="shared" si="12"/>
        <v>-4.5789040640484497</v>
      </c>
      <c r="AE24" s="62" t="s">
        <v>10</v>
      </c>
      <c r="AF24" s="62" t="s">
        <v>10</v>
      </c>
      <c r="AG24" s="13">
        <f t="shared" si="12"/>
        <v>-4.2428979133058986</v>
      </c>
      <c r="AH24" s="62" t="s">
        <v>10</v>
      </c>
      <c r="AI24" s="62" t="s">
        <v>10</v>
      </c>
      <c r="AJ24" s="62" t="s">
        <v>10</v>
      </c>
      <c r="AK24" s="62" t="s">
        <v>10</v>
      </c>
      <c r="AL24" s="13">
        <f t="shared" si="12"/>
        <v>-4.1412448074163777</v>
      </c>
      <c r="AM24" s="62" t="s">
        <v>10</v>
      </c>
      <c r="AN24" s="62" t="s">
        <v>10</v>
      </c>
      <c r="AO24" s="13"/>
      <c r="AP24" s="13"/>
      <c r="AR24" s="3">
        <v>2001</v>
      </c>
      <c r="AS24" s="3" t="e">
        <f>B6/#REF!</f>
        <v>#REF!</v>
      </c>
      <c r="AT24" s="3" t="e">
        <f>C6/#REF!</f>
        <v>#REF!</v>
      </c>
      <c r="AU24" s="3" t="e">
        <f>D7/#REF!</f>
        <v>#REF!</v>
      </c>
      <c r="AV24" s="3" t="e">
        <f>I7/#REF!</f>
        <v>#REF!</v>
      </c>
      <c r="AW24" s="3" t="e">
        <f>M7/#REF!</f>
        <v>#REF!</v>
      </c>
      <c r="AX24" s="3" t="e">
        <f>N7/#REF!</f>
        <v>#REF!</v>
      </c>
      <c r="AY24" s="3" t="e">
        <f>#REF!/#REF!</f>
        <v>#REF!</v>
      </c>
    </row>
    <row r="25" spans="1:51">
      <c r="AR25" s="3">
        <v>2002</v>
      </c>
      <c r="AS25" s="3" t="e">
        <f>B7/#REF!</f>
        <v>#REF!</v>
      </c>
      <c r="AT25" s="3" t="e">
        <f>C7/#REF!</f>
        <v>#REF!</v>
      </c>
      <c r="AU25" s="3" t="e">
        <f>D8/#REF!</f>
        <v>#REF!</v>
      </c>
      <c r="AV25" s="3" t="e">
        <f>I8/#REF!</f>
        <v>#REF!</v>
      </c>
      <c r="AW25" s="3" t="e">
        <f>M8/#REF!</f>
        <v>#REF!</v>
      </c>
      <c r="AX25" s="3" t="e">
        <f>N8/#REF!</f>
        <v>#REF!</v>
      </c>
      <c r="AY25" s="3" t="e">
        <f>#REF!/#REF!</f>
        <v>#REF!</v>
      </c>
    </row>
    <row r="26" spans="1:51">
      <c r="A26" s="90" t="s">
        <v>39</v>
      </c>
      <c r="B26" s="90"/>
      <c r="L26" s="58"/>
      <c r="AR26" s="3">
        <v>2003</v>
      </c>
      <c r="AS26" s="3" t="e">
        <f>B8/#REF!</f>
        <v>#REF!</v>
      </c>
      <c r="AT26" s="3" t="e">
        <f>C8/#REF!</f>
        <v>#REF!</v>
      </c>
      <c r="AU26" s="3" t="e">
        <f>D9/#REF!</f>
        <v>#REF!</v>
      </c>
      <c r="AV26" s="3" t="e">
        <f>I9/#REF!</f>
        <v>#REF!</v>
      </c>
      <c r="AW26" s="3" t="e">
        <f>M9/#REF!</f>
        <v>#REF!</v>
      </c>
      <c r="AX26" s="3" t="e">
        <f>N9/#REF!</f>
        <v>#REF!</v>
      </c>
      <c r="AY26" s="3" t="e">
        <f>#REF!/#REF!</f>
        <v>#REF!</v>
      </c>
    </row>
    <row r="27" spans="1:51">
      <c r="A27" s="90" t="s">
        <v>9</v>
      </c>
      <c r="B27" s="90" t="s">
        <v>42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AR27" s="3">
        <v>2004</v>
      </c>
      <c r="AS27" s="3" t="e">
        <f>B9/#REF!</f>
        <v>#REF!</v>
      </c>
      <c r="AT27" s="3" t="e">
        <f>C9/#REF!</f>
        <v>#REF!</v>
      </c>
      <c r="AU27" s="3" t="e">
        <f>D10/#REF!</f>
        <v>#REF!</v>
      </c>
      <c r="AV27" s="3" t="e">
        <f>I10/#REF!</f>
        <v>#REF!</v>
      </c>
      <c r="AW27" s="3" t="e">
        <f>M10/#REF!</f>
        <v>#REF!</v>
      </c>
      <c r="AX27" s="3" t="e">
        <f>N10/#REF!</f>
        <v>#REF!</v>
      </c>
      <c r="AY27" s="3" t="e">
        <f>#REF!/#REF!</f>
        <v>#REF!</v>
      </c>
    </row>
    <row r="28" spans="1:51">
      <c r="A28" s="90" t="s">
        <v>10</v>
      </c>
      <c r="B28" s="90" t="s">
        <v>43</v>
      </c>
      <c r="C28" s="57"/>
      <c r="D28" s="57"/>
      <c r="E28" s="57"/>
      <c r="F28" s="57"/>
      <c r="G28" s="57"/>
      <c r="H28" s="57"/>
      <c r="I28" s="57"/>
      <c r="J28" s="57"/>
      <c r="K28" s="57"/>
      <c r="L28" s="57"/>
      <c r="AR28" s="3">
        <v>2005</v>
      </c>
      <c r="AS28" s="3" t="e">
        <f>B10/#REF!</f>
        <v>#REF!</v>
      </c>
      <c r="AT28" s="3" t="e">
        <f>C10/#REF!</f>
        <v>#REF!</v>
      </c>
      <c r="AU28" s="3" t="e">
        <f>D11/#REF!</f>
        <v>#REF!</v>
      </c>
      <c r="AV28" s="3" t="e">
        <f>I11/#REF!</f>
        <v>#REF!</v>
      </c>
      <c r="AW28" s="3" t="e">
        <f>M11/#REF!</f>
        <v>#REF!</v>
      </c>
      <c r="AX28" s="3" t="e">
        <f>N11/#REF!</f>
        <v>#REF!</v>
      </c>
      <c r="AY28" s="3" t="e">
        <f>#REF!/#REF!</f>
        <v>#REF!</v>
      </c>
    </row>
    <row r="29" spans="1:51">
      <c r="A29" s="90" t="s">
        <v>76</v>
      </c>
      <c r="B29" s="90" t="s">
        <v>77</v>
      </c>
      <c r="C29" s="57"/>
      <c r="D29" s="57"/>
      <c r="E29" s="57"/>
      <c r="F29" s="57"/>
      <c r="G29" s="57"/>
      <c r="H29" s="57"/>
      <c r="I29" s="57"/>
      <c r="J29" s="57"/>
      <c r="K29" s="57"/>
      <c r="L29" s="57"/>
      <c r="AR29" s="3">
        <v>2006</v>
      </c>
      <c r="AS29" s="3" t="e">
        <f>B11/#REF!</f>
        <v>#REF!</v>
      </c>
      <c r="AT29" s="3" t="e">
        <f>C11/#REF!</f>
        <v>#REF!</v>
      </c>
      <c r="AU29" s="3" t="e">
        <f>D12/#REF!</f>
        <v>#REF!</v>
      </c>
      <c r="AV29" s="3" t="e">
        <f>I12/#REF!</f>
        <v>#REF!</v>
      </c>
      <c r="AW29" s="3" t="e">
        <f>M12/#REF!</f>
        <v>#REF!</v>
      </c>
      <c r="AX29" s="3" t="e">
        <f>N12/#REF!</f>
        <v>#REF!</v>
      </c>
      <c r="AY29" s="3" t="e">
        <f>#REF!/#REF!</f>
        <v>#REF!</v>
      </c>
    </row>
    <row r="30" spans="1:51">
      <c r="A30" s="90" t="s">
        <v>78</v>
      </c>
      <c r="B30" s="90" t="s">
        <v>79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AR30" s="3">
        <v>2007</v>
      </c>
      <c r="AS30" s="3" t="e">
        <f>B12/#REF!</f>
        <v>#REF!</v>
      </c>
      <c r="AT30" s="3" t="e">
        <f>C12/#REF!</f>
        <v>#REF!</v>
      </c>
      <c r="AU30" s="3" t="e">
        <f>D13/#REF!</f>
        <v>#REF!</v>
      </c>
      <c r="AV30" s="3" t="e">
        <f>I13/#REF!</f>
        <v>#REF!</v>
      </c>
      <c r="AW30" s="3" t="e">
        <f>M13/#REF!</f>
        <v>#REF!</v>
      </c>
      <c r="AX30" s="3" t="e">
        <f>N13/#REF!</f>
        <v>#REF!</v>
      </c>
      <c r="AY30" s="3" t="e">
        <f>#REF!/#REF!</f>
        <v>#REF!</v>
      </c>
    </row>
    <row r="31" spans="1:51">
      <c r="A31" s="90" t="s">
        <v>73</v>
      </c>
      <c r="B31" s="90"/>
    </row>
    <row r="32" spans="1:51">
      <c r="A32" s="90"/>
      <c r="B32" s="90"/>
    </row>
    <row r="33" spans="1:2">
      <c r="A33" s="90"/>
      <c r="B33" s="90"/>
    </row>
  </sheetData>
  <mergeCells count="20">
    <mergeCell ref="B3:B4"/>
    <mergeCell ref="C3:C4"/>
    <mergeCell ref="O3:O4"/>
    <mergeCell ref="P3:P4"/>
    <mergeCell ref="AB3:AB4"/>
    <mergeCell ref="AC3:AC4"/>
    <mergeCell ref="B2:N2"/>
    <mergeCell ref="A21:AM21"/>
    <mergeCell ref="A1:AM1"/>
    <mergeCell ref="O2:AA2"/>
    <mergeCell ref="AB2:AN2"/>
    <mergeCell ref="D3:G3"/>
    <mergeCell ref="H3:K3"/>
    <mergeCell ref="L3:N3"/>
    <mergeCell ref="Q3:T3"/>
    <mergeCell ref="U3:X3"/>
    <mergeCell ref="Y3:AA3"/>
    <mergeCell ref="AD3:AG3"/>
    <mergeCell ref="AH3:AK3"/>
    <mergeCell ref="AL3:AN3"/>
  </mergeCells>
  <printOptions gridLines="1"/>
  <pageMargins left="0.70866141732283472" right="0.70866141732283472" top="0.74803149606299213" bottom="0.74803149606299213" header="0.31496062992125984" footer="0.31496062992125984"/>
  <pageSetup scale="32" orientation="landscape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E31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3" style="3" customWidth="1"/>
    <col min="3" max="3" width="11.5703125" style="3" customWidth="1"/>
    <col min="4" max="49" width="9.140625" style="3"/>
    <col min="50" max="59" width="0" style="3" hidden="1" customWidth="1"/>
    <col min="60" max="16384" width="9.140625" style="3"/>
  </cols>
  <sheetData>
    <row r="1" spans="1:57" ht="15" customHeight="1">
      <c r="A1" s="454" t="s">
        <v>183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66"/>
      <c r="AP1" s="66"/>
      <c r="AQ1" s="66"/>
      <c r="AR1" s="66"/>
      <c r="AS1" s="66"/>
      <c r="AT1" s="66"/>
      <c r="AU1" s="66"/>
      <c r="AV1" s="66"/>
    </row>
    <row r="2" spans="1:57" ht="15" customHeight="1">
      <c r="A2" s="115"/>
      <c r="B2" s="454" t="s">
        <v>155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 t="s">
        <v>153</v>
      </c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 t="s">
        <v>156</v>
      </c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115"/>
      <c r="AP2" s="115"/>
      <c r="AQ2" s="115"/>
      <c r="AR2" s="115"/>
      <c r="AS2" s="115"/>
      <c r="AT2" s="115"/>
      <c r="AU2" s="115"/>
      <c r="AV2" s="115"/>
    </row>
    <row r="3" spans="1:57" ht="15" customHeight="1">
      <c r="A3" s="115"/>
      <c r="B3" s="454" t="s">
        <v>2</v>
      </c>
      <c r="C3" s="454" t="s">
        <v>8</v>
      </c>
      <c r="D3" s="454" t="s">
        <v>157</v>
      </c>
      <c r="E3" s="454"/>
      <c r="F3" s="454"/>
      <c r="G3" s="454"/>
      <c r="H3" s="454" t="s">
        <v>4</v>
      </c>
      <c r="I3" s="454"/>
      <c r="J3" s="454"/>
      <c r="K3" s="454"/>
      <c r="L3" s="454" t="s">
        <v>5</v>
      </c>
      <c r="M3" s="454"/>
      <c r="N3" s="454"/>
      <c r="O3" s="454" t="s">
        <v>2</v>
      </c>
      <c r="P3" s="454" t="s">
        <v>8</v>
      </c>
      <c r="Q3" s="454" t="s">
        <v>3</v>
      </c>
      <c r="R3" s="454"/>
      <c r="S3" s="454"/>
      <c r="T3" s="454"/>
      <c r="U3" s="454" t="s">
        <v>4</v>
      </c>
      <c r="V3" s="454"/>
      <c r="W3" s="454"/>
      <c r="X3" s="454"/>
      <c r="Y3" s="454" t="s">
        <v>5</v>
      </c>
      <c r="Z3" s="454"/>
      <c r="AA3" s="454"/>
      <c r="AB3" s="454" t="s">
        <v>2</v>
      </c>
      <c r="AC3" s="454" t="s">
        <v>8</v>
      </c>
      <c r="AD3" s="454" t="s">
        <v>3</v>
      </c>
      <c r="AE3" s="454"/>
      <c r="AF3" s="454"/>
      <c r="AG3" s="454"/>
      <c r="AH3" s="454" t="s">
        <v>4</v>
      </c>
      <c r="AI3" s="454"/>
      <c r="AJ3" s="454"/>
      <c r="AK3" s="454"/>
      <c r="AL3" s="454" t="s">
        <v>5</v>
      </c>
      <c r="AM3" s="454"/>
      <c r="AN3" s="454"/>
      <c r="AO3" s="115"/>
      <c r="AP3" s="115"/>
      <c r="AQ3" s="115"/>
      <c r="AR3" s="115"/>
      <c r="AS3" s="115"/>
      <c r="AT3" s="115"/>
      <c r="AU3" s="115"/>
      <c r="AV3" s="115"/>
    </row>
    <row r="4" spans="1:57" ht="135">
      <c r="A4" s="66"/>
      <c r="B4" s="454"/>
      <c r="C4" s="454"/>
      <c r="D4" s="66" t="s">
        <v>20</v>
      </c>
      <c r="E4" s="54" t="s">
        <v>63</v>
      </c>
      <c r="F4" s="54" t="s">
        <v>64</v>
      </c>
      <c r="G4" s="54" t="s">
        <v>65</v>
      </c>
      <c r="H4" s="66" t="s">
        <v>4</v>
      </c>
      <c r="I4" s="66" t="s">
        <v>36</v>
      </c>
      <c r="J4" s="66" t="s">
        <v>37</v>
      </c>
      <c r="K4" s="66" t="s">
        <v>38</v>
      </c>
      <c r="L4" s="66" t="s">
        <v>5</v>
      </c>
      <c r="M4" s="66" t="s">
        <v>6</v>
      </c>
      <c r="N4" s="66" t="s">
        <v>7</v>
      </c>
      <c r="O4" s="454"/>
      <c r="P4" s="454"/>
      <c r="Q4" s="66" t="s">
        <v>20</v>
      </c>
      <c r="R4" s="54" t="s">
        <v>63</v>
      </c>
      <c r="S4" s="54" t="s">
        <v>64</v>
      </c>
      <c r="T4" s="54" t="s">
        <v>65</v>
      </c>
      <c r="U4" s="66" t="s">
        <v>4</v>
      </c>
      <c r="V4" s="66" t="s">
        <v>36</v>
      </c>
      <c r="W4" s="66" t="s">
        <v>37</v>
      </c>
      <c r="X4" s="66" t="s">
        <v>38</v>
      </c>
      <c r="Y4" s="66" t="s">
        <v>5</v>
      </c>
      <c r="Z4" s="66" t="s">
        <v>6</v>
      </c>
      <c r="AA4" s="66" t="s">
        <v>7</v>
      </c>
      <c r="AB4" s="454"/>
      <c r="AC4" s="454"/>
      <c r="AD4" s="66" t="s">
        <v>20</v>
      </c>
      <c r="AE4" s="54" t="s">
        <v>63</v>
      </c>
      <c r="AF4" s="54" t="s">
        <v>64</v>
      </c>
      <c r="AG4" s="54" t="s">
        <v>65</v>
      </c>
      <c r="AH4" s="66" t="s">
        <v>4</v>
      </c>
      <c r="AI4" s="66" t="s">
        <v>36</v>
      </c>
      <c r="AJ4" s="66" t="s">
        <v>37</v>
      </c>
      <c r="AK4" s="66" t="s">
        <v>38</v>
      </c>
      <c r="AL4" s="66" t="s">
        <v>5</v>
      </c>
      <c r="AM4" s="66" t="s">
        <v>6</v>
      </c>
      <c r="AN4" s="66" t="s">
        <v>7</v>
      </c>
      <c r="AO4" s="66"/>
      <c r="AP4" s="66"/>
      <c r="AQ4" s="66"/>
      <c r="AR4" s="66"/>
      <c r="AS4" s="66"/>
      <c r="AT4" s="66"/>
      <c r="AU4" s="66"/>
      <c r="AV4" s="66"/>
    </row>
    <row r="5" spans="1:57">
      <c r="A5" s="66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</row>
    <row r="6" spans="1:57">
      <c r="A6" s="66">
        <v>2001</v>
      </c>
      <c r="B6" s="25">
        <v>5049805</v>
      </c>
      <c r="C6" s="8">
        <f>D6+H6+L6</f>
        <v>71775</v>
      </c>
      <c r="D6" s="25">
        <v>7209</v>
      </c>
      <c r="E6" s="25" t="s">
        <v>9</v>
      </c>
      <c r="F6" s="25">
        <v>74</v>
      </c>
      <c r="G6" s="25">
        <v>7082</v>
      </c>
      <c r="H6" s="25">
        <v>28752</v>
      </c>
      <c r="I6" s="25">
        <v>8950</v>
      </c>
      <c r="J6" s="25">
        <v>5751</v>
      </c>
      <c r="K6" s="25">
        <v>14051</v>
      </c>
      <c r="L6" s="25">
        <v>35814</v>
      </c>
      <c r="M6" s="25">
        <v>15311</v>
      </c>
      <c r="N6" s="25">
        <v>20503</v>
      </c>
      <c r="O6" s="25" t="s">
        <v>10</v>
      </c>
      <c r="P6" s="25">
        <f>Q6+U6+Y6</f>
        <v>15537</v>
      </c>
      <c r="Q6" s="25">
        <v>1675</v>
      </c>
      <c r="R6" s="25" t="s">
        <v>10</v>
      </c>
      <c r="S6" s="25" t="s">
        <v>10</v>
      </c>
      <c r="T6" s="25">
        <v>1643</v>
      </c>
      <c r="U6" s="25">
        <v>4096</v>
      </c>
      <c r="V6" s="25">
        <v>1266</v>
      </c>
      <c r="W6" s="25">
        <v>813</v>
      </c>
      <c r="X6" s="25">
        <v>2017</v>
      </c>
      <c r="Y6" s="25">
        <v>9766</v>
      </c>
      <c r="Z6" s="25">
        <v>4539</v>
      </c>
      <c r="AA6" s="25" t="s">
        <v>10</v>
      </c>
      <c r="AB6" s="25" t="s">
        <v>10</v>
      </c>
      <c r="AC6" s="25">
        <f>AD6+AH6+AL6</f>
        <v>51324</v>
      </c>
      <c r="AD6" s="25">
        <v>4233</v>
      </c>
      <c r="AE6" s="25" t="s">
        <v>10</v>
      </c>
      <c r="AF6" s="25" t="s">
        <v>10</v>
      </c>
      <c r="AG6" s="25">
        <v>4159</v>
      </c>
      <c r="AH6" s="25">
        <v>21945</v>
      </c>
      <c r="AI6" s="25">
        <v>6621</v>
      </c>
      <c r="AJ6" s="25">
        <v>4269</v>
      </c>
      <c r="AK6" s="25">
        <v>11055</v>
      </c>
      <c r="AL6" s="25">
        <v>25146</v>
      </c>
      <c r="AM6" s="25">
        <v>10288</v>
      </c>
      <c r="AN6" s="25" t="s">
        <v>10</v>
      </c>
      <c r="AO6" s="25"/>
      <c r="AP6" s="25"/>
      <c r="AQ6" s="25"/>
      <c r="AR6" s="25"/>
      <c r="AS6" s="25"/>
      <c r="AT6" s="25"/>
      <c r="AU6" s="25"/>
      <c r="AV6" s="25"/>
      <c r="AX6" s="3">
        <v>2000</v>
      </c>
      <c r="AY6" s="3" t="e">
        <f>((#REF!/#REF!)-1)*100</f>
        <v>#REF!</v>
      </c>
      <c r="AZ6" s="3" t="e">
        <f>((#REF!/#REF!)-1)*100</f>
        <v>#REF!</v>
      </c>
      <c r="BA6" s="3" t="e">
        <f>((#REF!/#REF!)-1)*100</f>
        <v>#REF!</v>
      </c>
      <c r="BB6" s="3" t="e">
        <f>((#REF!/#REF!)-1)*100</f>
        <v>#REF!</v>
      </c>
      <c r="BC6" s="3" t="e">
        <f>((#REF!/#REF!)-1)*100</f>
        <v>#REF!</v>
      </c>
      <c r="BD6" s="3" t="e">
        <f>((#REF!/#REF!)-1)*100</f>
        <v>#REF!</v>
      </c>
      <c r="BE6" s="3" t="e">
        <f>((#REF!/#REF!)-1)*100</f>
        <v>#REF!</v>
      </c>
    </row>
    <row r="7" spans="1:57">
      <c r="A7" s="66">
        <v>2002</v>
      </c>
      <c r="B7" s="25">
        <v>5146788</v>
      </c>
      <c r="C7" s="8">
        <f t="shared" ref="C7:C18" si="0">D7+H7+L7</f>
        <v>71559</v>
      </c>
      <c r="D7" s="25">
        <v>6936</v>
      </c>
      <c r="E7" s="25" t="s">
        <v>9</v>
      </c>
      <c r="F7" s="25">
        <v>145</v>
      </c>
      <c r="G7" s="25">
        <v>6692</v>
      </c>
      <c r="H7" s="25">
        <v>29295</v>
      </c>
      <c r="I7" s="25">
        <v>8485</v>
      </c>
      <c r="J7" s="25">
        <v>6067</v>
      </c>
      <c r="K7" s="25">
        <v>14743</v>
      </c>
      <c r="L7" s="25">
        <v>35328</v>
      </c>
      <c r="M7" s="25">
        <v>14230</v>
      </c>
      <c r="N7" s="25">
        <v>21098</v>
      </c>
      <c r="O7" s="25" t="s">
        <v>10</v>
      </c>
      <c r="P7" s="25">
        <f t="shared" ref="P7:P13" si="1">Q7+U7+Y7</f>
        <v>14296</v>
      </c>
      <c r="Q7" s="25">
        <v>1300</v>
      </c>
      <c r="R7" s="25" t="s">
        <v>10</v>
      </c>
      <c r="S7" s="25" t="s">
        <v>10</v>
      </c>
      <c r="T7" s="25">
        <v>1254</v>
      </c>
      <c r="U7" s="25">
        <v>4182</v>
      </c>
      <c r="V7" s="25">
        <v>1141</v>
      </c>
      <c r="W7" s="25">
        <v>815</v>
      </c>
      <c r="X7" s="25">
        <v>2227</v>
      </c>
      <c r="Y7" s="25">
        <v>8814</v>
      </c>
      <c r="Z7" s="25">
        <v>3835</v>
      </c>
      <c r="AA7" s="25" t="s">
        <v>10</v>
      </c>
      <c r="AB7" s="25" t="s">
        <v>10</v>
      </c>
      <c r="AC7" s="25">
        <f t="shared" ref="AC7:AC13" si="2">AD7+AH7+AL7</f>
        <v>53471</v>
      </c>
      <c r="AD7" s="25">
        <v>4296</v>
      </c>
      <c r="AE7" s="25" t="s">
        <v>10</v>
      </c>
      <c r="AF7" s="25" t="s">
        <v>10</v>
      </c>
      <c r="AG7" s="25">
        <v>4140</v>
      </c>
      <c r="AH7" s="25">
        <v>23897</v>
      </c>
      <c r="AI7" s="25">
        <v>6988</v>
      </c>
      <c r="AJ7" s="25">
        <v>4974</v>
      </c>
      <c r="AK7" s="25">
        <v>11934</v>
      </c>
      <c r="AL7" s="25">
        <v>25278</v>
      </c>
      <c r="AM7" s="25">
        <v>9540</v>
      </c>
      <c r="AN7" s="25" t="s">
        <v>10</v>
      </c>
      <c r="AO7" s="25"/>
      <c r="AP7" s="25"/>
      <c r="AQ7" s="25"/>
      <c r="AR7" s="25"/>
      <c r="AS7" s="25"/>
      <c r="AT7" s="25"/>
      <c r="AU7" s="25"/>
      <c r="AV7" s="25"/>
      <c r="AX7" s="3">
        <v>2001</v>
      </c>
      <c r="AY7" s="3" t="e">
        <f>((B6/#REF!)-1)*100</f>
        <v>#REF!</v>
      </c>
      <c r="AZ7" s="3" t="e">
        <f>((C6/#REF!)-1)*100</f>
        <v>#REF!</v>
      </c>
      <c r="BA7" s="3" t="e">
        <f>((D6/#REF!)-1)*100</f>
        <v>#REF!</v>
      </c>
      <c r="BB7" s="3" t="e">
        <f>((H6/#REF!)-1)*100</f>
        <v>#REF!</v>
      </c>
      <c r="BC7" s="3" t="e">
        <f>((L6/#REF!)-1)*100</f>
        <v>#REF!</v>
      </c>
      <c r="BD7" s="3" t="e">
        <f>((M6/#REF!)-1)*100</f>
        <v>#REF!</v>
      </c>
      <c r="BE7" s="3" t="e">
        <f>((N6/#REF!)-1)*100</f>
        <v>#REF!</v>
      </c>
    </row>
    <row r="8" spans="1:57">
      <c r="A8" s="66">
        <v>2003</v>
      </c>
      <c r="B8" s="25">
        <v>5247830</v>
      </c>
      <c r="C8" s="8">
        <f t="shared" si="0"/>
        <v>70559</v>
      </c>
      <c r="D8" s="25">
        <v>6877</v>
      </c>
      <c r="E8" s="25" t="s">
        <v>9</v>
      </c>
      <c r="F8" s="25" t="s">
        <v>9</v>
      </c>
      <c r="G8" s="25">
        <v>6607</v>
      </c>
      <c r="H8" s="25">
        <v>28439</v>
      </c>
      <c r="I8" s="25">
        <v>7839</v>
      </c>
      <c r="J8" s="25">
        <v>6191</v>
      </c>
      <c r="K8" s="25">
        <v>14410</v>
      </c>
      <c r="L8" s="25">
        <v>35243</v>
      </c>
      <c r="M8" s="25">
        <v>13429</v>
      </c>
      <c r="N8" s="25">
        <v>21814</v>
      </c>
      <c r="O8" s="25" t="s">
        <v>10</v>
      </c>
      <c r="P8" s="25">
        <f t="shared" si="1"/>
        <v>13025</v>
      </c>
      <c r="Q8" s="25">
        <v>1225</v>
      </c>
      <c r="R8" s="25" t="s">
        <v>10</v>
      </c>
      <c r="S8" s="25" t="s">
        <v>10</v>
      </c>
      <c r="T8" s="25">
        <v>1177</v>
      </c>
      <c r="U8" s="25">
        <v>4185</v>
      </c>
      <c r="V8" s="25">
        <v>1017</v>
      </c>
      <c r="W8" s="25">
        <v>821</v>
      </c>
      <c r="X8" s="25">
        <v>2347</v>
      </c>
      <c r="Y8" s="25">
        <v>7615</v>
      </c>
      <c r="Z8" s="25">
        <v>3195</v>
      </c>
      <c r="AA8" s="25" t="s">
        <v>10</v>
      </c>
      <c r="AB8" s="25" t="s">
        <v>10</v>
      </c>
      <c r="AC8" s="25">
        <f t="shared" si="2"/>
        <v>53497</v>
      </c>
      <c r="AD8" s="25">
        <v>3780</v>
      </c>
      <c r="AE8" s="25" t="s">
        <v>10</v>
      </c>
      <c r="AF8" s="25" t="s">
        <v>10</v>
      </c>
      <c r="AG8" s="25">
        <v>3635</v>
      </c>
      <c r="AH8" s="25">
        <v>22681</v>
      </c>
      <c r="AI8" s="25">
        <v>6336</v>
      </c>
      <c r="AJ8" s="25">
        <v>5172</v>
      </c>
      <c r="AK8" s="25">
        <v>11173</v>
      </c>
      <c r="AL8" s="25">
        <v>27036</v>
      </c>
      <c r="AM8" s="25">
        <v>10009</v>
      </c>
      <c r="AN8" s="25" t="s">
        <v>10</v>
      </c>
      <c r="AO8" s="25"/>
      <c r="AP8" s="25"/>
      <c r="AQ8" s="25"/>
      <c r="AR8" s="25"/>
      <c r="AS8" s="25"/>
      <c r="AT8" s="25"/>
      <c r="AU8" s="25"/>
      <c r="AV8" s="25"/>
      <c r="AX8" s="3">
        <v>2002</v>
      </c>
      <c r="AY8" s="3">
        <f t="shared" ref="AY8:BA18" si="3">((B7/B6)-1)*100</f>
        <v>1.9205296046084896</v>
      </c>
      <c r="AZ8" s="3">
        <f t="shared" si="3"/>
        <v>-0.30094043887147759</v>
      </c>
      <c r="BA8" s="3">
        <f t="shared" si="3"/>
        <v>-3.7869330004161483</v>
      </c>
      <c r="BB8" s="3">
        <f t="shared" ref="BB8:BB18" si="4">((H7/H6)-1)*100</f>
        <v>1.8885642737896502</v>
      </c>
      <c r="BC8" s="3">
        <f t="shared" ref="BC8:BE18" si="5">((L7/L6)-1)*100</f>
        <v>-1.3570112246607424</v>
      </c>
      <c r="BD8" s="3">
        <f t="shared" si="5"/>
        <v>-7.0602834563385786</v>
      </c>
      <c r="BE8" s="3">
        <f t="shared" si="5"/>
        <v>2.9020143393649667</v>
      </c>
    </row>
    <row r="9" spans="1:57">
      <c r="A9" s="66">
        <v>2004</v>
      </c>
      <c r="B9" s="25">
        <v>5327887</v>
      </c>
      <c r="C9" s="8">
        <f t="shared" si="0"/>
        <v>68701</v>
      </c>
      <c r="D9" s="25">
        <v>6805</v>
      </c>
      <c r="E9" s="25" t="s">
        <v>9</v>
      </c>
      <c r="F9" s="25">
        <v>195</v>
      </c>
      <c r="G9" s="25">
        <v>6547</v>
      </c>
      <c r="H9" s="25">
        <v>27883</v>
      </c>
      <c r="I9" s="25">
        <v>7466</v>
      </c>
      <c r="J9" s="25">
        <v>6780</v>
      </c>
      <c r="K9" s="25">
        <v>13637</v>
      </c>
      <c r="L9" s="25">
        <v>34013</v>
      </c>
      <c r="M9" s="25">
        <v>13087</v>
      </c>
      <c r="N9" s="25">
        <v>20926</v>
      </c>
      <c r="O9" s="25" t="s">
        <v>10</v>
      </c>
      <c r="P9" s="25">
        <f t="shared" si="1"/>
        <v>13458</v>
      </c>
      <c r="Q9" s="25">
        <v>1209</v>
      </c>
      <c r="R9" s="25" t="s">
        <v>10</v>
      </c>
      <c r="S9" s="25" t="s">
        <v>10</v>
      </c>
      <c r="T9" s="25">
        <v>1164</v>
      </c>
      <c r="U9" s="25">
        <v>4858</v>
      </c>
      <c r="V9" s="25">
        <v>1155</v>
      </c>
      <c r="W9" s="25">
        <v>1060</v>
      </c>
      <c r="X9" s="25">
        <v>2643</v>
      </c>
      <c r="Y9" s="25">
        <v>7391</v>
      </c>
      <c r="Z9" s="25">
        <v>3131</v>
      </c>
      <c r="AA9" s="25" t="s">
        <v>10</v>
      </c>
      <c r="AB9" s="25" t="s">
        <v>10</v>
      </c>
      <c r="AC9" s="25">
        <f t="shared" si="2"/>
        <v>52045</v>
      </c>
      <c r="AD9" s="25">
        <v>3797</v>
      </c>
      <c r="AE9" s="25" t="s">
        <v>10</v>
      </c>
      <c r="AF9" s="25" t="s">
        <v>10</v>
      </c>
      <c r="AG9" s="25">
        <v>3654</v>
      </c>
      <c r="AH9" s="25">
        <v>22348</v>
      </c>
      <c r="AI9" s="25">
        <v>6104</v>
      </c>
      <c r="AJ9" s="25">
        <v>5634</v>
      </c>
      <c r="AK9" s="25">
        <v>10610</v>
      </c>
      <c r="AL9" s="25">
        <v>25900</v>
      </c>
      <c r="AM9" s="25">
        <v>9678</v>
      </c>
      <c r="AN9" s="25" t="s">
        <v>10</v>
      </c>
      <c r="AO9" s="25"/>
      <c r="AP9" s="25"/>
      <c r="AQ9" s="25"/>
      <c r="AR9" s="25"/>
      <c r="AS9" s="25"/>
      <c r="AT9" s="25"/>
      <c r="AU9" s="25"/>
      <c r="AV9" s="25"/>
      <c r="AX9" s="3">
        <v>2003</v>
      </c>
      <c r="AY9" s="3">
        <f t="shared" si="3"/>
        <v>1.9632050125243161</v>
      </c>
      <c r="AZ9" s="3">
        <f t="shared" si="3"/>
        <v>-1.3974482594781956</v>
      </c>
      <c r="BA9" s="3">
        <f t="shared" si="3"/>
        <v>-0.85063437139561993</v>
      </c>
      <c r="BB9" s="3">
        <f t="shared" si="4"/>
        <v>-2.9220003413551798</v>
      </c>
      <c r="BC9" s="3">
        <f t="shared" si="5"/>
        <v>-0.24060235507246119</v>
      </c>
      <c r="BD9" s="3">
        <f t="shared" si="5"/>
        <v>-5.6289529163738532</v>
      </c>
      <c r="BE9" s="3">
        <f t="shared" si="5"/>
        <v>3.3936866053654313</v>
      </c>
    </row>
    <row r="10" spans="1:57">
      <c r="A10" s="66">
        <v>2005</v>
      </c>
      <c r="B10" s="25">
        <v>5422427</v>
      </c>
      <c r="C10" s="8">
        <f t="shared" si="0"/>
        <v>65145</v>
      </c>
      <c r="D10" s="25">
        <v>6459</v>
      </c>
      <c r="E10" s="25" t="s">
        <v>9</v>
      </c>
      <c r="F10" s="25">
        <v>210</v>
      </c>
      <c r="G10" s="25">
        <v>6181</v>
      </c>
      <c r="H10" s="25">
        <v>27446</v>
      </c>
      <c r="I10" s="25">
        <v>7393</v>
      </c>
      <c r="J10" s="25">
        <v>6526</v>
      </c>
      <c r="K10" s="25">
        <v>13527</v>
      </c>
      <c r="L10" s="25">
        <v>31240</v>
      </c>
      <c r="M10" s="25">
        <v>11346</v>
      </c>
      <c r="N10" s="25">
        <v>19894</v>
      </c>
      <c r="O10" s="25" t="s">
        <v>10</v>
      </c>
      <c r="P10" s="25">
        <f t="shared" si="1"/>
        <v>15068</v>
      </c>
      <c r="Q10" s="25">
        <v>989</v>
      </c>
      <c r="R10" s="25" t="s">
        <v>10</v>
      </c>
      <c r="S10" s="25" t="s">
        <v>10</v>
      </c>
      <c r="T10" s="25">
        <v>946</v>
      </c>
      <c r="U10" s="25">
        <v>5286</v>
      </c>
      <c r="V10" s="25">
        <v>1267</v>
      </c>
      <c r="W10" s="25">
        <v>1123</v>
      </c>
      <c r="X10" s="25">
        <v>2896</v>
      </c>
      <c r="Y10" s="25">
        <v>8793</v>
      </c>
      <c r="Z10" s="25">
        <v>3494</v>
      </c>
      <c r="AA10" s="25" t="s">
        <v>10</v>
      </c>
      <c r="AB10" s="25" t="s">
        <v>10</v>
      </c>
      <c r="AC10" s="25">
        <f t="shared" si="2"/>
        <v>47899</v>
      </c>
      <c r="AD10" s="25">
        <v>3868</v>
      </c>
      <c r="AE10" s="25" t="s">
        <v>10</v>
      </c>
      <c r="AF10" s="25" t="s">
        <v>10</v>
      </c>
      <c r="AG10" s="25">
        <v>3701</v>
      </c>
      <c r="AH10" s="25">
        <v>21846</v>
      </c>
      <c r="AI10" s="25">
        <v>6030</v>
      </c>
      <c r="AJ10" s="25">
        <v>5364</v>
      </c>
      <c r="AK10" s="25">
        <v>10452</v>
      </c>
      <c r="AL10" s="25">
        <v>22185</v>
      </c>
      <c r="AM10" s="25">
        <v>7756</v>
      </c>
      <c r="AN10" s="25" t="s">
        <v>10</v>
      </c>
      <c r="AO10" s="25"/>
      <c r="AP10" s="25"/>
      <c r="AQ10" s="25"/>
      <c r="AR10" s="25"/>
      <c r="AS10" s="25"/>
      <c r="AT10" s="25"/>
      <c r="AU10" s="25"/>
      <c r="AV10" s="25"/>
      <c r="AX10" s="3">
        <v>2004</v>
      </c>
      <c r="AY10" s="3">
        <f t="shared" si="3"/>
        <v>1.5255257887546003</v>
      </c>
      <c r="AZ10" s="3">
        <f t="shared" si="3"/>
        <v>-2.6332572740543347</v>
      </c>
      <c r="BA10" s="3">
        <f t="shared" si="3"/>
        <v>-1.0469681547186305</v>
      </c>
      <c r="BB10" s="3">
        <f t="shared" si="4"/>
        <v>-1.9550617110306256</v>
      </c>
      <c r="BC10" s="3">
        <f t="shared" si="5"/>
        <v>-3.4900547626478984</v>
      </c>
      <c r="BD10" s="3">
        <f t="shared" si="5"/>
        <v>-2.5467272321096135</v>
      </c>
      <c r="BE10" s="3">
        <f t="shared" si="5"/>
        <v>-4.0707802328779685</v>
      </c>
    </row>
    <row r="11" spans="1:57">
      <c r="A11" s="66">
        <v>2006</v>
      </c>
      <c r="B11" s="25">
        <v>5530840</v>
      </c>
      <c r="C11" s="8">
        <f t="shared" si="0"/>
        <v>62631</v>
      </c>
      <c r="D11" s="25">
        <v>6048</v>
      </c>
      <c r="E11" s="25" t="s">
        <v>9</v>
      </c>
      <c r="F11" s="25">
        <v>253</v>
      </c>
      <c r="G11" s="25">
        <v>5669</v>
      </c>
      <c r="H11" s="25">
        <v>26369</v>
      </c>
      <c r="I11" s="25">
        <v>6737</v>
      </c>
      <c r="J11" s="25">
        <v>6280</v>
      </c>
      <c r="K11" s="25">
        <v>13351</v>
      </c>
      <c r="L11" s="25">
        <v>30214</v>
      </c>
      <c r="M11" s="25">
        <v>10941</v>
      </c>
      <c r="N11" s="25">
        <v>19273</v>
      </c>
      <c r="O11" s="25" t="s">
        <v>10</v>
      </c>
      <c r="P11" s="25">
        <f t="shared" si="1"/>
        <v>15567</v>
      </c>
      <c r="Q11" s="25">
        <v>1075</v>
      </c>
      <c r="R11" s="25" t="s">
        <v>10</v>
      </c>
      <c r="S11" s="25" t="s">
        <v>10</v>
      </c>
      <c r="T11" s="25">
        <v>1007</v>
      </c>
      <c r="U11" s="25">
        <v>5374</v>
      </c>
      <c r="V11" s="25">
        <v>1233</v>
      </c>
      <c r="W11" s="25">
        <v>1140</v>
      </c>
      <c r="X11" s="25">
        <v>3002</v>
      </c>
      <c r="Y11" s="25">
        <v>9118</v>
      </c>
      <c r="Z11" s="25">
        <v>3516</v>
      </c>
      <c r="AA11" s="25" t="s">
        <v>10</v>
      </c>
      <c r="AB11" s="25" t="s">
        <v>10</v>
      </c>
      <c r="AC11" s="25">
        <f t="shared" si="2"/>
        <v>44520</v>
      </c>
      <c r="AD11" s="25">
        <v>3455</v>
      </c>
      <c r="AE11" s="25" t="s">
        <v>10</v>
      </c>
      <c r="AF11" s="25" t="s">
        <v>10</v>
      </c>
      <c r="AG11" s="25">
        <v>3240</v>
      </c>
      <c r="AH11" s="25">
        <v>20449</v>
      </c>
      <c r="AI11" s="25">
        <v>5292</v>
      </c>
      <c r="AJ11" s="25">
        <v>5082</v>
      </c>
      <c r="AK11" s="25">
        <v>10076</v>
      </c>
      <c r="AL11" s="25">
        <v>20616</v>
      </c>
      <c r="AM11" s="25">
        <v>7227</v>
      </c>
      <c r="AN11" s="25" t="s">
        <v>10</v>
      </c>
      <c r="AO11" s="25"/>
      <c r="AP11" s="25"/>
      <c r="AQ11" s="25"/>
      <c r="AR11" s="25"/>
      <c r="AS11" s="25"/>
      <c r="AT11" s="25"/>
      <c r="AU11" s="25"/>
      <c r="AV11" s="25"/>
      <c r="AX11" s="3">
        <v>2005</v>
      </c>
      <c r="AY11" s="3">
        <f t="shared" si="3"/>
        <v>1.7744370329175529</v>
      </c>
      <c r="AZ11" s="3">
        <f t="shared" si="3"/>
        <v>-5.1760527503238674</v>
      </c>
      <c r="BA11" s="3">
        <f t="shared" si="3"/>
        <v>-5.084496693607643</v>
      </c>
      <c r="BB11" s="3">
        <f t="shared" si="4"/>
        <v>-1.5672632069719916</v>
      </c>
      <c r="BC11" s="3">
        <f t="shared" si="5"/>
        <v>-8.1527651192191186</v>
      </c>
      <c r="BD11" s="3">
        <f t="shared" si="5"/>
        <v>-13.30327806219913</v>
      </c>
      <c r="BE11" s="3">
        <f t="shared" si="5"/>
        <v>-4.9316639587116518</v>
      </c>
    </row>
    <row r="12" spans="1:57">
      <c r="A12" s="66">
        <v>2007</v>
      </c>
      <c r="B12" s="25">
        <v>5619007</v>
      </c>
      <c r="C12" s="8">
        <f t="shared" si="0"/>
        <v>57357</v>
      </c>
      <c r="D12" s="25">
        <v>5327</v>
      </c>
      <c r="E12" s="25" t="s">
        <v>9</v>
      </c>
      <c r="F12" s="25">
        <v>164</v>
      </c>
      <c r="G12" s="25">
        <v>5063</v>
      </c>
      <c r="H12" s="25">
        <v>24572</v>
      </c>
      <c r="I12" s="25">
        <v>5880</v>
      </c>
      <c r="J12" s="25">
        <v>5747</v>
      </c>
      <c r="K12" s="25">
        <v>12944</v>
      </c>
      <c r="L12" s="25">
        <v>27458</v>
      </c>
      <c r="M12" s="25">
        <v>9039</v>
      </c>
      <c r="N12" s="25">
        <v>18419</v>
      </c>
      <c r="O12" s="25" t="s">
        <v>10</v>
      </c>
      <c r="P12" s="25">
        <f t="shared" si="1"/>
        <v>12179</v>
      </c>
      <c r="Q12" s="25">
        <v>747</v>
      </c>
      <c r="R12" s="25" t="s">
        <v>10</v>
      </c>
      <c r="S12" s="25" t="s">
        <v>10</v>
      </c>
      <c r="T12" s="25">
        <v>710</v>
      </c>
      <c r="U12" s="25">
        <v>3245</v>
      </c>
      <c r="V12" s="25">
        <v>702</v>
      </c>
      <c r="W12" s="25">
        <v>662</v>
      </c>
      <c r="X12" s="25">
        <v>1881</v>
      </c>
      <c r="Y12" s="25">
        <v>8187</v>
      </c>
      <c r="Z12" s="25">
        <v>2752</v>
      </c>
      <c r="AA12" s="25" t="s">
        <v>10</v>
      </c>
      <c r="AB12" s="25" t="s">
        <v>10</v>
      </c>
      <c r="AC12" s="25">
        <f t="shared" si="2"/>
        <v>43098</v>
      </c>
      <c r="AD12" s="25">
        <v>3225</v>
      </c>
      <c r="AE12" s="25" t="s">
        <v>10</v>
      </c>
      <c r="AF12" s="25" t="s">
        <v>10</v>
      </c>
      <c r="AG12" s="25">
        <v>3066</v>
      </c>
      <c r="AH12" s="25">
        <v>20978</v>
      </c>
      <c r="AI12" s="25">
        <v>4991</v>
      </c>
      <c r="AJ12" s="25">
        <v>5059</v>
      </c>
      <c r="AK12" s="25">
        <v>10928</v>
      </c>
      <c r="AL12" s="25">
        <v>18895</v>
      </c>
      <c r="AM12" s="25">
        <v>6100</v>
      </c>
      <c r="AN12" s="25" t="s">
        <v>10</v>
      </c>
      <c r="AO12" s="25"/>
      <c r="AP12" s="25"/>
      <c r="AQ12" s="25"/>
      <c r="AR12" s="25"/>
      <c r="AS12" s="25"/>
      <c r="AT12" s="25"/>
      <c r="AU12" s="25"/>
      <c r="AV12" s="25"/>
      <c r="AX12" s="3">
        <v>2006</v>
      </c>
      <c r="AY12" s="3">
        <f t="shared" si="3"/>
        <v>1.9993445739334037</v>
      </c>
      <c r="AZ12" s="3">
        <f t="shared" si="3"/>
        <v>-3.8590835827768788</v>
      </c>
      <c r="BA12" s="3">
        <f t="shared" si="3"/>
        <v>-6.3632141198327936</v>
      </c>
      <c r="BB12" s="3">
        <f t="shared" si="4"/>
        <v>-3.9240690811047196</v>
      </c>
      <c r="BC12" s="3">
        <f t="shared" si="5"/>
        <v>-3.2842509603073</v>
      </c>
      <c r="BD12" s="3">
        <f t="shared" si="5"/>
        <v>-3.5695399259650928</v>
      </c>
      <c r="BE12" s="3">
        <f t="shared" si="5"/>
        <v>-3.1215441841761282</v>
      </c>
    </row>
    <row r="13" spans="1:57">
      <c r="A13" s="66">
        <v>2008</v>
      </c>
      <c r="B13" s="25">
        <v>5712130</v>
      </c>
      <c r="C13" s="8">
        <f t="shared" si="0"/>
        <v>50563</v>
      </c>
      <c r="D13" s="25">
        <v>4527</v>
      </c>
      <c r="E13" s="25" t="s">
        <v>9</v>
      </c>
      <c r="F13" s="25">
        <v>143</v>
      </c>
      <c r="G13" s="25">
        <v>4288</v>
      </c>
      <c r="H13" s="25">
        <v>21088</v>
      </c>
      <c r="I13" s="25">
        <v>4225</v>
      </c>
      <c r="J13" s="25">
        <v>5080</v>
      </c>
      <c r="K13" s="25">
        <v>11783</v>
      </c>
      <c r="L13" s="25">
        <v>24948</v>
      </c>
      <c r="M13" s="25">
        <v>7634</v>
      </c>
      <c r="N13" s="25">
        <v>17313</v>
      </c>
      <c r="O13" s="25" t="s">
        <v>10</v>
      </c>
      <c r="P13" s="25">
        <f t="shared" si="1"/>
        <v>11036</v>
      </c>
      <c r="Q13" s="25">
        <v>597</v>
      </c>
      <c r="R13" s="25" t="s">
        <v>10</v>
      </c>
      <c r="S13" s="25" t="s">
        <v>10</v>
      </c>
      <c r="T13" s="25">
        <v>572</v>
      </c>
      <c r="U13" s="25">
        <v>4198</v>
      </c>
      <c r="V13" s="25">
        <v>742</v>
      </c>
      <c r="W13" s="25">
        <v>973</v>
      </c>
      <c r="X13" s="25">
        <v>2483</v>
      </c>
      <c r="Y13" s="25">
        <v>6241</v>
      </c>
      <c r="Z13" s="25" t="s">
        <v>10</v>
      </c>
      <c r="AA13" s="25" t="s">
        <v>10</v>
      </c>
      <c r="AB13" s="25" t="s">
        <v>10</v>
      </c>
      <c r="AC13" s="25">
        <f t="shared" si="2"/>
        <v>37540</v>
      </c>
      <c r="AD13" s="25">
        <v>2936</v>
      </c>
      <c r="AE13" s="25" t="s">
        <v>10</v>
      </c>
      <c r="AF13" s="25" t="s">
        <v>10</v>
      </c>
      <c r="AG13" s="25">
        <v>2773</v>
      </c>
      <c r="AH13" s="25">
        <v>16357</v>
      </c>
      <c r="AI13" s="25">
        <v>3254</v>
      </c>
      <c r="AJ13" s="25">
        <v>4061</v>
      </c>
      <c r="AK13" s="25">
        <v>9042</v>
      </c>
      <c r="AL13" s="25">
        <v>18247</v>
      </c>
      <c r="AM13" s="25" t="s">
        <v>10</v>
      </c>
      <c r="AN13" s="25" t="s">
        <v>10</v>
      </c>
      <c r="AO13" s="25"/>
      <c r="AP13" s="25"/>
      <c r="AQ13" s="25"/>
      <c r="AR13" s="25"/>
      <c r="AS13" s="25"/>
      <c r="AT13" s="25"/>
      <c r="AU13" s="25"/>
      <c r="AV13" s="25"/>
      <c r="AX13" s="3">
        <v>2007</v>
      </c>
      <c r="AY13" s="3">
        <f t="shared" si="3"/>
        <v>1.5940978223922597</v>
      </c>
      <c r="AZ13" s="3">
        <f t="shared" si="3"/>
        <v>-8.4207501077741114</v>
      </c>
      <c r="BA13" s="3">
        <f t="shared" si="3"/>
        <v>-11.921296296296291</v>
      </c>
      <c r="BB13" s="3">
        <f t="shared" si="4"/>
        <v>-6.814820433084301</v>
      </c>
      <c r="BC13" s="3">
        <f t="shared" si="5"/>
        <v>-9.121599258621826</v>
      </c>
      <c r="BD13" s="3">
        <f t="shared" si="5"/>
        <v>-17.384151357279954</v>
      </c>
      <c r="BE13" s="3">
        <f t="shared" si="5"/>
        <v>-4.4310693716598344</v>
      </c>
    </row>
    <row r="14" spans="1:57">
      <c r="A14" s="66">
        <v>2009</v>
      </c>
      <c r="B14" s="25">
        <v>5581274</v>
      </c>
      <c r="C14" s="8">
        <f t="shared" si="0"/>
        <v>39762</v>
      </c>
      <c r="D14" s="25">
        <v>3422</v>
      </c>
      <c r="E14" s="25" t="s">
        <v>9</v>
      </c>
      <c r="F14" s="25">
        <v>103</v>
      </c>
      <c r="G14" s="25">
        <v>3222</v>
      </c>
      <c r="H14" s="25">
        <v>15930</v>
      </c>
      <c r="I14" s="25">
        <v>3167</v>
      </c>
      <c r="J14" s="25">
        <v>3546</v>
      </c>
      <c r="K14" s="25">
        <v>9218</v>
      </c>
      <c r="L14" s="25">
        <v>20410</v>
      </c>
      <c r="M14" s="25">
        <v>5963</v>
      </c>
      <c r="N14" s="25">
        <v>14447</v>
      </c>
      <c r="O14" s="25" t="s">
        <v>10</v>
      </c>
      <c r="P14" s="25" t="s">
        <v>9</v>
      </c>
      <c r="Q14" s="25" t="s">
        <v>76</v>
      </c>
      <c r="R14" s="25" t="s">
        <v>10</v>
      </c>
      <c r="S14" s="25" t="s">
        <v>10</v>
      </c>
      <c r="T14" s="25" t="s">
        <v>76</v>
      </c>
      <c r="U14" s="25">
        <v>3215</v>
      </c>
      <c r="V14" s="25" t="s">
        <v>76</v>
      </c>
      <c r="W14" s="25" t="s">
        <v>76</v>
      </c>
      <c r="X14" s="25" t="s">
        <v>76</v>
      </c>
      <c r="Y14" s="25" t="s">
        <v>76</v>
      </c>
      <c r="Z14" s="25" t="s">
        <v>76</v>
      </c>
      <c r="AA14" s="25" t="s">
        <v>10</v>
      </c>
      <c r="AB14" s="25" t="s">
        <v>10</v>
      </c>
      <c r="AC14" s="25" t="s">
        <v>9</v>
      </c>
      <c r="AD14" s="25" t="s">
        <v>76</v>
      </c>
      <c r="AE14" s="25" t="s">
        <v>10</v>
      </c>
      <c r="AF14" s="25" t="s">
        <v>10</v>
      </c>
      <c r="AG14" s="25" t="s">
        <v>76</v>
      </c>
      <c r="AH14" s="25">
        <v>11486</v>
      </c>
      <c r="AI14" s="25" t="s">
        <v>76</v>
      </c>
      <c r="AJ14" s="25" t="s">
        <v>76</v>
      </c>
      <c r="AK14" s="25" t="s">
        <v>76</v>
      </c>
      <c r="AL14" s="25" t="s">
        <v>76</v>
      </c>
      <c r="AM14" s="25" t="s">
        <v>76</v>
      </c>
      <c r="AN14" s="25" t="s">
        <v>10</v>
      </c>
      <c r="AO14" s="25"/>
      <c r="AP14" s="25"/>
      <c r="AQ14" s="25"/>
      <c r="AR14" s="25"/>
      <c r="AS14" s="25"/>
      <c r="AT14" s="25"/>
      <c r="AU14" s="25"/>
      <c r="AV14" s="25"/>
      <c r="AX14" s="3">
        <v>2008</v>
      </c>
      <c r="AY14" s="3">
        <f t="shared" si="3"/>
        <v>1.6572857090229709</v>
      </c>
      <c r="AZ14" s="3">
        <f t="shared" si="3"/>
        <v>-11.845110448593898</v>
      </c>
      <c r="BA14" s="3">
        <f t="shared" si="3"/>
        <v>-15.017833677492021</v>
      </c>
      <c r="BB14" s="3">
        <f t="shared" si="4"/>
        <v>-14.17874002930164</v>
      </c>
      <c r="BC14" s="3">
        <f t="shared" si="5"/>
        <v>-9.1412338844781171</v>
      </c>
      <c r="BD14" s="3">
        <f t="shared" si="5"/>
        <v>-15.543754840137181</v>
      </c>
      <c r="BE14" s="3">
        <f t="shared" si="5"/>
        <v>-6.0046690916987888</v>
      </c>
    </row>
    <row r="15" spans="1:57">
      <c r="A15" s="66">
        <v>2010</v>
      </c>
      <c r="B15" s="25">
        <v>5639371</v>
      </c>
      <c r="C15" s="8">
        <f t="shared" si="0"/>
        <v>39143</v>
      </c>
      <c r="D15" s="25">
        <v>3410</v>
      </c>
      <c r="E15" s="25" t="s">
        <v>9</v>
      </c>
      <c r="F15" s="25">
        <v>127</v>
      </c>
      <c r="G15" s="25">
        <v>3184</v>
      </c>
      <c r="H15" s="25">
        <v>15797</v>
      </c>
      <c r="I15" s="25">
        <v>3391</v>
      </c>
      <c r="J15" s="25">
        <v>3114</v>
      </c>
      <c r="K15" s="25">
        <v>9292</v>
      </c>
      <c r="L15" s="25">
        <v>19936</v>
      </c>
      <c r="M15" s="25">
        <v>5588</v>
      </c>
      <c r="N15" s="25">
        <v>14347</v>
      </c>
      <c r="O15" s="25" t="s">
        <v>10</v>
      </c>
      <c r="P15" s="25" t="s">
        <v>9</v>
      </c>
      <c r="Q15" s="25" t="s">
        <v>76</v>
      </c>
      <c r="R15" s="25" t="s">
        <v>10</v>
      </c>
      <c r="S15" s="25" t="s">
        <v>10</v>
      </c>
      <c r="T15" s="25" t="s">
        <v>76</v>
      </c>
      <c r="U15" s="25">
        <v>3078</v>
      </c>
      <c r="V15" s="25" t="s">
        <v>76</v>
      </c>
      <c r="W15" s="25" t="s">
        <v>76</v>
      </c>
      <c r="X15" s="25" t="s">
        <v>76</v>
      </c>
      <c r="Y15" s="25">
        <v>6989</v>
      </c>
      <c r="Z15" s="25" t="s">
        <v>76</v>
      </c>
      <c r="AA15" s="25" t="s">
        <v>10</v>
      </c>
      <c r="AB15" s="25" t="s">
        <v>10</v>
      </c>
      <c r="AC15" s="25" t="s">
        <v>9</v>
      </c>
      <c r="AD15" s="25" t="s">
        <v>76</v>
      </c>
      <c r="AE15" s="25" t="s">
        <v>10</v>
      </c>
      <c r="AF15" s="25" t="s">
        <v>10</v>
      </c>
      <c r="AG15" s="25" t="s">
        <v>76</v>
      </c>
      <c r="AH15" s="25">
        <v>11415</v>
      </c>
      <c r="AI15" s="25" t="s">
        <v>76</v>
      </c>
      <c r="AJ15" s="25" t="s">
        <v>76</v>
      </c>
      <c r="AK15" s="25" t="s">
        <v>76</v>
      </c>
      <c r="AL15" s="25">
        <v>12621</v>
      </c>
      <c r="AM15" s="25" t="s">
        <v>76</v>
      </c>
      <c r="AN15" s="25" t="s">
        <v>10</v>
      </c>
      <c r="AO15" s="25"/>
      <c r="AP15" s="25"/>
      <c r="AQ15" s="25"/>
      <c r="AR15" s="25"/>
      <c r="AS15" s="25"/>
      <c r="AT15" s="25"/>
      <c r="AU15" s="25"/>
      <c r="AV15" s="25"/>
      <c r="AX15" s="3">
        <v>2009</v>
      </c>
      <c r="AY15" s="3">
        <f t="shared" si="3"/>
        <v>-2.2908442209823687</v>
      </c>
      <c r="AZ15" s="3">
        <f t="shared" si="3"/>
        <v>-21.361469849494686</v>
      </c>
      <c r="BA15" s="3">
        <f t="shared" si="3"/>
        <v>-24.409100949856423</v>
      </c>
      <c r="BB15" s="3">
        <f t="shared" si="4"/>
        <v>-24.459408194233689</v>
      </c>
      <c r="BC15" s="3">
        <f t="shared" si="5"/>
        <v>-18.18983485650152</v>
      </c>
      <c r="BD15" s="3">
        <f t="shared" si="5"/>
        <v>-21.888917998428081</v>
      </c>
      <c r="BE15" s="3">
        <f t="shared" si="5"/>
        <v>-16.554034540518682</v>
      </c>
    </row>
    <row r="16" spans="1:57">
      <c r="A16" s="66">
        <v>2011</v>
      </c>
      <c r="B16" s="25">
        <v>5723111</v>
      </c>
      <c r="C16" s="8">
        <f t="shared" si="0"/>
        <v>38746</v>
      </c>
      <c r="D16" s="25">
        <v>3512</v>
      </c>
      <c r="E16" s="25" t="s">
        <v>9</v>
      </c>
      <c r="F16" s="25">
        <v>170</v>
      </c>
      <c r="G16" s="25">
        <v>3236</v>
      </c>
      <c r="H16" s="25">
        <v>15470</v>
      </c>
      <c r="I16" s="25">
        <v>3256</v>
      </c>
      <c r="J16" s="25">
        <v>2907</v>
      </c>
      <c r="K16" s="25">
        <v>9306</v>
      </c>
      <c r="L16" s="25">
        <v>19764</v>
      </c>
      <c r="M16" s="25">
        <v>5493</v>
      </c>
      <c r="N16" s="25">
        <v>14271</v>
      </c>
      <c r="O16" s="25" t="s">
        <v>10</v>
      </c>
      <c r="P16" s="25" t="s">
        <v>9</v>
      </c>
      <c r="Q16" s="25" t="s">
        <v>76</v>
      </c>
      <c r="R16" s="25" t="s">
        <v>10</v>
      </c>
      <c r="S16" s="25" t="s">
        <v>10</v>
      </c>
      <c r="T16" s="25" t="s">
        <v>76</v>
      </c>
      <c r="U16" s="25">
        <v>2440</v>
      </c>
      <c r="V16" s="25" t="s">
        <v>76</v>
      </c>
      <c r="W16" s="25" t="s">
        <v>76</v>
      </c>
      <c r="X16" s="25" t="s">
        <v>76</v>
      </c>
      <c r="Y16" s="25">
        <v>6285</v>
      </c>
      <c r="Z16" s="25" t="s">
        <v>76</v>
      </c>
      <c r="AA16" s="25" t="s">
        <v>10</v>
      </c>
      <c r="AB16" s="25" t="s">
        <v>10</v>
      </c>
      <c r="AC16" s="25" t="s">
        <v>9</v>
      </c>
      <c r="AD16" s="25" t="s">
        <v>76</v>
      </c>
      <c r="AE16" s="25" t="s">
        <v>10</v>
      </c>
      <c r="AF16" s="25" t="s">
        <v>10</v>
      </c>
      <c r="AG16" s="25" t="s">
        <v>76</v>
      </c>
      <c r="AH16" s="25">
        <v>12015</v>
      </c>
      <c r="AI16" s="25" t="s">
        <v>76</v>
      </c>
      <c r="AJ16" s="25" t="s">
        <v>76</v>
      </c>
      <c r="AK16" s="25" t="s">
        <v>76</v>
      </c>
      <c r="AL16" s="25">
        <v>12821</v>
      </c>
      <c r="AM16" s="25" t="s">
        <v>76</v>
      </c>
      <c r="AN16" s="25" t="s">
        <v>10</v>
      </c>
      <c r="AO16" s="25"/>
      <c r="AP16" s="25"/>
      <c r="AQ16" s="25"/>
      <c r="AR16" s="25"/>
      <c r="AS16" s="25"/>
      <c r="AT16" s="25"/>
      <c r="AU16" s="25"/>
      <c r="AV16" s="25"/>
      <c r="AX16" s="3">
        <v>2010</v>
      </c>
      <c r="AY16" s="3">
        <f t="shared" si="3"/>
        <v>1.0409272148258708</v>
      </c>
      <c r="AZ16" s="3">
        <f t="shared" si="3"/>
        <v>-1.5567627382928384</v>
      </c>
      <c r="BA16" s="3">
        <f t="shared" si="3"/>
        <v>-0.3506721215663311</v>
      </c>
      <c r="BB16" s="3">
        <f t="shared" si="4"/>
        <v>-0.83490269930948102</v>
      </c>
      <c r="BC16" s="3">
        <f t="shared" si="5"/>
        <v>-2.3223909848113622</v>
      </c>
      <c r="BD16" s="3">
        <f t="shared" si="5"/>
        <v>-6.2887808150259961</v>
      </c>
      <c r="BE16" s="3">
        <f t="shared" si="5"/>
        <v>-0.692185228767217</v>
      </c>
    </row>
    <row r="17" spans="1:57">
      <c r="A17" s="66">
        <v>2012</v>
      </c>
      <c r="B17" s="25">
        <v>5800899</v>
      </c>
      <c r="C17" s="8">
        <f t="shared" si="0"/>
        <v>36885</v>
      </c>
      <c r="D17" s="25">
        <v>3343</v>
      </c>
      <c r="E17" s="25" t="s">
        <v>9</v>
      </c>
      <c r="F17" s="25">
        <v>94</v>
      </c>
      <c r="G17" s="25">
        <v>3175</v>
      </c>
      <c r="H17" s="25">
        <v>15541</v>
      </c>
      <c r="I17" s="25">
        <v>2866</v>
      </c>
      <c r="J17" s="25">
        <v>3094</v>
      </c>
      <c r="K17" s="25">
        <v>9580</v>
      </c>
      <c r="L17" s="25">
        <v>18001</v>
      </c>
      <c r="M17" s="25">
        <v>4602</v>
      </c>
      <c r="N17" s="25">
        <v>13400</v>
      </c>
      <c r="O17" s="25" t="s">
        <v>10</v>
      </c>
      <c r="P17" s="25" t="s">
        <v>9</v>
      </c>
      <c r="Q17" s="25" t="s">
        <v>76</v>
      </c>
      <c r="R17" s="25" t="s">
        <v>10</v>
      </c>
      <c r="S17" s="25" t="s">
        <v>10</v>
      </c>
      <c r="T17" s="25" t="s">
        <v>76</v>
      </c>
      <c r="U17" s="25" t="s">
        <v>76</v>
      </c>
      <c r="V17" s="25" t="s">
        <v>76</v>
      </c>
      <c r="W17" s="25" t="s">
        <v>76</v>
      </c>
      <c r="X17" s="25">
        <v>2002</v>
      </c>
      <c r="Y17" s="25">
        <v>4916</v>
      </c>
      <c r="Z17" s="25" t="s">
        <v>76</v>
      </c>
      <c r="AA17" s="25" t="s">
        <v>10</v>
      </c>
      <c r="AB17" s="25" t="s">
        <v>10</v>
      </c>
      <c r="AC17" s="25" t="s">
        <v>9</v>
      </c>
      <c r="AD17" s="25" t="s">
        <v>76</v>
      </c>
      <c r="AE17" s="25" t="s">
        <v>10</v>
      </c>
      <c r="AF17" s="25" t="s">
        <v>10</v>
      </c>
      <c r="AG17" s="25" t="s">
        <v>76</v>
      </c>
      <c r="AH17" s="25" t="s">
        <v>76</v>
      </c>
      <c r="AI17" s="25" t="s">
        <v>76</v>
      </c>
      <c r="AJ17" s="25" t="s">
        <v>76</v>
      </c>
      <c r="AK17" s="25">
        <v>6924</v>
      </c>
      <c r="AL17" s="25">
        <v>12664</v>
      </c>
      <c r="AM17" s="25" t="s">
        <v>76</v>
      </c>
      <c r="AN17" s="25" t="s">
        <v>10</v>
      </c>
      <c r="AO17" s="25"/>
      <c r="AP17" s="25"/>
      <c r="AQ17" s="25"/>
      <c r="AR17" s="25"/>
      <c r="AS17" s="25"/>
      <c r="AT17" s="25"/>
      <c r="AU17" s="25"/>
      <c r="AV17" s="25"/>
      <c r="AX17" s="3">
        <v>2011</v>
      </c>
      <c r="AY17" s="3">
        <f t="shared" si="3"/>
        <v>1.4849173781969593</v>
      </c>
      <c r="AZ17" s="3">
        <f t="shared" si="3"/>
        <v>-1.0142298750734469</v>
      </c>
      <c r="BA17" s="3">
        <f t="shared" si="3"/>
        <v>2.9912023460410664</v>
      </c>
      <c r="BB17" s="3">
        <f t="shared" si="4"/>
        <v>-2.0700132936633531</v>
      </c>
      <c r="BC17" s="3">
        <f t="shared" si="5"/>
        <v>-0.86276083467095033</v>
      </c>
      <c r="BD17" s="3">
        <f t="shared" si="5"/>
        <v>-1.7000715819613488</v>
      </c>
      <c r="BE17" s="3">
        <f t="shared" si="5"/>
        <v>-0.52972746915731506</v>
      </c>
    </row>
    <row r="18" spans="1:57">
      <c r="A18" s="20">
        <v>2013</v>
      </c>
      <c r="B18" s="25">
        <v>5851724</v>
      </c>
      <c r="C18" s="8">
        <f t="shared" si="0"/>
        <v>36356</v>
      </c>
      <c r="D18" s="25">
        <v>3428</v>
      </c>
      <c r="E18" s="25" t="s">
        <v>9</v>
      </c>
      <c r="F18" s="25">
        <v>34</v>
      </c>
      <c r="G18" s="25">
        <v>3335</v>
      </c>
      <c r="H18" s="25">
        <v>15365</v>
      </c>
      <c r="I18" s="25">
        <v>2920</v>
      </c>
      <c r="J18" s="25">
        <v>2696</v>
      </c>
      <c r="K18" s="25">
        <v>9749</v>
      </c>
      <c r="L18" s="25">
        <v>17563</v>
      </c>
      <c r="M18" s="25">
        <v>4970</v>
      </c>
      <c r="N18" s="25">
        <v>12593</v>
      </c>
      <c r="O18" s="25" t="s">
        <v>10</v>
      </c>
      <c r="P18" s="25" t="s">
        <v>9</v>
      </c>
      <c r="Q18" s="25" t="s">
        <v>76</v>
      </c>
      <c r="R18" s="25" t="s">
        <v>10</v>
      </c>
      <c r="S18" s="25" t="s">
        <v>10</v>
      </c>
      <c r="T18" s="25" t="s">
        <v>76</v>
      </c>
      <c r="U18" s="25" t="s">
        <v>76</v>
      </c>
      <c r="V18" s="25" t="s">
        <v>76</v>
      </c>
      <c r="W18" s="25" t="s">
        <v>76</v>
      </c>
      <c r="X18" s="25" t="s">
        <v>76</v>
      </c>
      <c r="Y18" s="25">
        <v>4596</v>
      </c>
      <c r="Z18" s="25" t="s">
        <v>76</v>
      </c>
      <c r="AA18" s="25" t="s">
        <v>10</v>
      </c>
      <c r="AB18" s="25" t="s">
        <v>10</v>
      </c>
      <c r="AC18" s="25" t="s">
        <v>9</v>
      </c>
      <c r="AD18" s="25" t="s">
        <v>76</v>
      </c>
      <c r="AE18" s="25" t="s">
        <v>10</v>
      </c>
      <c r="AF18" s="25" t="s">
        <v>10</v>
      </c>
      <c r="AG18" s="25" t="s">
        <v>76</v>
      </c>
      <c r="AH18" s="25" t="s">
        <v>76</v>
      </c>
      <c r="AI18" s="25" t="s">
        <v>76</v>
      </c>
      <c r="AJ18" s="25" t="s">
        <v>76</v>
      </c>
      <c r="AK18" s="25" t="s">
        <v>76</v>
      </c>
      <c r="AL18" s="25">
        <v>12611</v>
      </c>
      <c r="AM18" s="25" t="s">
        <v>76</v>
      </c>
      <c r="AN18" s="25" t="s">
        <v>10</v>
      </c>
      <c r="AO18" s="25"/>
      <c r="AP18" s="25"/>
      <c r="AQ18" s="25"/>
      <c r="AR18" s="25"/>
      <c r="AS18" s="25"/>
      <c r="AT18" s="25"/>
      <c r="AU18" s="25"/>
      <c r="AV18" s="25"/>
      <c r="AX18" s="3">
        <v>2012</v>
      </c>
      <c r="AY18" s="3">
        <f t="shared" si="3"/>
        <v>1.3591908316997525</v>
      </c>
      <c r="AZ18" s="3">
        <f t="shared" si="3"/>
        <v>-4.8030764466009401</v>
      </c>
      <c r="BA18" s="3">
        <f t="shared" si="3"/>
        <v>-4.8120728929385015</v>
      </c>
      <c r="BB18" s="3">
        <f t="shared" si="4"/>
        <v>0.45895281189398673</v>
      </c>
      <c r="BC18" s="3">
        <f t="shared" si="5"/>
        <v>-8.9202590568710818</v>
      </c>
      <c r="BD18" s="3">
        <f t="shared" si="5"/>
        <v>-16.220644456581102</v>
      </c>
      <c r="BE18" s="3">
        <f t="shared" si="5"/>
        <v>-6.1032863849765251</v>
      </c>
    </row>
    <row r="19" spans="1:57">
      <c r="A19" s="5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57">
      <c r="A20" s="5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57" ht="15" customHeight="1">
      <c r="A21" s="460" t="s">
        <v>32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460"/>
      <c r="X21" s="460"/>
      <c r="Y21" s="460"/>
      <c r="Z21" s="460"/>
      <c r="AA21" s="460"/>
      <c r="AB21" s="460"/>
      <c r="AC21" s="460"/>
      <c r="AD21" s="460"/>
      <c r="AE21" s="460"/>
      <c r="AF21" s="460"/>
      <c r="AG21" s="460"/>
      <c r="AH21" s="460"/>
      <c r="AI21" s="460"/>
      <c r="AJ21" s="460"/>
      <c r="AK21" s="460"/>
      <c r="AL21" s="460"/>
      <c r="AM21" s="460"/>
      <c r="AN21" s="460"/>
      <c r="AO21" s="67"/>
      <c r="AP21" s="67"/>
      <c r="AQ21" s="67"/>
      <c r="AR21" s="67"/>
      <c r="AS21" s="67"/>
      <c r="AT21" s="67"/>
      <c r="AU21" s="67"/>
      <c r="AV21" s="67"/>
      <c r="AY21" s="3" t="s">
        <v>27</v>
      </c>
    </row>
    <row r="22" spans="1:57" ht="30">
      <c r="A22" s="67" t="s">
        <v>71</v>
      </c>
      <c r="B22" s="13">
        <f>((B12/B6)^(1/6)-1)*100</f>
        <v>1.7960268312094074</v>
      </c>
      <c r="C22" s="13">
        <f t="shared" ref="C22:N22" si="6">((C12/C6)^(1/6)-1)*100</f>
        <v>-3.668378383625881</v>
      </c>
      <c r="D22" s="13">
        <f t="shared" si="6"/>
        <v>-4.9173497112407034</v>
      </c>
      <c r="E22" s="62" t="s">
        <v>10</v>
      </c>
      <c r="F22" s="13">
        <f t="shared" si="6"/>
        <v>14.18315040918765</v>
      </c>
      <c r="G22" s="13">
        <f t="shared" si="6"/>
        <v>-5.4397378591457324</v>
      </c>
      <c r="H22" s="13">
        <f t="shared" si="6"/>
        <v>-2.5843480998547053</v>
      </c>
      <c r="I22" s="13">
        <f t="shared" si="6"/>
        <v>-6.7621217989573772</v>
      </c>
      <c r="J22" s="13">
        <f t="shared" si="6"/>
        <v>-1.1595547764597924E-2</v>
      </c>
      <c r="K22" s="13">
        <f t="shared" si="6"/>
        <v>-1.3583764464827008</v>
      </c>
      <c r="L22" s="13">
        <f t="shared" si="6"/>
        <v>-4.3314161630471411</v>
      </c>
      <c r="M22" s="13">
        <f t="shared" si="6"/>
        <v>-8.4089991000416813</v>
      </c>
      <c r="N22" s="13">
        <f t="shared" si="6"/>
        <v>-1.7706117508954566</v>
      </c>
      <c r="O22" s="62" t="s">
        <v>10</v>
      </c>
      <c r="P22" s="13">
        <f t="shared" ref="P22:AM22" si="7">((P12/P6)^(1/6)-1)*100</f>
        <v>-3.9772637381754405</v>
      </c>
      <c r="Q22" s="13">
        <f t="shared" si="7"/>
        <v>-12.592043895091598</v>
      </c>
      <c r="R22" s="62" t="s">
        <v>10</v>
      </c>
      <c r="S22" s="62" t="s">
        <v>10</v>
      </c>
      <c r="T22" s="13">
        <f t="shared" si="7"/>
        <v>-13.04989097731346</v>
      </c>
      <c r="U22" s="13">
        <f t="shared" si="7"/>
        <v>-3.8072238306050887</v>
      </c>
      <c r="V22" s="13">
        <f t="shared" si="7"/>
        <v>-9.3605556678480255</v>
      </c>
      <c r="W22" s="13">
        <f t="shared" si="7"/>
        <v>-3.3664560257293141</v>
      </c>
      <c r="X22" s="13">
        <f t="shared" si="7"/>
        <v>-1.1567197663285178</v>
      </c>
      <c r="Y22" s="13">
        <f t="shared" si="7"/>
        <v>-2.8965459475404187</v>
      </c>
      <c r="Z22" s="13">
        <f t="shared" si="7"/>
        <v>-8.0013669529681923</v>
      </c>
      <c r="AA22" s="62" t="s">
        <v>10</v>
      </c>
      <c r="AB22" s="62" t="s">
        <v>10</v>
      </c>
      <c r="AC22" s="13">
        <f t="shared" si="7"/>
        <v>-2.8693928590144635</v>
      </c>
      <c r="AD22" s="13">
        <f t="shared" si="7"/>
        <v>-4.4317628525272657</v>
      </c>
      <c r="AE22" s="62" t="s">
        <v>10</v>
      </c>
      <c r="AF22" s="62" t="s">
        <v>10</v>
      </c>
      <c r="AG22" s="13">
        <f t="shared" si="7"/>
        <v>-4.9547235189410177</v>
      </c>
      <c r="AH22" s="13">
        <f t="shared" si="7"/>
        <v>-0.74827063764979496</v>
      </c>
      <c r="AI22" s="13">
        <f t="shared" si="7"/>
        <v>-4.6009616311622814</v>
      </c>
      <c r="AJ22" s="13">
        <f t="shared" si="7"/>
        <v>2.8702402463913756</v>
      </c>
      <c r="AK22" s="13">
        <f t="shared" si="7"/>
        <v>-0.19238988429886028</v>
      </c>
      <c r="AL22" s="13">
        <f t="shared" si="7"/>
        <v>-4.6516905042739198</v>
      </c>
      <c r="AM22" s="13">
        <f t="shared" si="7"/>
        <v>-8.3428223951602209</v>
      </c>
      <c r="AN22" s="62" t="s">
        <v>10</v>
      </c>
      <c r="AO22" s="13"/>
      <c r="AP22" s="13"/>
      <c r="AQ22" s="13"/>
      <c r="AR22" s="13"/>
      <c r="AS22" s="13"/>
      <c r="AT22" s="13"/>
      <c r="AU22" s="13"/>
      <c r="AV22" s="13"/>
      <c r="AX22" s="3">
        <v>1999</v>
      </c>
      <c r="AY22" s="3" t="e">
        <f>#REF!/#REF!</f>
        <v>#REF!</v>
      </c>
      <c r="AZ22" s="3" t="e">
        <f>#REF!/#REF!</f>
        <v>#REF!</v>
      </c>
      <c r="BA22" s="3" t="e">
        <f>#REF!/#REF!</f>
        <v>#REF!</v>
      </c>
      <c r="BB22" s="3" t="e">
        <f>#REF!/#REF!</f>
        <v>#REF!</v>
      </c>
      <c r="BC22" s="3" t="e">
        <f>#REF!/#REF!</f>
        <v>#REF!</v>
      </c>
      <c r="BD22" s="3" t="e">
        <f>#REF!/#REF!</f>
        <v>#REF!</v>
      </c>
      <c r="BE22" s="3" t="e">
        <f>#REF!/#REF!</f>
        <v>#REF!</v>
      </c>
    </row>
    <row r="23" spans="1:57" ht="30">
      <c r="A23" s="67" t="s">
        <v>69</v>
      </c>
      <c r="B23" s="13">
        <f>((B18/B12)^(1/6)-1)*100</f>
        <v>0.67864846575032001</v>
      </c>
      <c r="C23" s="13">
        <f t="shared" ref="C23:N23" si="8">((C18/C12)^(1/6)-1)*100</f>
        <v>-7.3173851956878426</v>
      </c>
      <c r="D23" s="13">
        <f t="shared" si="8"/>
        <v>-7.083462114320815</v>
      </c>
      <c r="E23" s="62" t="s">
        <v>10</v>
      </c>
      <c r="F23" s="13">
        <f t="shared" si="8"/>
        <v>-23.068208691078908</v>
      </c>
      <c r="G23" s="13">
        <f t="shared" si="8"/>
        <v>-6.7215505075577386</v>
      </c>
      <c r="H23" s="13">
        <f t="shared" si="8"/>
        <v>-7.5269157246503742</v>
      </c>
      <c r="I23" s="13">
        <f t="shared" si="8"/>
        <v>-11.01142461340585</v>
      </c>
      <c r="J23" s="13">
        <f t="shared" si="8"/>
        <v>-11.851867637922419</v>
      </c>
      <c r="K23" s="13">
        <f t="shared" si="8"/>
        <v>-4.6145950749567284</v>
      </c>
      <c r="L23" s="13">
        <f t="shared" si="8"/>
        <v>-7.177135453023908</v>
      </c>
      <c r="M23" s="13">
        <f t="shared" si="8"/>
        <v>-9.4880335555676982</v>
      </c>
      <c r="N23" s="13">
        <f t="shared" si="8"/>
        <v>-6.1407255785205006</v>
      </c>
      <c r="O23" s="62" t="s">
        <v>10</v>
      </c>
      <c r="P23" s="62" t="s">
        <v>10</v>
      </c>
      <c r="Q23" s="62" t="s">
        <v>10</v>
      </c>
      <c r="R23" s="62" t="s">
        <v>10</v>
      </c>
      <c r="S23" s="62" t="s">
        <v>10</v>
      </c>
      <c r="T23" s="62" t="s">
        <v>10</v>
      </c>
      <c r="U23" s="62" t="s">
        <v>10</v>
      </c>
      <c r="V23" s="62" t="s">
        <v>10</v>
      </c>
      <c r="W23" s="62" t="s">
        <v>10</v>
      </c>
      <c r="X23" s="62" t="s">
        <v>10</v>
      </c>
      <c r="Y23" s="13">
        <f t="shared" ref="Y23:AL23" si="9">((Y18/Y12)^(1/6)-1)*100</f>
        <v>-9.1742056277982602</v>
      </c>
      <c r="Z23" s="62" t="s">
        <v>10</v>
      </c>
      <c r="AA23" s="62" t="s">
        <v>10</v>
      </c>
      <c r="AB23" s="62" t="s">
        <v>10</v>
      </c>
      <c r="AC23" s="62" t="s">
        <v>10</v>
      </c>
      <c r="AD23" s="62" t="s">
        <v>10</v>
      </c>
      <c r="AE23" s="62" t="s">
        <v>10</v>
      </c>
      <c r="AF23" s="62" t="s">
        <v>10</v>
      </c>
      <c r="AG23" s="62" t="s">
        <v>10</v>
      </c>
      <c r="AH23" s="62" t="s">
        <v>10</v>
      </c>
      <c r="AI23" s="62" t="s">
        <v>10</v>
      </c>
      <c r="AJ23" s="62" t="s">
        <v>10</v>
      </c>
      <c r="AK23" s="62" t="s">
        <v>10</v>
      </c>
      <c r="AL23" s="13">
        <f t="shared" si="9"/>
        <v>-6.5167566539384154</v>
      </c>
      <c r="AM23" s="62" t="s">
        <v>10</v>
      </c>
      <c r="AN23" s="62" t="s">
        <v>10</v>
      </c>
      <c r="AO23" s="13"/>
      <c r="AP23" s="13"/>
      <c r="AQ23" s="13"/>
      <c r="AR23" s="13"/>
      <c r="AS23" s="13"/>
      <c r="AT23" s="13"/>
      <c r="AU23" s="13"/>
      <c r="AV23" s="13"/>
      <c r="AX23" s="3">
        <v>2000</v>
      </c>
      <c r="AY23" s="3" t="e">
        <f>#REF!/#REF!</f>
        <v>#REF!</v>
      </c>
      <c r="AZ23" s="3" t="e">
        <f>#REF!/#REF!</f>
        <v>#REF!</v>
      </c>
      <c r="BA23" s="3" t="e">
        <f>#REF!/#REF!</f>
        <v>#REF!</v>
      </c>
      <c r="BB23" s="3" t="e">
        <f>#REF!/#REF!</f>
        <v>#REF!</v>
      </c>
      <c r="BC23" s="3" t="e">
        <f>#REF!/#REF!</f>
        <v>#REF!</v>
      </c>
      <c r="BD23" s="3" t="e">
        <f>#REF!/#REF!</f>
        <v>#REF!</v>
      </c>
      <c r="BE23" s="3" t="e">
        <f>#REF!/#REF!</f>
        <v>#REF!</v>
      </c>
    </row>
    <row r="24" spans="1:57" ht="30">
      <c r="A24" s="67" t="s">
        <v>72</v>
      </c>
      <c r="B24" s="13">
        <f>((B18/B6)^(1/12)-1)*100</f>
        <v>1.2357960434421722</v>
      </c>
      <c r="C24" s="13">
        <f t="shared" ref="C24:N24" si="10">((C18/C6)^(1/12)-1)*100</f>
        <v>-5.5104948698261431</v>
      </c>
      <c r="D24" s="13">
        <f t="shared" si="10"/>
        <v>-6.0066455656236917</v>
      </c>
      <c r="E24" s="62" t="s">
        <v>10</v>
      </c>
      <c r="F24" s="13">
        <f t="shared" si="10"/>
        <v>-6.2753271636823875</v>
      </c>
      <c r="G24" s="13">
        <f t="shared" si="10"/>
        <v>-6.0828309833725118</v>
      </c>
      <c r="H24" s="13">
        <f t="shared" si="10"/>
        <v>-5.0877995835084455</v>
      </c>
      <c r="I24" s="13">
        <f t="shared" si="10"/>
        <v>-8.911548738714604</v>
      </c>
      <c r="J24" s="13">
        <f t="shared" si="10"/>
        <v>-6.1182067154200936</v>
      </c>
      <c r="K24" s="13">
        <f t="shared" si="10"/>
        <v>-3.0001484273510126</v>
      </c>
      <c r="L24" s="13">
        <f t="shared" si="10"/>
        <v>-5.7650171173226017</v>
      </c>
      <c r="M24" s="13">
        <f t="shared" si="10"/>
        <v>-8.9501147717966809</v>
      </c>
      <c r="N24" s="13">
        <f t="shared" si="10"/>
        <v>-3.9805274544441382</v>
      </c>
      <c r="O24" s="62" t="s">
        <v>10</v>
      </c>
      <c r="P24" s="62" t="s">
        <v>10</v>
      </c>
      <c r="Q24" s="62" t="s">
        <v>10</v>
      </c>
      <c r="R24" s="62" t="s">
        <v>10</v>
      </c>
      <c r="S24" s="62" t="s">
        <v>10</v>
      </c>
      <c r="T24" s="62" t="s">
        <v>10</v>
      </c>
      <c r="U24" s="62" t="s">
        <v>10</v>
      </c>
      <c r="V24" s="62" t="s">
        <v>10</v>
      </c>
      <c r="W24" s="62" t="s">
        <v>10</v>
      </c>
      <c r="X24" s="62" t="s">
        <v>10</v>
      </c>
      <c r="Y24" s="13">
        <f t="shared" ref="Y24:AL24" si="11">((Y18/Y6)^(1/12)-1)*100</f>
        <v>-6.0878157500357517</v>
      </c>
      <c r="Z24" s="62" t="s">
        <v>10</v>
      </c>
      <c r="AA24" s="62" t="s">
        <v>10</v>
      </c>
      <c r="AB24" s="62" t="s">
        <v>10</v>
      </c>
      <c r="AC24" s="62" t="s">
        <v>10</v>
      </c>
      <c r="AD24" s="62" t="s">
        <v>10</v>
      </c>
      <c r="AE24" s="62" t="s">
        <v>10</v>
      </c>
      <c r="AF24" s="62" t="s">
        <v>10</v>
      </c>
      <c r="AG24" s="62" t="s">
        <v>10</v>
      </c>
      <c r="AH24" s="62" t="s">
        <v>10</v>
      </c>
      <c r="AI24" s="62" t="s">
        <v>10</v>
      </c>
      <c r="AJ24" s="62" t="s">
        <v>10</v>
      </c>
      <c r="AK24" s="62" t="s">
        <v>10</v>
      </c>
      <c r="AL24" s="13">
        <f t="shared" si="11"/>
        <v>-5.5888289489821279</v>
      </c>
      <c r="AM24" s="62" t="s">
        <v>10</v>
      </c>
      <c r="AN24" s="62" t="s">
        <v>10</v>
      </c>
      <c r="AO24" s="13"/>
      <c r="AP24" s="13"/>
      <c r="AQ24" s="13"/>
      <c r="AR24" s="13"/>
      <c r="AS24" s="13"/>
      <c r="AT24" s="13"/>
      <c r="AU24" s="13"/>
      <c r="AV24" s="13"/>
      <c r="AX24" s="3">
        <v>2001</v>
      </c>
      <c r="AY24" s="3" t="e">
        <f>B6/#REF!</f>
        <v>#REF!</v>
      </c>
      <c r="AZ24" s="3" t="e">
        <f>C6/#REF!</f>
        <v>#REF!</v>
      </c>
      <c r="BA24" s="3" t="e">
        <f>D6/#REF!</f>
        <v>#REF!</v>
      </c>
      <c r="BB24" s="3" t="e">
        <f>H6/#REF!</f>
        <v>#REF!</v>
      </c>
      <c r="BC24" s="3" t="e">
        <f>L6/#REF!</f>
        <v>#REF!</v>
      </c>
      <c r="BD24" s="3" t="e">
        <f>M6/#REF!</f>
        <v>#REF!</v>
      </c>
      <c r="BE24" s="3" t="e">
        <f>N6/#REF!</f>
        <v>#REF!</v>
      </c>
    </row>
    <row r="25" spans="1:57">
      <c r="AX25" s="3">
        <v>2002</v>
      </c>
      <c r="AY25" s="3" t="e">
        <f>B7/#REF!</f>
        <v>#REF!</v>
      </c>
      <c r="AZ25" s="3" t="e">
        <f>C7/#REF!</f>
        <v>#REF!</v>
      </c>
      <c r="BA25" s="3" t="e">
        <f>D7/#REF!</f>
        <v>#REF!</v>
      </c>
      <c r="BB25" s="3" t="e">
        <f>H7/#REF!</f>
        <v>#REF!</v>
      </c>
      <c r="BC25" s="3" t="e">
        <f>L7/#REF!</f>
        <v>#REF!</v>
      </c>
      <c r="BD25" s="3" t="e">
        <f>M7/#REF!</f>
        <v>#REF!</v>
      </c>
      <c r="BE25" s="3" t="e">
        <f>N7/#REF!</f>
        <v>#REF!</v>
      </c>
    </row>
    <row r="26" spans="1:57">
      <c r="A26" s="90" t="s">
        <v>39</v>
      </c>
      <c r="B26" s="90"/>
      <c r="AX26" s="3">
        <v>2003</v>
      </c>
      <c r="AY26" s="3" t="e">
        <f>B8/#REF!</f>
        <v>#REF!</v>
      </c>
      <c r="AZ26" s="3" t="e">
        <f>C8/#REF!</f>
        <v>#REF!</v>
      </c>
      <c r="BA26" s="3" t="e">
        <f>D8/#REF!</f>
        <v>#REF!</v>
      </c>
      <c r="BB26" s="3" t="e">
        <f>H8/#REF!</f>
        <v>#REF!</v>
      </c>
      <c r="BC26" s="3" t="e">
        <f>L8/#REF!</f>
        <v>#REF!</v>
      </c>
      <c r="BD26" s="3" t="e">
        <f>M8/#REF!</f>
        <v>#REF!</v>
      </c>
      <c r="BE26" s="3" t="e">
        <f>N8/#REF!</f>
        <v>#REF!</v>
      </c>
    </row>
    <row r="27" spans="1:57">
      <c r="A27" s="90" t="s">
        <v>9</v>
      </c>
      <c r="B27" s="90" t="s">
        <v>42</v>
      </c>
      <c r="AX27" s="3">
        <v>2004</v>
      </c>
      <c r="AY27" s="3" t="e">
        <f>B9/#REF!</f>
        <v>#REF!</v>
      </c>
      <c r="AZ27" s="3" t="e">
        <f>C9/#REF!</f>
        <v>#REF!</v>
      </c>
      <c r="BA27" s="3" t="e">
        <f>D9/#REF!</f>
        <v>#REF!</v>
      </c>
      <c r="BB27" s="3" t="e">
        <f>H9/#REF!</f>
        <v>#REF!</v>
      </c>
      <c r="BC27" s="3" t="e">
        <f>L9/#REF!</f>
        <v>#REF!</v>
      </c>
      <c r="BD27" s="3" t="e">
        <f>M9/#REF!</f>
        <v>#REF!</v>
      </c>
      <c r="BE27" s="3" t="e">
        <f>N9/#REF!</f>
        <v>#REF!</v>
      </c>
    </row>
    <row r="28" spans="1:57">
      <c r="A28" s="90" t="s">
        <v>10</v>
      </c>
      <c r="B28" s="90" t="s">
        <v>43</v>
      </c>
      <c r="AX28" s="3">
        <v>2005</v>
      </c>
      <c r="AY28" s="3" t="e">
        <f>B10/#REF!</f>
        <v>#REF!</v>
      </c>
      <c r="AZ28" s="3" t="e">
        <f>C10/#REF!</f>
        <v>#REF!</v>
      </c>
      <c r="BA28" s="3" t="e">
        <f>D10/#REF!</f>
        <v>#REF!</v>
      </c>
      <c r="BB28" s="3" t="e">
        <f>H10/#REF!</f>
        <v>#REF!</v>
      </c>
      <c r="BC28" s="3" t="e">
        <f>L10/#REF!</f>
        <v>#REF!</v>
      </c>
      <c r="BD28" s="3" t="e">
        <f>M10/#REF!</f>
        <v>#REF!</v>
      </c>
      <c r="BE28" s="3" t="e">
        <f>N10/#REF!</f>
        <v>#REF!</v>
      </c>
    </row>
    <row r="29" spans="1:57">
      <c r="A29" s="90" t="s">
        <v>76</v>
      </c>
      <c r="B29" s="90" t="s">
        <v>77</v>
      </c>
      <c r="AX29" s="3">
        <v>2006</v>
      </c>
      <c r="AY29" s="3" t="e">
        <f>B11/#REF!</f>
        <v>#REF!</v>
      </c>
      <c r="AZ29" s="3" t="e">
        <f>C11/#REF!</f>
        <v>#REF!</v>
      </c>
      <c r="BA29" s="3" t="e">
        <f>D11/#REF!</f>
        <v>#REF!</v>
      </c>
      <c r="BB29" s="3" t="e">
        <f>H11/#REF!</f>
        <v>#REF!</v>
      </c>
      <c r="BC29" s="3" t="e">
        <f>L11/#REF!</f>
        <v>#REF!</v>
      </c>
      <c r="BD29" s="3" t="e">
        <f>M11/#REF!</f>
        <v>#REF!</v>
      </c>
      <c r="BE29" s="3" t="e">
        <f>N11/#REF!</f>
        <v>#REF!</v>
      </c>
    </row>
    <row r="30" spans="1:57">
      <c r="A30" s="90" t="s">
        <v>78</v>
      </c>
      <c r="B30" s="90" t="s">
        <v>79</v>
      </c>
      <c r="AX30" s="3">
        <v>2007</v>
      </c>
      <c r="AY30" s="3" t="e">
        <f>B12/#REF!</f>
        <v>#REF!</v>
      </c>
      <c r="AZ30" s="3" t="e">
        <f>C12/#REF!</f>
        <v>#REF!</v>
      </c>
      <c r="BA30" s="3" t="e">
        <f>D12/#REF!</f>
        <v>#REF!</v>
      </c>
      <c r="BB30" s="3" t="e">
        <f>H12/#REF!</f>
        <v>#REF!</v>
      </c>
      <c r="BC30" s="3" t="e">
        <f>L12/#REF!</f>
        <v>#REF!</v>
      </c>
      <c r="BD30" s="3" t="e">
        <f>M12/#REF!</f>
        <v>#REF!</v>
      </c>
      <c r="BE30" s="3" t="e">
        <f>N12/#REF!</f>
        <v>#REF!</v>
      </c>
    </row>
    <row r="31" spans="1:57">
      <c r="A31" s="90" t="s">
        <v>73</v>
      </c>
      <c r="B31" s="90"/>
    </row>
  </sheetData>
  <mergeCells count="20">
    <mergeCell ref="A21:AN21"/>
    <mergeCell ref="B2:N2"/>
    <mergeCell ref="O2:AA2"/>
    <mergeCell ref="AB2:AN2"/>
    <mergeCell ref="D3:G3"/>
    <mergeCell ref="H3:K3"/>
    <mergeCell ref="L3:N3"/>
    <mergeCell ref="Q3:T3"/>
    <mergeCell ref="U3:X3"/>
    <mergeCell ref="Y3:AA3"/>
    <mergeCell ref="AD3:AG3"/>
    <mergeCell ref="AH3:AK3"/>
    <mergeCell ref="AL3:AN3"/>
    <mergeCell ref="B3:B4"/>
    <mergeCell ref="C3:C4"/>
    <mergeCell ref="O3:O4"/>
    <mergeCell ref="P3:P4"/>
    <mergeCell ref="AB3:AB4"/>
    <mergeCell ref="AC3:AC4"/>
    <mergeCell ref="A1:AN1"/>
  </mergeCells>
  <printOptions gridLines="1"/>
  <pageMargins left="0.7" right="0.7" top="0.75" bottom="0.75" header="0.3" footer="0.3"/>
  <pageSetup scale="32" orientation="landscape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7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2.85546875" style="3" customWidth="1"/>
    <col min="3" max="3" width="9.28515625" style="3" bestFit="1" customWidth="1"/>
    <col min="4" max="6" width="9.28515625" style="3" customWidth="1"/>
    <col min="7" max="7" width="9.28515625" style="3" bestFit="1" customWidth="1"/>
    <col min="8" max="10" width="9.28515625" style="3" customWidth="1"/>
    <col min="11" max="13" width="9.28515625" style="3" bestFit="1" customWidth="1"/>
    <col min="14" max="14" width="9.140625" style="3"/>
    <col min="15" max="16" width="9.28515625" style="3" hidden="1" customWidth="1"/>
    <col min="17" max="17" width="14.7109375" style="3" hidden="1" customWidth="1"/>
    <col min="18" max="23" width="9.28515625" style="3" hidden="1" customWidth="1"/>
    <col min="24" max="25" width="0" style="3" hidden="1" customWidth="1"/>
    <col min="26" max="16384" width="9.140625" style="3"/>
  </cols>
  <sheetData>
    <row r="1" spans="1:22" ht="45" customHeight="1">
      <c r="A1" s="460" t="s">
        <v>349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22" ht="135">
      <c r="A2" s="243"/>
      <c r="B2" s="243" t="s">
        <v>8</v>
      </c>
      <c r="C2" s="243" t="s">
        <v>20</v>
      </c>
      <c r="D2" s="54" t="s">
        <v>63</v>
      </c>
      <c r="E2" s="54" t="s">
        <v>64</v>
      </c>
      <c r="F2" s="54" t="s">
        <v>65</v>
      </c>
      <c r="G2" s="243" t="s">
        <v>4</v>
      </c>
      <c r="H2" s="240" t="s">
        <v>36</v>
      </c>
      <c r="I2" s="240" t="s">
        <v>37</v>
      </c>
      <c r="J2" s="240" t="s">
        <v>38</v>
      </c>
      <c r="K2" s="243" t="s">
        <v>5</v>
      </c>
      <c r="L2" s="243" t="s">
        <v>6</v>
      </c>
      <c r="M2" s="243" t="s">
        <v>7</v>
      </c>
    </row>
    <row r="3" spans="1:22">
      <c r="A3" s="24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22">
      <c r="A4" s="20">
        <v>1997</v>
      </c>
      <c r="B4" s="72">
        <f>'4A'!C4/'4A'!$C4*100</f>
        <v>100</v>
      </c>
      <c r="C4" s="72">
        <f>'4A'!D4/'4A'!$C4*100</f>
        <v>22.360248447204974</v>
      </c>
      <c r="D4" s="72">
        <f>'4A'!E4/'4A'!$C4*100</f>
        <v>0</v>
      </c>
      <c r="E4" s="72">
        <f>'4A'!F4/'4A'!$C4*100</f>
        <v>0</v>
      </c>
      <c r="F4" s="72">
        <f>'4A'!G4/'4A'!$C4*100</f>
        <v>21.946169772256731</v>
      </c>
      <c r="G4" s="72">
        <f>'4A'!H4/'4A'!$C4*100</f>
        <v>43.374741200828161</v>
      </c>
      <c r="H4" s="72">
        <f>'4A'!I4/'4A'!$C4*100</f>
        <v>24.534161490683232</v>
      </c>
      <c r="I4" s="72">
        <f>'4A'!J4/'4A'!$C4*100</f>
        <v>4.8654244306418226</v>
      </c>
      <c r="J4" s="72">
        <f>'4A'!K4/'4A'!$C4*100</f>
        <v>13.975155279503108</v>
      </c>
      <c r="K4" s="72">
        <f>'4A'!L4/'4A'!$C4*100</f>
        <v>34.265010351966879</v>
      </c>
      <c r="L4" s="72">
        <f>'4A'!M4/'4A'!$C4*100</f>
        <v>28.364389233954451</v>
      </c>
      <c r="M4" s="72">
        <f>'4A'!N4/'4A'!$C4*100</f>
        <v>5.9006211180124231</v>
      </c>
      <c r="N4" s="252"/>
      <c r="P4" s="3" t="s">
        <v>24</v>
      </c>
    </row>
    <row r="5" spans="1:22">
      <c r="A5" s="20">
        <v>1998</v>
      </c>
      <c r="B5" s="72">
        <f>'4A'!C5/'4A'!$C5*100</f>
        <v>100</v>
      </c>
      <c r="C5" s="72">
        <f>'4A'!D5/'4A'!$C5*100</f>
        <v>20.251937984496124</v>
      </c>
      <c r="D5" s="72">
        <f>'4A'!E5/'4A'!$C5*100</f>
        <v>0</v>
      </c>
      <c r="E5" s="72">
        <f>'4A'!F5/'4A'!$C5*100</f>
        <v>0</v>
      </c>
      <c r="F5" s="72">
        <f>'4A'!G5/'4A'!$C5*100</f>
        <v>20.058139534883722</v>
      </c>
      <c r="G5" s="72">
        <f>'4A'!H5/'4A'!$C5*100</f>
        <v>43.798449612403104</v>
      </c>
      <c r="H5" s="72">
        <f>'4A'!I5/'4A'!$C5*100</f>
        <v>23.837209302325586</v>
      </c>
      <c r="I5" s="72">
        <f>'4A'!J5/'4A'!$C5*100</f>
        <v>5.6201550387596901</v>
      </c>
      <c r="J5" s="72">
        <f>'4A'!K5/'4A'!$C5*100</f>
        <v>14.437984496124031</v>
      </c>
      <c r="K5" s="72">
        <f>'4A'!L5/'4A'!$C5*100</f>
        <v>35.94961240310078</v>
      </c>
      <c r="L5" s="72">
        <f>'4A'!M5/'4A'!$C5*100</f>
        <v>26.937984496124034</v>
      </c>
      <c r="M5" s="72">
        <f>'4A'!N5/'4A'!$C5*100</f>
        <v>8.9147286821705425</v>
      </c>
      <c r="P5" s="3" t="s">
        <v>2</v>
      </c>
      <c r="Q5" s="3" t="s">
        <v>8</v>
      </c>
      <c r="R5" s="3" t="s">
        <v>20</v>
      </c>
      <c r="S5" s="3" t="s">
        <v>4</v>
      </c>
      <c r="T5" s="3" t="s">
        <v>5</v>
      </c>
      <c r="U5" s="3" t="s">
        <v>6</v>
      </c>
      <c r="V5" s="3" t="s">
        <v>7</v>
      </c>
    </row>
    <row r="6" spans="1:22">
      <c r="A6" s="20">
        <v>1999</v>
      </c>
      <c r="B6" s="72">
        <f>'4A'!C6/'4A'!$C6*100</f>
        <v>100</v>
      </c>
      <c r="C6" s="72">
        <f>'4A'!D6/'4A'!$C6*100</f>
        <v>19.62962962962963</v>
      </c>
      <c r="D6" s="72">
        <f>'4A'!E6/'4A'!$C6*100</f>
        <v>0</v>
      </c>
      <c r="E6" s="72">
        <f>'4A'!F6/'4A'!$C6*100</f>
        <v>0</v>
      </c>
      <c r="F6" s="72">
        <f>'4A'!G6/'4A'!$C6*100</f>
        <v>19.25925925925926</v>
      </c>
      <c r="G6" s="72">
        <f>'4A'!H6/'4A'!$C6*100</f>
        <v>45.648148148148145</v>
      </c>
      <c r="H6" s="72">
        <f>'4A'!I6/'4A'!$C6*100</f>
        <v>24.074074074074073</v>
      </c>
      <c r="I6" s="72">
        <f>'4A'!J6/'4A'!$C6*100</f>
        <v>6.3888888888888902</v>
      </c>
      <c r="J6" s="72">
        <f>'4A'!K6/'4A'!$C6*100</f>
        <v>15.185185185185185</v>
      </c>
      <c r="K6" s="72">
        <f>'4A'!L6/'4A'!$C6*100</f>
        <v>34.722222222222221</v>
      </c>
      <c r="L6" s="72">
        <f>'4A'!M6/'4A'!$C6*100</f>
        <v>25.648148148148149</v>
      </c>
      <c r="M6" s="72">
        <f>'4A'!N6/'4A'!$C6*100</f>
        <v>9.0740740740740744</v>
      </c>
      <c r="O6" s="3">
        <v>1998</v>
      </c>
      <c r="P6" s="3" t="e">
        <f>((#REF!/#REF!)-1)*100</f>
        <v>#REF!</v>
      </c>
      <c r="Q6" s="3">
        <f>((B5/B4)-1)*100</f>
        <v>0</v>
      </c>
      <c r="R6" s="3">
        <f>((C5/C4)-1)*100</f>
        <v>-9.4288329026701376</v>
      </c>
      <c r="S6" s="3">
        <f t="shared" ref="S6:S20" si="0">((G5/G4)-1)*100</f>
        <v>0.97685519231835993</v>
      </c>
      <c r="T6" s="3">
        <f t="shared" ref="T6:V20" si="1">((K5/K4)-1)*100</f>
        <v>4.9163914845780976</v>
      </c>
      <c r="U6" s="3">
        <f t="shared" si="1"/>
        <v>-5.0288575793583368</v>
      </c>
      <c r="V6" s="3">
        <f t="shared" si="1"/>
        <v>51.081191350469183</v>
      </c>
    </row>
    <row r="7" spans="1:22">
      <c r="A7" s="20">
        <v>2000</v>
      </c>
      <c r="B7" s="72">
        <f>'4A'!C7/'4A'!$C7*100</f>
        <v>100</v>
      </c>
      <c r="C7" s="72">
        <f>'4A'!D7/'4A'!$C7*100</f>
        <v>17.00095510983763</v>
      </c>
      <c r="D7" s="72">
        <f>'4A'!E7/'4A'!$C7*100</f>
        <v>0</v>
      </c>
      <c r="E7" s="72">
        <f>'4A'!F7/'4A'!$C7*100</f>
        <v>0</v>
      </c>
      <c r="F7" s="72">
        <f>'4A'!G7/'4A'!$C7*100</f>
        <v>17.00095510983763</v>
      </c>
      <c r="G7" s="72">
        <f>'4A'!H7/'4A'!$C7*100</f>
        <v>49.092645654250241</v>
      </c>
      <c r="H7" s="72">
        <f>'4A'!I7/'4A'!$C7*100</f>
        <v>23.686723973256925</v>
      </c>
      <c r="I7" s="72">
        <f>'4A'!J7/'4A'!$C7*100</f>
        <v>7.8319006685768855</v>
      </c>
      <c r="J7" s="72">
        <f>'4A'!K7/'4A'!$C7*100</f>
        <v>17.574021012416427</v>
      </c>
      <c r="K7" s="72">
        <f>'4A'!L7/'4A'!$C7*100</f>
        <v>33.906399235912126</v>
      </c>
      <c r="L7" s="72">
        <f>'4A'!M7/'4A'!$C7*100</f>
        <v>25.310410697230179</v>
      </c>
      <c r="M7" s="72">
        <f>'4A'!N7/'4A'!$C7*100</f>
        <v>8.5959885386819472</v>
      </c>
      <c r="O7" s="3">
        <v>1999</v>
      </c>
      <c r="P7" s="3" t="e">
        <f>((#REF!/#REF!)-1)*100</f>
        <v>#REF!</v>
      </c>
      <c r="Q7" s="3">
        <f t="shared" ref="Q7:R20" si="2">((B6/B5)-1)*100</f>
        <v>0</v>
      </c>
      <c r="R7" s="3">
        <f t="shared" si="2"/>
        <v>-3.0728335991493827</v>
      </c>
      <c r="S7" s="3">
        <f t="shared" si="0"/>
        <v>4.2232055063913254</v>
      </c>
      <c r="T7" s="3">
        <f t="shared" si="1"/>
        <v>-3.4141958670260708</v>
      </c>
      <c r="U7" s="3">
        <f t="shared" si="1"/>
        <v>-4.7881694644284707</v>
      </c>
      <c r="V7" s="3">
        <f t="shared" si="1"/>
        <v>1.7874396135265647</v>
      </c>
    </row>
    <row r="8" spans="1:22">
      <c r="A8" s="20">
        <v>2001</v>
      </c>
      <c r="B8" s="72">
        <f>'4A'!C8/'4A'!$C8*100</f>
        <v>100</v>
      </c>
      <c r="C8" s="72">
        <f>'4A'!D8/'4A'!$C8*100</f>
        <v>17.726396917148364</v>
      </c>
      <c r="D8" s="72">
        <f>'4A'!E8/'4A'!$C8*100</f>
        <v>0</v>
      </c>
      <c r="E8" s="72">
        <f>'4A'!F8/'4A'!$C8*100</f>
        <v>0</v>
      </c>
      <c r="F8" s="72">
        <f>'4A'!G8/'4A'!$C8*100</f>
        <v>17.630057803468212</v>
      </c>
      <c r="G8" s="72">
        <f>'4A'!H8/'4A'!$C8*100</f>
        <v>50</v>
      </c>
      <c r="H8" s="72">
        <f>'4A'!I8/'4A'!$C8*100</f>
        <v>24.566473988439309</v>
      </c>
      <c r="I8" s="72">
        <f>'4A'!J8/'4A'!$C8*100</f>
        <v>6.9364161849710992</v>
      </c>
      <c r="J8" s="72">
        <f>'4A'!K8/'4A'!$C8*100</f>
        <v>18.593448940269749</v>
      </c>
      <c r="K8" s="72">
        <f>'4A'!L8/'4A'!$C8*100</f>
        <v>32.273603082851636</v>
      </c>
      <c r="L8" s="72">
        <f>'4A'!M8/'4A'!$C8*100</f>
        <v>22.73603082851638</v>
      </c>
      <c r="M8" s="72">
        <f>'4A'!N8/'4A'!$C8*100</f>
        <v>9.5375722543352612</v>
      </c>
      <c r="O8" s="3">
        <v>2000</v>
      </c>
      <c r="P8" s="3" t="e">
        <f>((#REF!/#REF!)-1)*100</f>
        <v>#REF!</v>
      </c>
      <c r="Q8" s="3">
        <f t="shared" si="2"/>
        <v>0</v>
      </c>
      <c r="R8" s="3">
        <f t="shared" si="2"/>
        <v>-13.391360761204529</v>
      </c>
      <c r="S8" s="3">
        <f t="shared" si="0"/>
        <v>7.5457551857814664</v>
      </c>
      <c r="T8" s="3">
        <f t="shared" si="1"/>
        <v>-2.3495702005730701</v>
      </c>
      <c r="U8" s="3">
        <f t="shared" si="1"/>
        <v>-1.3168102779473223</v>
      </c>
      <c r="V8" s="3">
        <f t="shared" si="1"/>
        <v>-5.2686977369744596</v>
      </c>
    </row>
    <row r="9" spans="1:22">
      <c r="A9" s="20">
        <v>2002</v>
      </c>
      <c r="B9" s="72">
        <f>'4A'!C9/'4A'!$C9*100</f>
        <v>100</v>
      </c>
      <c r="C9" s="72">
        <f>'4A'!D9/'4A'!$C9*100</f>
        <v>16.680851063829785</v>
      </c>
      <c r="D9" s="72">
        <f>'4A'!E9/'4A'!$C9*100</f>
        <v>0</v>
      </c>
      <c r="E9" s="72">
        <f>'4A'!F9/'4A'!$C9*100</f>
        <v>0</v>
      </c>
      <c r="F9" s="72">
        <f>'4A'!G9/'4A'!$C9*100</f>
        <v>16.425531914893615</v>
      </c>
      <c r="G9" s="72">
        <f>'4A'!H9/'4A'!$C9*100</f>
        <v>55.914893617021278</v>
      </c>
      <c r="H9" s="72">
        <f>'4A'!I9/'4A'!$C9*100</f>
        <v>24.851063829787233</v>
      </c>
      <c r="I9" s="72">
        <f>'4A'!J9/'4A'!$C9*100</f>
        <v>7.8297872340425512</v>
      </c>
      <c r="J9" s="72">
        <f>'4A'!K9/'4A'!$C9*100</f>
        <v>23.234042553191486</v>
      </c>
      <c r="K9" s="72">
        <f>'4A'!L9/'4A'!$C9*100</f>
        <v>27.404255319148934</v>
      </c>
      <c r="L9" s="72">
        <f>'4A'!M9/'4A'!$C9*100</f>
        <v>20.425531914893615</v>
      </c>
      <c r="M9" s="72">
        <f>'4A'!N9/'4A'!$C9*100</f>
        <v>6.8936170212765946</v>
      </c>
      <c r="O9" s="3">
        <v>2001</v>
      </c>
      <c r="P9" s="3" t="e">
        <f>((#REF!/#REF!)-1)*100</f>
        <v>#REF!</v>
      </c>
      <c r="Q9" s="3">
        <f t="shared" si="2"/>
        <v>0</v>
      </c>
      <c r="R9" s="3">
        <f t="shared" si="2"/>
        <v>4.267065012664828</v>
      </c>
      <c r="S9" s="3">
        <f t="shared" si="0"/>
        <v>1.8482490272373475</v>
      </c>
      <c r="T9" s="3">
        <f t="shared" si="1"/>
        <v>-4.8155987950826322</v>
      </c>
      <c r="U9" s="3">
        <f t="shared" si="1"/>
        <v>-10.17122914167301</v>
      </c>
      <c r="V9" s="3">
        <f t="shared" si="1"/>
        <v>10.953757225433547</v>
      </c>
    </row>
    <row r="10" spans="1:22">
      <c r="A10" s="20">
        <v>2003</v>
      </c>
      <c r="B10" s="72">
        <f>'4A'!C10/'4A'!$C10*100</f>
        <v>100</v>
      </c>
      <c r="C10" s="72">
        <f>'4A'!D10/'4A'!$C10*100</f>
        <v>15.789473684210526</v>
      </c>
      <c r="D10" s="72">
        <f>'4A'!E10/'4A'!$C10*100</f>
        <v>0</v>
      </c>
      <c r="E10" s="72">
        <f>'4A'!F10/'4A'!$C10*100</f>
        <v>0</v>
      </c>
      <c r="F10" s="72">
        <f>'4A'!G10/'4A'!$C10*100</f>
        <v>15.343443354148082</v>
      </c>
      <c r="G10" s="72">
        <f>'4A'!H10/'4A'!$C10*100</f>
        <v>53.434433541480821</v>
      </c>
      <c r="H10" s="72">
        <f>'4A'!I10/'4A'!$C10*100</f>
        <v>22.925958965209634</v>
      </c>
      <c r="I10" s="72">
        <f>'4A'!J10/'4A'!$C10*100</f>
        <v>7.2256913470115967</v>
      </c>
      <c r="J10" s="72">
        <f>'4A'!K10/'4A'!$C10*100</f>
        <v>23.282783229259593</v>
      </c>
      <c r="K10" s="72">
        <f>'4A'!L10/'4A'!$C10*100</f>
        <v>30.776092774308655</v>
      </c>
      <c r="L10" s="72">
        <f>'4A'!M10/'4A'!$C10*100</f>
        <v>24.710080285459412</v>
      </c>
      <c r="M10" s="72">
        <f>'4A'!N10/'4A'!$C10*100</f>
        <v>6.0660124888492417</v>
      </c>
      <c r="O10" s="3">
        <v>2002</v>
      </c>
      <c r="P10" s="3" t="e">
        <f>((#REF!/#REF!)-1)*100</f>
        <v>#REF!</v>
      </c>
      <c r="Q10" s="3">
        <f t="shared" si="2"/>
        <v>0</v>
      </c>
      <c r="R10" s="3">
        <f t="shared" si="2"/>
        <v>-5.8982423681776304</v>
      </c>
      <c r="S10" s="3">
        <f t="shared" si="0"/>
        <v>11.829787234042556</v>
      </c>
      <c r="T10" s="3">
        <f t="shared" si="1"/>
        <v>-15.087710384248975</v>
      </c>
      <c r="U10" s="3">
        <f t="shared" si="1"/>
        <v>-10.16227912008657</v>
      </c>
      <c r="V10" s="3">
        <f t="shared" si="1"/>
        <v>-27.721470019342377</v>
      </c>
    </row>
    <row r="11" spans="1:22">
      <c r="A11" s="20">
        <v>2004</v>
      </c>
      <c r="B11" s="72">
        <f>'4A'!C11/'4A'!$C11*100</f>
        <v>100</v>
      </c>
      <c r="C11" s="72">
        <f>'4A'!D11/'4A'!$C11*100</f>
        <v>14.106019766397123</v>
      </c>
      <c r="D11" s="72">
        <f>'4A'!E11/'4A'!$C11*100</f>
        <v>0</v>
      </c>
      <c r="E11" s="72">
        <f>'4A'!F11/'4A'!$C11*100</f>
        <v>0</v>
      </c>
      <c r="F11" s="72">
        <f>'4A'!G11/'4A'!$C11*100</f>
        <v>13.477088948787062</v>
      </c>
      <c r="G11" s="72">
        <f>'4A'!H11/'4A'!$C11*100</f>
        <v>53.63881401617251</v>
      </c>
      <c r="H11" s="72">
        <f>'4A'!I11/'4A'!$C11*100</f>
        <v>24.168912848158129</v>
      </c>
      <c r="I11" s="72">
        <f>'4A'!J11/'4A'!$C11*100</f>
        <v>8.0862533692722369</v>
      </c>
      <c r="J11" s="72">
        <f>'4A'!K11/'4A'!$C11*100</f>
        <v>21.383647798742135</v>
      </c>
      <c r="K11" s="72">
        <f>'4A'!L11/'4A'!$C11*100</f>
        <v>32.255166217430364</v>
      </c>
      <c r="L11" s="72">
        <f>'4A'!M11/'4A'!$C11*100</f>
        <v>24.797843665768195</v>
      </c>
      <c r="M11" s="72">
        <f>'4A'!N11/'4A'!$C11*100</f>
        <v>7.4573225516621742</v>
      </c>
      <c r="O11" s="3">
        <v>2003</v>
      </c>
      <c r="P11" s="3" t="e">
        <f>((#REF!/#REF!)-1)*100</f>
        <v>#REF!</v>
      </c>
      <c r="Q11" s="3">
        <f t="shared" si="2"/>
        <v>0</v>
      </c>
      <c r="R11" s="3">
        <f t="shared" si="2"/>
        <v>-5.3437164339419922</v>
      </c>
      <c r="S11" s="3">
        <f t="shared" si="0"/>
        <v>-4.4361348382953363</v>
      </c>
      <c r="T11" s="3">
        <f t="shared" si="1"/>
        <v>12.304065247865449</v>
      </c>
      <c r="U11" s="3">
        <f t="shared" si="1"/>
        <v>20.976434730895054</v>
      </c>
      <c r="V11" s="3">
        <f t="shared" si="1"/>
        <v>-12.00537439014987</v>
      </c>
    </row>
    <row r="12" spans="1:22">
      <c r="A12" s="20">
        <v>2005</v>
      </c>
      <c r="B12" s="72">
        <f>'4A'!C12/'4A'!$C12*100</f>
        <v>100</v>
      </c>
      <c r="C12" s="72">
        <f>'4A'!D12/'4A'!$C12*100</f>
        <v>13.590449954086317</v>
      </c>
      <c r="D12" s="72">
        <f>'4A'!E12/'4A'!$C12*100</f>
        <v>0</v>
      </c>
      <c r="E12" s="72">
        <f>'4A'!F12/'4A'!$C12*100</f>
        <v>0</v>
      </c>
      <c r="F12" s="72">
        <f>'4A'!G12/'4A'!$C12*100</f>
        <v>13.498622589531678</v>
      </c>
      <c r="G12" s="72">
        <f>'4A'!H12/'4A'!$C12*100</f>
        <v>49.770431588613405</v>
      </c>
      <c r="H12" s="72">
        <f>'4A'!I12/'4A'!$C12*100</f>
        <v>20.752984389348025</v>
      </c>
      <c r="I12" s="72">
        <f>'4A'!J12/'4A'!$C12*100</f>
        <v>7.3461891643709825</v>
      </c>
      <c r="J12" s="72">
        <f>'4A'!K12/'4A'!$C12*100</f>
        <v>21.6712580348944</v>
      </c>
      <c r="K12" s="72">
        <f>'4A'!L12/'4A'!$C12*100</f>
        <v>36.63911845730027</v>
      </c>
      <c r="L12" s="72">
        <f>'4A'!M12/'4A'!$C12*100</f>
        <v>24.517906336088153</v>
      </c>
      <c r="M12" s="72">
        <f>'4A'!N12/'4A'!$C12*100</f>
        <v>12.121212121212119</v>
      </c>
      <c r="O12" s="3">
        <v>2004</v>
      </c>
      <c r="P12" s="3" t="e">
        <f>((#REF!/#REF!)-1)*100</f>
        <v>#REF!</v>
      </c>
      <c r="Q12" s="3">
        <f t="shared" si="2"/>
        <v>0</v>
      </c>
      <c r="R12" s="3">
        <f t="shared" si="2"/>
        <v>-10.661874812818217</v>
      </c>
      <c r="S12" s="3">
        <f t="shared" si="0"/>
        <v>0.38248833410581273</v>
      </c>
      <c r="T12" s="3">
        <f t="shared" si="1"/>
        <v>4.8059168977954592</v>
      </c>
      <c r="U12" s="3">
        <f t="shared" si="1"/>
        <v>0.3551723802387885</v>
      </c>
      <c r="V12" s="3">
        <f t="shared" si="1"/>
        <v>22.936155594313192</v>
      </c>
    </row>
    <row r="13" spans="1:22">
      <c r="A13" s="20">
        <v>2006</v>
      </c>
      <c r="B13" s="72">
        <f>'4A'!C13/'4A'!$C13*100</f>
        <v>100</v>
      </c>
      <c r="C13" s="72">
        <f>'4A'!D13/'4A'!$C13*100</f>
        <v>13.54062186559679</v>
      </c>
      <c r="D13" s="72">
        <f>'4A'!E13/'4A'!$C13*100</f>
        <v>0</v>
      </c>
      <c r="E13" s="72">
        <f>'4A'!F13/'4A'!$C13*100</f>
        <v>0</v>
      </c>
      <c r="F13" s="72">
        <f>'4A'!G13/'4A'!$C13*100</f>
        <v>13.239719157472415</v>
      </c>
      <c r="G13" s="72">
        <f>'4A'!H13/'4A'!$C13*100</f>
        <v>52.858575727181545</v>
      </c>
      <c r="H13" s="72">
        <f>'4A'!I13/'4A'!$C13*100</f>
        <v>19.157472417251757</v>
      </c>
      <c r="I13" s="72">
        <f>'4A'!J13/'4A'!$C13*100</f>
        <v>5.9177532597793379</v>
      </c>
      <c r="J13" s="72">
        <f>'4A'!K13/'4A'!$C13*100</f>
        <v>27.783350050150453</v>
      </c>
      <c r="K13" s="72">
        <f>'4A'!L13/'4A'!$C13*100</f>
        <v>33.600802407221664</v>
      </c>
      <c r="L13" s="72">
        <f>'4A'!M13/'4A'!$C13*100</f>
        <v>24.774322968906716</v>
      </c>
      <c r="M13" s="72">
        <f>'4A'!N13/'4A'!$C13*100</f>
        <v>8.8264794383149443</v>
      </c>
      <c r="O13" s="3">
        <v>2005</v>
      </c>
      <c r="P13" s="3" t="e">
        <f>((#REF!/#REF!)-1)*100</f>
        <v>#REF!</v>
      </c>
      <c r="Q13" s="3">
        <f t="shared" si="2"/>
        <v>0</v>
      </c>
      <c r="R13" s="3">
        <f t="shared" si="2"/>
        <v>-3.6549630643434861</v>
      </c>
      <c r="S13" s="3">
        <f t="shared" si="0"/>
        <v>-7.2119089478614455</v>
      </c>
      <c r="T13" s="3">
        <f t="shared" si="1"/>
        <v>13.591473100209495</v>
      </c>
      <c r="U13" s="3">
        <f t="shared" si="1"/>
        <v>-1.1288777099053848</v>
      </c>
      <c r="V13" s="3">
        <f t="shared" si="1"/>
        <v>62.541073384446854</v>
      </c>
    </row>
    <row r="14" spans="1:22">
      <c r="A14" s="20">
        <v>2007</v>
      </c>
      <c r="B14" s="72">
        <f>'4A'!C14/'4A'!$C14*100</f>
        <v>100</v>
      </c>
      <c r="C14" s="72">
        <f>'4A'!D14/'4A'!$C14*100</f>
        <v>13.333333333333334</v>
      </c>
      <c r="D14" s="72">
        <f>'4A'!E14/'4A'!$C14*100</f>
        <v>0</v>
      </c>
      <c r="E14" s="72">
        <f>'4A'!F14/'4A'!$C14*100</f>
        <v>0</v>
      </c>
      <c r="F14" s="72">
        <f>'4A'!G14/'4A'!$C14*100</f>
        <v>12.564102564102564</v>
      </c>
      <c r="G14" s="72">
        <f>'4A'!H14/'4A'!$C14*100</f>
        <v>51.282051282051277</v>
      </c>
      <c r="H14" s="72">
        <f>'4A'!I14/'4A'!$C14*100</f>
        <v>17.692307692307693</v>
      </c>
      <c r="I14" s="72">
        <f>'4A'!J14/'4A'!$C14*100</f>
        <v>7.9487179487179498</v>
      </c>
      <c r="J14" s="72">
        <f>'4A'!K14/'4A'!$C14*100</f>
        <v>25.641025641025639</v>
      </c>
      <c r="K14" s="72">
        <f>'4A'!L14/'4A'!$C14*100</f>
        <v>35.384615384615387</v>
      </c>
      <c r="L14" s="72">
        <f>'4A'!M14/'4A'!$C14*100</f>
        <v>23.205128205128204</v>
      </c>
      <c r="M14" s="72">
        <f>'4A'!N14/'4A'!$C14*100</f>
        <v>12.051282051282051</v>
      </c>
      <c r="O14" s="3">
        <v>2006</v>
      </c>
      <c r="P14" s="3" t="e">
        <f>((#REF!/#REF!)-1)*100</f>
        <v>#REF!</v>
      </c>
      <c r="Q14" s="3">
        <f t="shared" si="2"/>
        <v>0</v>
      </c>
      <c r="R14" s="3">
        <f t="shared" si="2"/>
        <v>-0.36664046192631528</v>
      </c>
      <c r="S14" s="3">
        <f t="shared" si="0"/>
        <v>6.2047766916987213</v>
      </c>
      <c r="T14" s="3">
        <f t="shared" si="1"/>
        <v>-8.2925468133724358</v>
      </c>
      <c r="U14" s="3">
        <f t="shared" si="1"/>
        <v>1.0458341316083031</v>
      </c>
      <c r="V14" s="3">
        <f t="shared" si="1"/>
        <v>-27.181544633901702</v>
      </c>
    </row>
    <row r="15" spans="1:22">
      <c r="A15" s="20">
        <v>2008</v>
      </c>
      <c r="B15" s="72">
        <f>'4A'!C15/'4A'!$C15*100</f>
        <v>100</v>
      </c>
      <c r="C15" s="72">
        <f>'4A'!D15/'4A'!$C15*100</f>
        <v>12.577065351418002</v>
      </c>
      <c r="D15" s="72">
        <f>'4A'!E15/'4A'!$C15*100</f>
        <v>0</v>
      </c>
      <c r="E15" s="72">
        <f>'4A'!F15/'4A'!$C15*100</f>
        <v>0</v>
      </c>
      <c r="F15" s="72">
        <f>'4A'!G15/'4A'!$C15*100</f>
        <v>12.453760789149198</v>
      </c>
      <c r="G15" s="72">
        <f>'4A'!H15/'4A'!$C15*100</f>
        <v>49.075215782983975</v>
      </c>
      <c r="H15" s="72">
        <f>'4A'!I15/'4A'!$C15*100</f>
        <v>14.180024660912455</v>
      </c>
      <c r="I15" s="72">
        <f>'4A'!J15/'4A'!$C15*100</f>
        <v>6.4118372379778066</v>
      </c>
      <c r="J15" s="72">
        <f>'4A'!K15/'4A'!$C15*100</f>
        <v>28.483353884093717</v>
      </c>
      <c r="K15" s="72">
        <f>'4A'!L15/'4A'!$C15*100</f>
        <v>38.347718865598033</v>
      </c>
      <c r="L15" s="72">
        <f>'4A'!M15/'4A'!$C15*100</f>
        <v>26.757090012330458</v>
      </c>
      <c r="M15" s="72">
        <f>'4A'!N15/'4A'!$C15*100</f>
        <v>11.590628853267573</v>
      </c>
      <c r="O15" s="3">
        <v>2007</v>
      </c>
      <c r="P15" s="3" t="e">
        <f>((#REF!/#REF!)-1)*100</f>
        <v>#REF!</v>
      </c>
      <c r="Q15" s="3">
        <f t="shared" si="2"/>
        <v>0</v>
      </c>
      <c r="R15" s="3">
        <f t="shared" si="2"/>
        <v>-1.5308641975308568</v>
      </c>
      <c r="S15" s="3">
        <f t="shared" si="0"/>
        <v>-2.9825329635576381</v>
      </c>
      <c r="T15" s="3">
        <f t="shared" si="1"/>
        <v>5.3088404133180278</v>
      </c>
      <c r="U15" s="3">
        <f t="shared" si="1"/>
        <v>-6.3339561922557746</v>
      </c>
      <c r="V15" s="3">
        <f t="shared" si="1"/>
        <v>36.535547785547791</v>
      </c>
    </row>
    <row r="16" spans="1:22">
      <c r="A16" s="20">
        <v>2009</v>
      </c>
      <c r="B16" s="72">
        <f>'4A'!C16/'4A'!$C16*100</f>
        <v>100</v>
      </c>
      <c r="C16" s="72">
        <f>'4A'!D16/'4A'!$C16*100</f>
        <v>9.9601593625498008</v>
      </c>
      <c r="D16" s="72">
        <f>'4A'!E16/'4A'!$C16*100</f>
        <v>0</v>
      </c>
      <c r="E16" s="72">
        <f>'4A'!F16/'4A'!$C16*100</f>
        <v>0</v>
      </c>
      <c r="F16" s="72">
        <f>'4A'!G16/'4A'!$C16*100</f>
        <v>9.8273572377158036</v>
      </c>
      <c r="G16" s="72">
        <f>'4A'!H16/'4A'!$C16*100</f>
        <v>55.112881806108902</v>
      </c>
      <c r="H16" s="72">
        <f>'4A'!I16/'4A'!$C16*100</f>
        <v>14.475431606905712</v>
      </c>
      <c r="I16" s="72">
        <f>'4A'!J16/'4A'!$C16*100</f>
        <v>7.0385126162018601</v>
      </c>
      <c r="J16" s="72">
        <f>'4A'!K16/'4A'!$C16*100</f>
        <v>33.59893758300133</v>
      </c>
      <c r="K16" s="72">
        <f>'4A'!L16/'4A'!$C16*100</f>
        <v>34.926958831341302</v>
      </c>
      <c r="L16" s="72">
        <f>'4A'!M16/'4A'!$C16*100</f>
        <v>28.419654714475428</v>
      </c>
      <c r="M16" s="72">
        <f>'4A'!N16/'4A'!$C16*100</f>
        <v>6.3745019920318722</v>
      </c>
      <c r="O16" s="3">
        <v>2008</v>
      </c>
      <c r="P16" s="3" t="e">
        <f>((#REF!/#REF!)-1)*100</f>
        <v>#REF!</v>
      </c>
      <c r="Q16" s="3">
        <f t="shared" si="2"/>
        <v>0</v>
      </c>
      <c r="R16" s="3">
        <f t="shared" si="2"/>
        <v>-5.6720098643649912</v>
      </c>
      <c r="S16" s="3">
        <f t="shared" si="0"/>
        <v>-4.3033292231812403</v>
      </c>
      <c r="T16" s="3">
        <f t="shared" si="1"/>
        <v>8.3739880984292192</v>
      </c>
      <c r="U16" s="3">
        <f t="shared" si="1"/>
        <v>15.306796738219663</v>
      </c>
      <c r="V16" s="3">
        <f t="shared" si="1"/>
        <v>-3.8224414303329013</v>
      </c>
    </row>
    <row r="17" spans="1:22">
      <c r="A17" s="20">
        <v>2010</v>
      </c>
      <c r="B17" s="72">
        <f>'4A'!C17/'4A'!$C17*100</f>
        <v>100</v>
      </c>
      <c r="C17" s="72">
        <f>'4A'!D17/'4A'!$C17*100</f>
        <v>13.502673796791445</v>
      </c>
      <c r="D17" s="72">
        <f>'4A'!E17/'4A'!$C17*100</f>
        <v>0</v>
      </c>
      <c r="E17" s="72">
        <f>'4A'!F17/'4A'!$C17*100</f>
        <v>0</v>
      </c>
      <c r="F17" s="72">
        <f>'4A'!G17/'4A'!$C17*100</f>
        <v>13.23529411764706</v>
      </c>
      <c r="G17" s="72">
        <f>'4A'!H17/'4A'!$C17*100</f>
        <v>52.540106951871657</v>
      </c>
      <c r="H17" s="72">
        <f>'4A'!I17/'4A'!$C17*100</f>
        <v>16.978609625668447</v>
      </c>
      <c r="I17" s="72">
        <f>'4A'!J17/'4A'!$C17*100</f>
        <v>8.2887700534759379</v>
      </c>
      <c r="J17" s="72">
        <f>'4A'!K17/'4A'!$C17*100</f>
        <v>27.27272727272727</v>
      </c>
      <c r="K17" s="72">
        <f>'4A'!L17/'4A'!$C17*100</f>
        <v>33.957219251336895</v>
      </c>
      <c r="L17" s="72">
        <f>'4A'!M17/'4A'!$C17*100</f>
        <v>24.197860962566846</v>
      </c>
      <c r="M17" s="72">
        <f>'4A'!N17/'4A'!$C17*100</f>
        <v>9.7593582887700538</v>
      </c>
      <c r="O17" s="3">
        <v>2009</v>
      </c>
      <c r="P17" s="3" t="e">
        <f>((#REF!/#REF!)-1)*100</f>
        <v>#REF!</v>
      </c>
      <c r="Q17" s="3">
        <f t="shared" si="2"/>
        <v>0</v>
      </c>
      <c r="R17" s="3">
        <f t="shared" si="2"/>
        <v>-20.806968205608932</v>
      </c>
      <c r="S17" s="3">
        <f t="shared" si="0"/>
        <v>12.302882273252047</v>
      </c>
      <c r="T17" s="3">
        <f t="shared" si="1"/>
        <v>-8.9203742372418233</v>
      </c>
      <c r="U17" s="3">
        <f t="shared" si="1"/>
        <v>6.2135482646984874</v>
      </c>
      <c r="V17" s="3">
        <f t="shared" si="1"/>
        <v>-45.00296685598034</v>
      </c>
    </row>
    <row r="18" spans="1:22">
      <c r="A18" s="20">
        <v>2011</v>
      </c>
      <c r="B18" s="72">
        <f>'4A'!C18/'4A'!$C18*100</f>
        <v>100</v>
      </c>
      <c r="C18" s="72">
        <f>'4A'!D18/'4A'!$C18*100</f>
        <v>12.831241283124129</v>
      </c>
      <c r="D18" s="72">
        <f>'4A'!E18/'4A'!$C18*100</f>
        <v>0</v>
      </c>
      <c r="E18" s="72">
        <f>'4A'!F18/'4A'!$C18*100</f>
        <v>0</v>
      </c>
      <c r="F18" s="72">
        <f>'4A'!G18/'4A'!$C18*100</f>
        <v>12.69177126917713</v>
      </c>
      <c r="G18" s="72">
        <f>'4A'!H18/'4A'!$C18*100</f>
        <v>47.977684797768482</v>
      </c>
      <c r="H18" s="72">
        <f>'4A'!I18/'4A'!$C18*100</f>
        <v>15.481171548117157</v>
      </c>
      <c r="I18" s="72">
        <f>'4A'!J18/'4A'!$C18*100</f>
        <v>7.8103207810320789</v>
      </c>
      <c r="J18" s="72">
        <f>'4A'!K18/'4A'!$C18*100</f>
        <v>24.68619246861925</v>
      </c>
      <c r="K18" s="72">
        <f>'4A'!L18/'4A'!$C18*100</f>
        <v>39.191073919107403</v>
      </c>
      <c r="L18" s="72">
        <f>'4A'!M18/'4A'!$C18*100</f>
        <v>26.638772663877276</v>
      </c>
      <c r="M18" s="72">
        <f>'4A'!N18/'4A'!$C18*100</f>
        <v>12.552301255230129</v>
      </c>
      <c r="O18" s="3">
        <v>2010</v>
      </c>
      <c r="P18" s="3" t="e">
        <f>((#REF!/#REF!)-1)*100</f>
        <v>#REF!</v>
      </c>
      <c r="Q18" s="3">
        <f t="shared" si="2"/>
        <v>0</v>
      </c>
      <c r="R18" s="3">
        <f t="shared" si="2"/>
        <v>35.566844919786099</v>
      </c>
      <c r="S18" s="3">
        <f t="shared" si="0"/>
        <v>-4.6681914825075772</v>
      </c>
      <c r="T18" s="3">
        <f t="shared" si="1"/>
        <v>-2.7764787214574871</v>
      </c>
      <c r="U18" s="3">
        <f t="shared" si="1"/>
        <v>-14.855190164425991</v>
      </c>
      <c r="V18" s="3">
        <f t="shared" si="1"/>
        <v>53.099933155080237</v>
      </c>
    </row>
    <row r="19" spans="1:22">
      <c r="A19" s="20">
        <v>2012</v>
      </c>
      <c r="B19" s="72">
        <f>'4A'!C19/'4A'!$C19*100</f>
        <v>100</v>
      </c>
      <c r="C19" s="72">
        <f>'4A'!D19/'4A'!$C19*100</f>
        <v>11.854951185495118</v>
      </c>
      <c r="D19" s="72">
        <f>'4A'!E19/'4A'!$C19*100</f>
        <v>0</v>
      </c>
      <c r="E19" s="72">
        <f>'4A'!F19/'4A'!$C19*100</f>
        <v>0</v>
      </c>
      <c r="F19" s="72">
        <f>'4A'!G19/'4A'!$C19*100</f>
        <v>11.715481171548117</v>
      </c>
      <c r="G19" s="72">
        <f>'4A'!H19/'4A'!$C19*100</f>
        <v>52.30125523012552</v>
      </c>
      <c r="H19" s="72">
        <f>'4A'!I19/'4A'!$C19*100</f>
        <v>12.691771269177126</v>
      </c>
      <c r="I19" s="72">
        <f>'4A'!J19/'4A'!$C19*100</f>
        <v>7.3919107391910739</v>
      </c>
      <c r="J19" s="72">
        <f>'4A'!K19/'4A'!$C19*100</f>
        <v>32.078103207810322</v>
      </c>
      <c r="K19" s="72">
        <f>'4A'!L19/'4A'!$C19*100</f>
        <v>35.843793584379355</v>
      </c>
      <c r="L19" s="72">
        <f>'4A'!M19/'4A'!$C19*100</f>
        <v>24.825662482566248</v>
      </c>
      <c r="M19" s="72">
        <f>'4A'!N19/'4A'!$C19*100</f>
        <v>11.018131101813109</v>
      </c>
      <c r="O19" s="3">
        <v>2011</v>
      </c>
      <c r="P19" s="3" t="e">
        <f>((#REF!/#REF!)-1)*100</f>
        <v>#REF!</v>
      </c>
      <c r="Q19" s="3">
        <f t="shared" si="2"/>
        <v>0</v>
      </c>
      <c r="R19" s="3">
        <f t="shared" si="2"/>
        <v>-4.972589309140119</v>
      </c>
      <c r="S19" s="3">
        <f t="shared" si="0"/>
        <v>-8.6836940744762678</v>
      </c>
      <c r="T19" s="3">
        <f t="shared" si="1"/>
        <v>15.413083824773</v>
      </c>
      <c r="U19" s="3">
        <f t="shared" si="1"/>
        <v>10.087303605415476</v>
      </c>
      <c r="V19" s="3">
        <f t="shared" si="1"/>
        <v>28.618100533042945</v>
      </c>
    </row>
    <row r="20" spans="1:22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O20" s="3">
        <v>2012</v>
      </c>
      <c r="P20" s="3" t="e">
        <f>((#REF!/#REF!)-1)*100</f>
        <v>#REF!</v>
      </c>
      <c r="Q20" s="3">
        <f t="shared" si="2"/>
        <v>0</v>
      </c>
      <c r="R20" s="3">
        <f t="shared" si="2"/>
        <v>-7.6086956521739246</v>
      </c>
      <c r="S20" s="3">
        <f t="shared" si="0"/>
        <v>9.011627906976738</v>
      </c>
      <c r="T20" s="3">
        <f t="shared" si="1"/>
        <v>-8.5409252669039422</v>
      </c>
      <c r="U20" s="3">
        <f t="shared" si="1"/>
        <v>-6.8062827225131244</v>
      </c>
      <c r="V20" s="3">
        <f t="shared" si="1"/>
        <v>-12.222222222222246</v>
      </c>
    </row>
    <row r="21" spans="1:22">
      <c r="A21" s="13"/>
      <c r="B21" s="13"/>
      <c r="C21" s="14"/>
      <c r="D21" s="14"/>
      <c r="E21" s="14"/>
      <c r="F21" s="14"/>
      <c r="G21" s="13"/>
      <c r="H21" s="13"/>
      <c r="I21" s="13"/>
      <c r="J21" s="13"/>
      <c r="K21" s="13"/>
      <c r="L21" s="13"/>
      <c r="M21" s="13"/>
    </row>
    <row r="22" spans="1:22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22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P23" s="3" t="s">
        <v>27</v>
      </c>
    </row>
    <row r="24" spans="1:22" ht="30">
      <c r="A24" s="243" t="s">
        <v>19</v>
      </c>
      <c r="B24" s="13">
        <f>((B7/B4)^(1/3)-1)*100</f>
        <v>0</v>
      </c>
      <c r="C24" s="13">
        <f t="shared" ref="C24" si="3">((C7/C4)^(1/3)-1)*100</f>
        <v>-8.7291212382363028</v>
      </c>
      <c r="D24" s="62" t="s">
        <v>10</v>
      </c>
      <c r="E24" s="62" t="s">
        <v>10</v>
      </c>
      <c r="F24" s="13">
        <f t="shared" ref="F24:M24" si="4">((F7/F4)^(1/3)-1)*100</f>
        <v>-8.1586634362473376</v>
      </c>
      <c r="G24" s="13">
        <f t="shared" si="4"/>
        <v>4.2141075120634808</v>
      </c>
      <c r="H24" s="13">
        <f t="shared" si="4"/>
        <v>-1.1648877485980424</v>
      </c>
      <c r="I24" s="13">
        <f t="shared" si="4"/>
        <v>17.19672608059404</v>
      </c>
      <c r="J24" s="13">
        <f t="shared" si="4"/>
        <v>7.9372874624971335</v>
      </c>
      <c r="K24" s="13">
        <f t="shared" si="4"/>
        <v>-0.35008452215755659</v>
      </c>
      <c r="L24" s="13">
        <f t="shared" si="4"/>
        <v>-3.7260955454538669</v>
      </c>
      <c r="M24" s="13">
        <f t="shared" si="4"/>
        <v>13.361617192247376</v>
      </c>
      <c r="O24" s="3">
        <v>1998</v>
      </c>
      <c r="P24" s="3" t="e">
        <f>#REF!/#REF!</f>
        <v>#REF!</v>
      </c>
      <c r="Q24" s="3">
        <f>B5/$B$7</f>
        <v>1</v>
      </c>
      <c r="R24" s="3">
        <f t="shared" ref="R24:R29" si="5">C5/$C$7</f>
        <v>1.1912235432453619</v>
      </c>
      <c r="S24" s="3">
        <f t="shared" ref="S24:S25" si="6">G5/$G$7</f>
        <v>0.89215908062618765</v>
      </c>
      <c r="T24" s="3">
        <f t="shared" ref="T24:T25" si="7">K5/$K$7</f>
        <v>1.0602603996069442</v>
      </c>
      <c r="U24" s="3">
        <f t="shared" ref="U24:U25" si="8">L5/$L$7</f>
        <v>1.0643045195261083</v>
      </c>
      <c r="V24" s="3">
        <f t="shared" ref="V24:V25" si="9">M5/$M$7</f>
        <v>1.0370801033591732</v>
      </c>
    </row>
    <row r="25" spans="1:22" ht="30">
      <c r="A25" s="243" t="s">
        <v>68</v>
      </c>
      <c r="B25" s="13">
        <f t="shared" ref="B25:M25" si="10">((B14/B7)^(1/7)-1)*100</f>
        <v>0</v>
      </c>
      <c r="C25" s="13">
        <f t="shared" si="10"/>
        <v>-3.4118982699373412</v>
      </c>
      <c r="D25" s="62" t="s">
        <v>10</v>
      </c>
      <c r="E25" s="62" t="s">
        <v>10</v>
      </c>
      <c r="F25" s="13">
        <f t="shared" si="10"/>
        <v>-4.2283700252304985</v>
      </c>
      <c r="G25" s="13">
        <f t="shared" si="10"/>
        <v>0.6252547912357409</v>
      </c>
      <c r="H25" s="13">
        <f t="shared" si="10"/>
        <v>-4.0826726082965443</v>
      </c>
      <c r="I25" s="13">
        <f t="shared" si="10"/>
        <v>0.21172996009999334</v>
      </c>
      <c r="J25" s="13">
        <f t="shared" si="10"/>
        <v>5.5450209014757723</v>
      </c>
      <c r="K25" s="13">
        <f t="shared" si="10"/>
        <v>0.61148149628444948</v>
      </c>
      <c r="L25" s="13">
        <f t="shared" si="10"/>
        <v>-1.2329433876078433</v>
      </c>
      <c r="M25" s="13">
        <f t="shared" si="10"/>
        <v>4.9451781257017435</v>
      </c>
      <c r="O25" s="3">
        <v>1999</v>
      </c>
      <c r="P25" s="3" t="e">
        <f>#REF!/#REF!</f>
        <v>#REF!</v>
      </c>
      <c r="Q25" s="3">
        <f t="shared" ref="Q25:Q29" si="11">B6/$B$7</f>
        <v>1</v>
      </c>
      <c r="R25" s="3">
        <f t="shared" si="5"/>
        <v>1.1546192259675407</v>
      </c>
      <c r="S25" s="3">
        <f t="shared" si="6"/>
        <v>0.92983679204496317</v>
      </c>
      <c r="T25" s="3">
        <f t="shared" si="7"/>
        <v>1.02406103286385</v>
      </c>
      <c r="U25" s="3">
        <f t="shared" si="8"/>
        <v>1.013343815513627</v>
      </c>
      <c r="V25" s="3">
        <f t="shared" si="9"/>
        <v>1.0556172839506175</v>
      </c>
    </row>
    <row r="26" spans="1:22" ht="30">
      <c r="A26" s="243" t="s">
        <v>70</v>
      </c>
      <c r="B26" s="13">
        <f t="shared" ref="B26:M26" si="12">((B19/B14)^(1/5)-1)*100</f>
        <v>0</v>
      </c>
      <c r="C26" s="13">
        <f t="shared" si="12"/>
        <v>-2.3230237868289483</v>
      </c>
      <c r="D26" s="62" t="s">
        <v>10</v>
      </c>
      <c r="E26" s="62" t="s">
        <v>10</v>
      </c>
      <c r="F26" s="13">
        <f t="shared" si="12"/>
        <v>-1.3889163199232613</v>
      </c>
      <c r="G26" s="13">
        <f t="shared" si="12"/>
        <v>0.39436674614459211</v>
      </c>
      <c r="H26" s="13">
        <f t="shared" si="12"/>
        <v>-6.427646985367808</v>
      </c>
      <c r="I26" s="13">
        <f t="shared" si="12"/>
        <v>-1.4419901309165484</v>
      </c>
      <c r="J26" s="13">
        <f t="shared" si="12"/>
        <v>4.5814496478026712</v>
      </c>
      <c r="K26" s="13">
        <f t="shared" si="12"/>
        <v>0.25819872548555889</v>
      </c>
      <c r="L26" s="13">
        <f t="shared" si="12"/>
        <v>1.3592468571766547</v>
      </c>
      <c r="M26" s="13">
        <f t="shared" si="12"/>
        <v>-1.776605926353958</v>
      </c>
      <c r="O26" s="3">
        <v>2000</v>
      </c>
      <c r="P26" s="3" t="e">
        <f>#REF!/#REF!</f>
        <v>#REF!</v>
      </c>
      <c r="Q26" s="3">
        <f t="shared" si="11"/>
        <v>1</v>
      </c>
      <c r="R26" s="3">
        <f t="shared" si="5"/>
        <v>1</v>
      </c>
      <c r="S26" s="3">
        <f>G7/$G$7</f>
        <v>1</v>
      </c>
      <c r="T26" s="3">
        <f>K7/$K$7</f>
        <v>1</v>
      </c>
      <c r="U26" s="3">
        <f>L7/$L$7</f>
        <v>1</v>
      </c>
      <c r="V26" s="3">
        <f>M7/$M$7</f>
        <v>1</v>
      </c>
    </row>
    <row r="27" spans="1:22" ht="30">
      <c r="A27" s="243" t="s">
        <v>33</v>
      </c>
      <c r="B27" s="13">
        <f t="shared" ref="B27:C27" si="13">((B19/B4)^(1/15)-1)*100</f>
        <v>0</v>
      </c>
      <c r="C27" s="13">
        <f t="shared" si="13"/>
        <v>-4.1420339597504574</v>
      </c>
      <c r="D27" s="62" t="s">
        <v>10</v>
      </c>
      <c r="E27" s="62" t="s">
        <v>10</v>
      </c>
      <c r="F27" s="13">
        <f t="shared" ref="F27:M27" si="14">((F19/F4)^(1/15)-1)*100</f>
        <v>-4.098199753004117</v>
      </c>
      <c r="G27" s="13">
        <f t="shared" si="14"/>
        <v>1.2554359187758157</v>
      </c>
      <c r="H27" s="13">
        <f t="shared" si="14"/>
        <v>-4.2989430072344348</v>
      </c>
      <c r="I27" s="13">
        <f t="shared" si="14"/>
        <v>2.8274498932763237</v>
      </c>
      <c r="J27" s="13">
        <f t="shared" si="14"/>
        <v>5.6955742277277954</v>
      </c>
      <c r="K27" s="13">
        <f t="shared" si="14"/>
        <v>0.30075605377872794</v>
      </c>
      <c r="L27" s="13">
        <f t="shared" si="14"/>
        <v>-0.88444267342907557</v>
      </c>
      <c r="M27" s="13">
        <f t="shared" si="14"/>
        <v>4.2511082381779586</v>
      </c>
      <c r="O27" s="3">
        <v>2001</v>
      </c>
      <c r="P27" s="3" t="e">
        <f>#REF!/#REF!</f>
        <v>#REF!</v>
      </c>
      <c r="Q27" s="3">
        <f t="shared" si="11"/>
        <v>1</v>
      </c>
      <c r="R27" s="3">
        <f t="shared" si="5"/>
        <v>1.0426706501266483</v>
      </c>
      <c r="S27" s="3">
        <f t="shared" ref="S27:S29" si="15">G8/$G$7</f>
        <v>1.0184824902723735</v>
      </c>
      <c r="T27" s="3">
        <f t="shared" ref="T27:T29" si="16">K8/$K$7</f>
        <v>0.95184401204917368</v>
      </c>
      <c r="U27" s="3">
        <f t="shared" ref="U27:U29" si="17">L8/$L$7</f>
        <v>0.89828770858326989</v>
      </c>
      <c r="V27" s="3">
        <f t="shared" ref="V27:V29" si="18">M8/$M$7</f>
        <v>1.1095375722543355</v>
      </c>
    </row>
    <row r="28" spans="1:22">
      <c r="O28" s="3">
        <v>2002</v>
      </c>
      <c r="P28" s="3" t="e">
        <f>#REF!/#REF!</f>
        <v>#REF!</v>
      </c>
      <c r="Q28" s="3">
        <f t="shared" si="11"/>
        <v>1</v>
      </c>
      <c r="R28" s="3">
        <f t="shared" si="5"/>
        <v>0.9811714080803251</v>
      </c>
      <c r="S28" s="3">
        <f t="shared" si="15"/>
        <v>1.1389668018875734</v>
      </c>
      <c r="T28" s="3">
        <f t="shared" si="16"/>
        <v>0.80823254420137847</v>
      </c>
      <c r="U28" s="3">
        <f t="shared" si="17"/>
        <v>0.80700120433560818</v>
      </c>
      <c r="V28" s="3">
        <f t="shared" si="18"/>
        <v>0.80195744680851067</v>
      </c>
    </row>
    <row r="29" spans="1:22">
      <c r="A29" s="55" t="s">
        <v>314</v>
      </c>
      <c r="K29" s="58"/>
      <c r="O29" s="3">
        <v>2003</v>
      </c>
      <c r="P29" s="3" t="e">
        <f>#REF!/#REF!</f>
        <v>#REF!</v>
      </c>
      <c r="Q29" s="3">
        <f t="shared" si="11"/>
        <v>1</v>
      </c>
      <c r="R29" s="3">
        <f t="shared" si="5"/>
        <v>0.92874039030159672</v>
      </c>
      <c r="S29" s="3">
        <f t="shared" si="15"/>
        <v>1.0884406987924207</v>
      </c>
      <c r="T29" s="3">
        <f t="shared" si="16"/>
        <v>0.907678003794399</v>
      </c>
      <c r="U29" s="3">
        <f t="shared" si="17"/>
        <v>0.97628128524060409</v>
      </c>
      <c r="V29" s="3">
        <f t="shared" si="18"/>
        <v>0.70567945286946188</v>
      </c>
    </row>
    <row r="30" spans="1:22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O30" s="3">
        <v>2005</v>
      </c>
      <c r="P30" s="3" t="e">
        <f>#REF!/#REF!</f>
        <v>#REF!</v>
      </c>
      <c r="Q30" s="3">
        <f t="shared" ref="Q30:Q37" si="19">B12/$B$7</f>
        <v>1</v>
      </c>
      <c r="R30" s="3">
        <f t="shared" ref="R30:R37" si="20">C12/$C$7</f>
        <v>0.79939332033305477</v>
      </c>
      <c r="S30" s="3">
        <f t="shared" ref="S30:S37" si="21">G12/$G$7</f>
        <v>1.0138062621260358</v>
      </c>
      <c r="T30" s="3">
        <f t="shared" ref="T30:T37" si="22">K12/$K$7</f>
        <v>1.0805959725293912</v>
      </c>
      <c r="U30" s="3">
        <f t="shared" ref="U30:U37" si="23">L12/$L$7</f>
        <v>0.96868860127865275</v>
      </c>
      <c r="V30" s="3">
        <f t="shared" ref="V30:V37" si="24">M12/$M$7</f>
        <v>1.4101010101010101</v>
      </c>
    </row>
    <row r="31" spans="1:22">
      <c r="A31" s="56"/>
      <c r="B31" s="57"/>
      <c r="C31" s="57"/>
      <c r="D31" s="57"/>
      <c r="E31" s="57"/>
      <c r="F31" s="57"/>
      <c r="G31" s="57"/>
      <c r="H31" s="57"/>
      <c r="I31" s="57"/>
      <c r="J31" s="57"/>
      <c r="K31" s="57"/>
      <c r="O31" s="3">
        <v>2006</v>
      </c>
      <c r="P31" s="3" t="e">
        <f>#REF!/#REF!</f>
        <v>#REF!</v>
      </c>
      <c r="Q31" s="3">
        <f t="shared" si="19"/>
        <v>1</v>
      </c>
      <c r="R31" s="3">
        <f t="shared" si="20"/>
        <v>0.79646242097077757</v>
      </c>
      <c r="S31" s="3">
        <f t="shared" si="21"/>
        <v>1.0767106767774139</v>
      </c>
      <c r="T31" s="3">
        <f t="shared" si="22"/>
        <v>0.99098704564397422</v>
      </c>
      <c r="U31" s="3">
        <f t="shared" si="23"/>
        <v>0.97881947729982399</v>
      </c>
      <c r="V31" s="3">
        <f t="shared" si="24"/>
        <v>1.0268137746573054</v>
      </c>
    </row>
    <row r="32" spans="1:22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O32" s="3">
        <v>2007</v>
      </c>
      <c r="P32" s="3" t="e">
        <f>#REF!/#REF!</f>
        <v>#REF!</v>
      </c>
      <c r="Q32" s="3">
        <f t="shared" si="19"/>
        <v>1</v>
      </c>
      <c r="R32" s="3">
        <f t="shared" si="20"/>
        <v>0.78426966292134837</v>
      </c>
      <c r="S32" s="3">
        <f t="shared" si="21"/>
        <v>1.044597425920383</v>
      </c>
      <c r="T32" s="3">
        <f t="shared" si="22"/>
        <v>1.043596966413868</v>
      </c>
      <c r="U32" s="3">
        <f t="shared" si="23"/>
        <v>0.91682148040638611</v>
      </c>
      <c r="V32" s="3">
        <f t="shared" si="24"/>
        <v>1.401965811965812</v>
      </c>
    </row>
    <row r="33" spans="15:22">
      <c r="O33" s="3">
        <v>2008</v>
      </c>
      <c r="P33" s="3" t="e">
        <f>#REF!/#REF!</f>
        <v>#REF!</v>
      </c>
      <c r="Q33" s="3">
        <f t="shared" si="19"/>
        <v>1</v>
      </c>
      <c r="R33" s="3">
        <f t="shared" si="20"/>
        <v>0.73978581027722745</v>
      </c>
      <c r="S33" s="3">
        <f t="shared" si="21"/>
        <v>0.99964495962615207</v>
      </c>
      <c r="T33" s="3">
        <f t="shared" si="22"/>
        <v>1.1309876521769338</v>
      </c>
      <c r="U33" s="3">
        <f t="shared" si="23"/>
        <v>1.0571574808645281</v>
      </c>
      <c r="V33" s="3">
        <f t="shared" si="24"/>
        <v>1.3483764899301278</v>
      </c>
    </row>
    <row r="34" spans="15:22">
      <c r="O34" s="3">
        <v>2009</v>
      </c>
      <c r="P34" s="3" t="e">
        <f>#REF!/#REF!</f>
        <v>#REF!</v>
      </c>
      <c r="Q34" s="3">
        <f t="shared" si="19"/>
        <v>1</v>
      </c>
      <c r="R34" s="3">
        <f t="shared" si="20"/>
        <v>0.5858588119432383</v>
      </c>
      <c r="S34" s="3">
        <f t="shared" si="21"/>
        <v>1.1226301021594556</v>
      </c>
      <c r="T34" s="3">
        <f t="shared" si="22"/>
        <v>1.0300993210257563</v>
      </c>
      <c r="U34" s="3">
        <f t="shared" si="23"/>
        <v>1.1228444711719161</v>
      </c>
      <c r="V34" s="3">
        <f t="shared" si="24"/>
        <v>0.74156706507304126</v>
      </c>
    </row>
    <row r="35" spans="15:22">
      <c r="O35" s="3">
        <v>2010</v>
      </c>
      <c r="P35" s="3" t="e">
        <f>#REF!/#REF!</f>
        <v>#REF!</v>
      </c>
      <c r="Q35" s="3">
        <f t="shared" si="19"/>
        <v>1</v>
      </c>
      <c r="R35" s="3">
        <f t="shared" si="20"/>
        <v>0.79423030703599129</v>
      </c>
      <c r="S35" s="3">
        <f t="shared" si="21"/>
        <v>1.0702235793503818</v>
      </c>
      <c r="T35" s="3">
        <f t="shared" si="22"/>
        <v>1.0014988325675982</v>
      </c>
      <c r="U35" s="3">
        <f t="shared" si="23"/>
        <v>0.95604378972858461</v>
      </c>
      <c r="V35" s="3">
        <f t="shared" si="24"/>
        <v>1.1353386809269164</v>
      </c>
    </row>
    <row r="36" spans="15:22">
      <c r="O36" s="3">
        <v>2011</v>
      </c>
      <c r="P36" s="3" t="e">
        <f>#REF!/#REF!</f>
        <v>#REF!</v>
      </c>
      <c r="Q36" s="3">
        <f t="shared" si="19"/>
        <v>1</v>
      </c>
      <c r="R36" s="3">
        <f t="shared" si="20"/>
        <v>0.75473649569836876</v>
      </c>
      <c r="S36" s="3">
        <f t="shared" si="21"/>
        <v>0.97728863780668485</v>
      </c>
      <c r="T36" s="3">
        <f t="shared" si="22"/>
        <v>1.1558606871353649</v>
      </c>
      <c r="U36" s="3">
        <f t="shared" si="23"/>
        <v>1.0524828293992268</v>
      </c>
      <c r="V36" s="3">
        <f t="shared" si="24"/>
        <v>1.4602510460251052</v>
      </c>
    </row>
    <row r="37" spans="15:22">
      <c r="O37" s="3">
        <v>2012</v>
      </c>
      <c r="P37" s="3" t="e">
        <f>#REF!/#REF!</f>
        <v>#REF!</v>
      </c>
      <c r="Q37" s="3">
        <f t="shared" si="19"/>
        <v>1</v>
      </c>
      <c r="R37" s="3">
        <f t="shared" si="20"/>
        <v>0.69731089276479719</v>
      </c>
      <c r="S37" s="3">
        <f t="shared" si="21"/>
        <v>1.0653582534229848</v>
      </c>
      <c r="T37" s="3">
        <f t="shared" si="22"/>
        <v>1.057139489657611</v>
      </c>
      <c r="U37" s="3">
        <f t="shared" si="23"/>
        <v>0.98084787242440996</v>
      </c>
      <c r="V37" s="3">
        <f t="shared" si="24"/>
        <v>1.2817759181775918</v>
      </c>
    </row>
  </sheetData>
  <mergeCells count="2">
    <mergeCell ref="A1:M1"/>
    <mergeCell ref="A23:M23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7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1.5703125" style="3" customWidth="1"/>
    <col min="3" max="14" width="9.140625" style="3"/>
    <col min="15" max="24" width="0" style="3" hidden="1" customWidth="1"/>
    <col min="25" max="16384" width="9.140625" style="3"/>
  </cols>
  <sheetData>
    <row r="1" spans="1:22">
      <c r="A1" s="454" t="s">
        <v>350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</row>
    <row r="2" spans="1:22" ht="135">
      <c r="A2" s="240"/>
      <c r="B2" s="240" t="s">
        <v>8</v>
      </c>
      <c r="C2" s="240" t="s">
        <v>20</v>
      </c>
      <c r="D2" s="54" t="s">
        <v>63</v>
      </c>
      <c r="E2" s="54" t="s">
        <v>64</v>
      </c>
      <c r="F2" s="54" t="s">
        <v>65</v>
      </c>
      <c r="G2" s="240" t="s">
        <v>4</v>
      </c>
      <c r="H2" s="240" t="s">
        <v>36</v>
      </c>
      <c r="I2" s="240" t="s">
        <v>37</v>
      </c>
      <c r="J2" s="240" t="s">
        <v>38</v>
      </c>
      <c r="K2" s="240" t="s">
        <v>5</v>
      </c>
      <c r="L2" s="240" t="s">
        <v>6</v>
      </c>
      <c r="M2" s="240" t="s">
        <v>7</v>
      </c>
    </row>
    <row r="3" spans="1:22">
      <c r="A3" s="240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22">
      <c r="A4" s="240">
        <v>1997</v>
      </c>
      <c r="B4" s="72">
        <f>'4B'!C4/'4B'!$C4*100</f>
        <v>100</v>
      </c>
      <c r="C4" s="72">
        <f>'4B'!D4/'4B'!$C4*100</f>
        <v>7.4482758620689662</v>
      </c>
      <c r="D4" s="72">
        <f>'4B'!E4/'4B'!$C4*100</f>
        <v>0</v>
      </c>
      <c r="E4" s="72">
        <f>'4B'!F4/'4B'!$C4*100</f>
        <v>0</v>
      </c>
      <c r="F4" s="72">
        <f>'4B'!G4/'4B'!$C4*100</f>
        <v>7.4482758620689662</v>
      </c>
      <c r="G4" s="72">
        <f>'4B'!H4/'4B'!$C4*100</f>
        <v>37.655172413793103</v>
      </c>
      <c r="H4" s="72">
        <f>'4B'!I4/'4B'!$C4*100</f>
        <v>9.6551724137931032</v>
      </c>
      <c r="I4" s="72">
        <f>'4B'!J4/'4B'!$C4*100</f>
        <v>5.9310344827586201</v>
      </c>
      <c r="J4" s="72">
        <f>'4B'!K4/'4B'!$C4*100</f>
        <v>22.068965517241381</v>
      </c>
      <c r="K4" s="72">
        <f>'4B'!L4/'4B'!$C4*100</f>
        <v>54.896551724137929</v>
      </c>
      <c r="L4" s="72">
        <f>'4B'!M4/'4B'!$C4*100</f>
        <v>33.517241379310349</v>
      </c>
      <c r="M4" s="72">
        <f>'4B'!N4/'4B'!$C4*100</f>
        <v>21.379310344827587</v>
      </c>
      <c r="P4" s="3" t="s">
        <v>24</v>
      </c>
    </row>
    <row r="5" spans="1:22">
      <c r="A5" s="240">
        <v>1998</v>
      </c>
      <c r="B5" s="72">
        <f>'4B'!C5/'4B'!$C5*100</f>
        <v>100</v>
      </c>
      <c r="C5" s="72">
        <f>'4B'!D5/'4B'!$C5*100</f>
        <v>7.2864321608040195</v>
      </c>
      <c r="D5" s="72">
        <f>'4B'!E5/'4B'!$C5*100</f>
        <v>0</v>
      </c>
      <c r="E5" s="72">
        <f>'4B'!F5/'4B'!$C5*100</f>
        <v>0</v>
      </c>
      <c r="F5" s="72">
        <f>'4B'!G5/'4B'!$C5*100</f>
        <v>7.2864321608040195</v>
      </c>
      <c r="G5" s="72">
        <f>'4B'!H5/'4B'!$C5*100</f>
        <v>40.326633165829151</v>
      </c>
      <c r="H5" s="72">
        <f>'4B'!I5/'4B'!$C5*100</f>
        <v>12.311557788944725</v>
      </c>
      <c r="I5" s="72">
        <f>'4B'!J5/'4B'!$C5*100</f>
        <v>4.0201005025125633</v>
      </c>
      <c r="J5" s="72">
        <f>'4B'!K5/'4B'!$C5*100</f>
        <v>23.869346733668344</v>
      </c>
      <c r="K5" s="72">
        <f>'4B'!L5/'4B'!$C5*100</f>
        <v>52.386934673366838</v>
      </c>
      <c r="L5" s="72">
        <f>'4B'!M5/'4B'!$C5*100</f>
        <v>28.140703517587941</v>
      </c>
      <c r="M5" s="72">
        <f>'4B'!N5/'4B'!$C5*100</f>
        <v>24.246231155778897</v>
      </c>
      <c r="P5" s="3" t="s">
        <v>2</v>
      </c>
      <c r="Q5" s="3" t="s">
        <v>8</v>
      </c>
      <c r="R5" s="3" t="s">
        <v>20</v>
      </c>
      <c r="S5" s="3" t="s">
        <v>4</v>
      </c>
      <c r="T5" s="3" t="s">
        <v>5</v>
      </c>
      <c r="U5" s="3" t="s">
        <v>6</v>
      </c>
      <c r="V5" s="3" t="s">
        <v>7</v>
      </c>
    </row>
    <row r="6" spans="1:22">
      <c r="A6" s="240">
        <v>1999</v>
      </c>
      <c r="B6" s="72">
        <f>'4B'!C6/'4B'!$C6*100</f>
        <v>100</v>
      </c>
      <c r="C6" s="72">
        <f>'4B'!D6/'4B'!$C6*100</f>
        <v>7.2322670375521554</v>
      </c>
      <c r="D6" s="72">
        <f>'4B'!E6/'4B'!$C6*100</f>
        <v>0</v>
      </c>
      <c r="E6" s="72">
        <f>'4B'!F6/'4B'!$C6*100</f>
        <v>0</v>
      </c>
      <c r="F6" s="72">
        <f>'4B'!G6/'4B'!$C6*100</f>
        <v>6.8150208623087627</v>
      </c>
      <c r="G6" s="72">
        <f>'4B'!H6/'4B'!$C6*100</f>
        <v>41.585535465924892</v>
      </c>
      <c r="H6" s="72">
        <f>'4B'!I6/'4B'!$C6*100</f>
        <v>10.709318497913769</v>
      </c>
      <c r="I6" s="72">
        <f>'4B'!J6/'4B'!$C6*100</f>
        <v>5.285118219749652</v>
      </c>
      <c r="J6" s="72">
        <f>'4B'!K6/'4B'!$C6*100</f>
        <v>25.452016689847007</v>
      </c>
      <c r="K6" s="72">
        <f>'4B'!L6/'4B'!$C6*100</f>
        <v>51.182197496522939</v>
      </c>
      <c r="L6" s="72">
        <f>'4B'!M6/'4B'!$C6*100</f>
        <v>22.253129346314324</v>
      </c>
      <c r="M6" s="72">
        <f>'4B'!N6/'4B'!$C6*100</f>
        <v>28.929068150208622</v>
      </c>
      <c r="O6" s="3">
        <v>1998</v>
      </c>
      <c r="P6" s="3" t="e">
        <f>((#REF!/#REF!)-1)*100</f>
        <v>#REF!</v>
      </c>
      <c r="Q6" s="3">
        <f>((B5/B4)-1)*100</f>
        <v>0</v>
      </c>
      <c r="R6" s="3">
        <f>((C5/C4)-1)*100</f>
        <v>-2.1729015447608635</v>
      </c>
      <c r="S6" s="3">
        <f t="shared" ref="S6:S20" si="0">((G5/G4)-1)*100</f>
        <v>7.0945386272019517</v>
      </c>
      <c r="T6" s="3">
        <f t="shared" ref="T6:V20" si="1">((K5/K4)-1)*100</f>
        <v>-4.5715385975101501</v>
      </c>
      <c r="U6" s="3">
        <f t="shared" si="1"/>
        <v>-16.041110904315826</v>
      </c>
      <c r="V6" s="3">
        <f t="shared" si="1"/>
        <v>13.409790889933548</v>
      </c>
    </row>
    <row r="7" spans="1:22">
      <c r="A7" s="240">
        <v>2000</v>
      </c>
      <c r="B7" s="72">
        <f>'4B'!C7/'4B'!$C7*100</f>
        <v>100</v>
      </c>
      <c r="C7" s="72">
        <f>'4B'!D7/'4B'!$C7*100</f>
        <v>6.7961165048543686</v>
      </c>
      <c r="D7" s="72">
        <f>'4B'!E7/'4B'!$C7*100</f>
        <v>0</v>
      </c>
      <c r="E7" s="72">
        <f>'4B'!F7/'4B'!$C7*100</f>
        <v>0</v>
      </c>
      <c r="F7" s="72">
        <f>'4B'!G7/'4B'!$C7*100</f>
        <v>6.4320388349514559</v>
      </c>
      <c r="G7" s="72">
        <f>'4B'!H7/'4B'!$C7*100</f>
        <v>41.990291262135919</v>
      </c>
      <c r="H7" s="72">
        <f>'4B'!I7/'4B'!$C7*100</f>
        <v>9.9514563106796103</v>
      </c>
      <c r="I7" s="72">
        <f>'4B'!J7/'4B'!$C7*100</f>
        <v>8.0097087378640772</v>
      </c>
      <c r="J7" s="72">
        <f>'4B'!K7/'4B'!$C7*100</f>
        <v>24.029126213592235</v>
      </c>
      <c r="K7" s="72">
        <f>'4B'!L7/'4B'!$C7*100</f>
        <v>51.213592233009706</v>
      </c>
      <c r="L7" s="72">
        <f>'4B'!M7/'4B'!$C7*100</f>
        <v>21.601941747572813</v>
      </c>
      <c r="M7" s="72">
        <f>'4B'!N7/'4B'!$C7*100</f>
        <v>29.61165048543689</v>
      </c>
      <c r="O7" s="3">
        <v>1999</v>
      </c>
      <c r="P7" s="3" t="e">
        <f>((#REF!/#REF!)-1)*100</f>
        <v>#REF!</v>
      </c>
      <c r="Q7" s="3">
        <f t="shared" ref="Q7:R20" si="2">((B6/B5)-1)*100</f>
        <v>0</v>
      </c>
      <c r="R7" s="3">
        <f t="shared" si="2"/>
        <v>-0.74336962256006389</v>
      </c>
      <c r="S7" s="3">
        <f t="shared" si="0"/>
        <v>3.1217639591159196</v>
      </c>
      <c r="T7" s="3">
        <f t="shared" si="1"/>
        <v>-2.2996901505221712</v>
      </c>
      <c r="U7" s="3">
        <f t="shared" si="1"/>
        <v>-20.921915358633026</v>
      </c>
      <c r="V7" s="3">
        <f t="shared" si="1"/>
        <v>19.313669676508095</v>
      </c>
    </row>
    <row r="8" spans="1:22">
      <c r="A8" s="240">
        <v>2001</v>
      </c>
      <c r="B8" s="72">
        <f>'4B'!C8/'4B'!$C8*100</f>
        <v>100</v>
      </c>
      <c r="C8" s="72">
        <f>'4B'!D8/'4B'!$C8*100</f>
        <v>7.1521456436931068</v>
      </c>
      <c r="D8" s="72">
        <f>'4B'!E8/'4B'!$C8*100</f>
        <v>0</v>
      </c>
      <c r="E8" s="72">
        <f>'4B'!F8/'4B'!$C8*100</f>
        <v>0</v>
      </c>
      <c r="F8" s="72">
        <f>'4B'!G8/'4B'!$C8*100</f>
        <v>6.8920676202860855</v>
      </c>
      <c r="G8" s="72">
        <f>'4B'!H8/'4B'!$C8*100</f>
        <v>41.612483745123534</v>
      </c>
      <c r="H8" s="72">
        <f>'4B'!I8/'4B'!$C8*100</f>
        <v>9.3628088426527949</v>
      </c>
      <c r="I8" s="72">
        <f>'4B'!J8/'4B'!$C8*100</f>
        <v>8.7126137841352396</v>
      </c>
      <c r="J8" s="72">
        <f>'4B'!K8/'4B'!$C8*100</f>
        <v>23.537061118335501</v>
      </c>
      <c r="K8" s="72">
        <f>'4B'!L8/'4B'!$C8*100</f>
        <v>51.235370611183349</v>
      </c>
      <c r="L8" s="72">
        <f>'4B'!M8/'4B'!$C8*100</f>
        <v>27.828348504551357</v>
      </c>
      <c r="M8" s="72">
        <f>'4B'!N8/'4B'!$C8*100</f>
        <v>23.407022106631988</v>
      </c>
      <c r="O8" s="3">
        <v>2000</v>
      </c>
      <c r="P8" s="3" t="e">
        <f>((#REF!/#REF!)-1)*100</f>
        <v>#REF!</v>
      </c>
      <c r="Q8" s="3">
        <f t="shared" si="2"/>
        <v>0</v>
      </c>
      <c r="R8" s="3">
        <f t="shared" si="2"/>
        <v>-6.0306198655713183</v>
      </c>
      <c r="S8" s="3">
        <f t="shared" si="0"/>
        <v>0.97330908854758036</v>
      </c>
      <c r="T8" s="3">
        <f t="shared" si="1"/>
        <v>6.1339172646701634E-2</v>
      </c>
      <c r="U8" s="3">
        <f t="shared" si="1"/>
        <v>-2.9262742718446644</v>
      </c>
      <c r="V8" s="3">
        <f t="shared" si="1"/>
        <v>2.3595033607169524</v>
      </c>
    </row>
    <row r="9" spans="1:22">
      <c r="A9" s="240">
        <v>2002</v>
      </c>
      <c r="B9" s="72">
        <f>'4B'!C9/'4B'!$C9*100</f>
        <v>100</v>
      </c>
      <c r="C9" s="72">
        <f>'4B'!D9/'4B'!$C9*100</f>
        <v>6.7901234567901234</v>
      </c>
      <c r="D9" s="72">
        <f>'4B'!E9/'4B'!$C9*100</f>
        <v>0</v>
      </c>
      <c r="E9" s="72">
        <f>'4B'!F9/'4B'!$C9*100</f>
        <v>0</v>
      </c>
      <c r="F9" s="72">
        <f>'4B'!G9/'4B'!$C9*100</f>
        <v>6.666666666666667</v>
      </c>
      <c r="G9" s="72">
        <f>'4B'!H9/'4B'!$C9*100</f>
        <v>45.061728395061728</v>
      </c>
      <c r="H9" s="72">
        <f>'4B'!I9/'4B'!$C9*100</f>
        <v>10.370370370370372</v>
      </c>
      <c r="I9" s="72">
        <f>'4B'!J9/'4B'!$C9*100</f>
        <v>7.4074074074074066</v>
      </c>
      <c r="J9" s="72">
        <f>'4B'!K9/'4B'!$C9*100</f>
        <v>27.283950617283953</v>
      </c>
      <c r="K9" s="72">
        <f>'4B'!L9/'4B'!$C9*100</f>
        <v>48.148148148148145</v>
      </c>
      <c r="L9" s="72">
        <f>'4B'!M9/'4B'!$C9*100</f>
        <v>26.172839506172842</v>
      </c>
      <c r="M9" s="72">
        <f>'4B'!N9/'4B'!$C9*100</f>
        <v>22.098765432098762</v>
      </c>
      <c r="O9" s="3">
        <v>2001</v>
      </c>
      <c r="P9" s="3" t="e">
        <f>((#REF!/#REF!)-1)*100</f>
        <v>#REF!</v>
      </c>
      <c r="Q9" s="3">
        <f t="shared" si="2"/>
        <v>0</v>
      </c>
      <c r="R9" s="3">
        <f t="shared" si="2"/>
        <v>5.2387144714842959</v>
      </c>
      <c r="S9" s="3">
        <f t="shared" si="0"/>
        <v>-0.89974969369424063</v>
      </c>
      <c r="T9" s="3">
        <f t="shared" si="1"/>
        <v>4.2524605722937814E-2</v>
      </c>
      <c r="U9" s="3">
        <f t="shared" si="1"/>
        <v>28.823366110956862</v>
      </c>
      <c r="V9" s="3">
        <f t="shared" si="1"/>
        <v>-20.953335180882128</v>
      </c>
    </row>
    <row r="10" spans="1:22">
      <c r="A10" s="240">
        <v>2003</v>
      </c>
      <c r="B10" s="72">
        <f>'4B'!C10/'4B'!$C10*100</f>
        <v>100</v>
      </c>
      <c r="C10" s="72">
        <f>'4B'!D10/'4B'!$C10*100</f>
        <v>6.5573770491803272</v>
      </c>
      <c r="D10" s="72">
        <f>'4B'!E10/'4B'!$C10*100</f>
        <v>0</v>
      </c>
      <c r="E10" s="72">
        <f>'4B'!F10/'4B'!$C10*100</f>
        <v>0</v>
      </c>
      <c r="F10" s="72">
        <f>'4B'!G10/'4B'!$C10*100</f>
        <v>6.5573770491803272</v>
      </c>
      <c r="G10" s="72">
        <f>'4B'!H10/'4B'!$C10*100</f>
        <v>44.496487119437937</v>
      </c>
      <c r="H10" s="72">
        <f>'4B'!I10/'4B'!$C10*100</f>
        <v>7.6112412177985949</v>
      </c>
      <c r="I10" s="72">
        <f>'4B'!J10/'4B'!$C10*100</f>
        <v>11.124121779859484</v>
      </c>
      <c r="J10" s="72">
        <f>'4B'!K10/'4B'!$C10*100</f>
        <v>25.761124121779861</v>
      </c>
      <c r="K10" s="72">
        <f>'4B'!L10/'4B'!$C10*100</f>
        <v>48.946135831381724</v>
      </c>
      <c r="L10" s="72">
        <f>'4B'!M10/'4B'!$C10*100</f>
        <v>27.049180327868854</v>
      </c>
      <c r="M10" s="72">
        <f>'4B'!N10/'4B'!$C10*100</f>
        <v>21.896955503512878</v>
      </c>
      <c r="O10" s="3">
        <v>2002</v>
      </c>
      <c r="P10" s="3" t="e">
        <f>((#REF!/#REF!)-1)*100</f>
        <v>#REF!</v>
      </c>
      <c r="Q10" s="3">
        <f t="shared" si="2"/>
        <v>0</v>
      </c>
      <c r="R10" s="3">
        <f t="shared" si="2"/>
        <v>-5.0617283950617153</v>
      </c>
      <c r="S10" s="3">
        <f t="shared" si="0"/>
        <v>8.2889660493827186</v>
      </c>
      <c r="T10" s="3">
        <f t="shared" si="1"/>
        <v>-6.0255687159240452</v>
      </c>
      <c r="U10" s="3">
        <f t="shared" si="1"/>
        <v>-5.9490019614629848</v>
      </c>
      <c r="V10" s="3">
        <f t="shared" si="1"/>
        <v>-5.5891632373113893</v>
      </c>
    </row>
    <row r="11" spans="1:22">
      <c r="A11" s="240">
        <v>2004</v>
      </c>
      <c r="B11" s="72">
        <f>'4B'!C11/'4B'!$C11*100</f>
        <v>100</v>
      </c>
      <c r="C11" s="72">
        <f>'4B'!D11/'4B'!$C11*100</f>
        <v>8.8888888888888893</v>
      </c>
      <c r="D11" s="72">
        <f>'4B'!E11/'4B'!$C11*100</f>
        <v>0</v>
      </c>
      <c r="E11" s="72">
        <f>'4B'!F11/'4B'!$C11*100</f>
        <v>0</v>
      </c>
      <c r="F11" s="72">
        <f>'4B'!G11/'4B'!$C11*100</f>
        <v>8.8888888888888893</v>
      </c>
      <c r="G11" s="72">
        <f>'4B'!H11/'4B'!$C11*100</f>
        <v>48.333333333333336</v>
      </c>
      <c r="H11" s="72">
        <f>'4B'!I11/'4B'!$C11*100</f>
        <v>8.6666666666666679</v>
      </c>
      <c r="I11" s="72">
        <f>'4B'!J11/'4B'!$C11*100</f>
        <v>10.333333333333334</v>
      </c>
      <c r="J11" s="72">
        <f>'4B'!K11/'4B'!$C11*100</f>
        <v>29.444444444444446</v>
      </c>
      <c r="K11" s="72">
        <f>'4B'!L11/'4B'!$C11*100</f>
        <v>42.777777777777779</v>
      </c>
      <c r="L11" s="72">
        <f>'4B'!M11/'4B'!$C11*100</f>
        <v>18.777777777777775</v>
      </c>
      <c r="M11" s="72">
        <f>'4B'!N11/'4B'!$C11*100</f>
        <v>24.000000000000004</v>
      </c>
      <c r="O11" s="3">
        <v>2003</v>
      </c>
      <c r="P11" s="3" t="e">
        <f>((#REF!/#REF!)-1)*100</f>
        <v>#REF!</v>
      </c>
      <c r="Q11" s="3">
        <f t="shared" si="2"/>
        <v>0</v>
      </c>
      <c r="R11" s="3">
        <f t="shared" si="2"/>
        <v>-3.427719821162456</v>
      </c>
      <c r="S11" s="3">
        <f t="shared" si="0"/>
        <v>-1.2543710500144356</v>
      </c>
      <c r="T11" s="3">
        <f t="shared" si="1"/>
        <v>1.6573590344082012</v>
      </c>
      <c r="U11" s="3">
        <f t="shared" si="1"/>
        <v>3.3482833281781588</v>
      </c>
      <c r="V11" s="3">
        <f t="shared" si="1"/>
        <v>-0.91321811259534869</v>
      </c>
    </row>
    <row r="12" spans="1:22">
      <c r="A12" s="240">
        <v>2005</v>
      </c>
      <c r="B12" s="72">
        <f>'4B'!C12/'4B'!$C12*100</f>
        <v>100</v>
      </c>
      <c r="C12" s="72">
        <f>'4B'!D12/'4B'!$C12*100</f>
        <v>9.9878197320341044</v>
      </c>
      <c r="D12" s="72">
        <f>'4B'!E12/'4B'!$C12*100</f>
        <v>0</v>
      </c>
      <c r="E12" s="72">
        <f>'4B'!F12/'4B'!$C12*100</f>
        <v>0</v>
      </c>
      <c r="F12" s="72">
        <f>'4B'!G12/'4B'!$C12*100</f>
        <v>9.9878197320341044</v>
      </c>
      <c r="G12" s="72">
        <f>'4B'!H12/'4B'!$C12*100</f>
        <v>47.868453105968335</v>
      </c>
      <c r="H12" s="72">
        <f>'4B'!I12/'4B'!$C12*100</f>
        <v>9.8660170523751525</v>
      </c>
      <c r="I12" s="72">
        <f>'4B'!J12/'4B'!$C12*100</f>
        <v>12.545676004872108</v>
      </c>
      <c r="J12" s="72">
        <f>'4B'!K12/'4B'!$C12*100</f>
        <v>25.456760048721073</v>
      </c>
      <c r="K12" s="72">
        <f>'4B'!L12/'4B'!$C12*100</f>
        <v>42.143727161997568</v>
      </c>
      <c r="L12" s="72">
        <f>'4B'!M12/'4B'!$C12*100</f>
        <v>18.148599269183922</v>
      </c>
      <c r="M12" s="72">
        <f>'4B'!N12/'4B'!$C12*100</f>
        <v>24.116930572472597</v>
      </c>
      <c r="O12" s="3">
        <v>2004</v>
      </c>
      <c r="P12" s="3" t="e">
        <f>((#REF!/#REF!)-1)*100</f>
        <v>#REF!</v>
      </c>
      <c r="Q12" s="3">
        <f t="shared" si="2"/>
        <v>0</v>
      </c>
      <c r="R12" s="3">
        <f t="shared" si="2"/>
        <v>35.555555555555586</v>
      </c>
      <c r="S12" s="3">
        <f t="shared" si="0"/>
        <v>8.6228070175438774</v>
      </c>
      <c r="T12" s="3">
        <f t="shared" si="1"/>
        <v>-12.602339181286537</v>
      </c>
      <c r="U12" s="3">
        <f t="shared" si="1"/>
        <v>-30.579124579124596</v>
      </c>
      <c r="V12" s="3">
        <f t="shared" si="1"/>
        <v>9.6042780748663468</v>
      </c>
    </row>
    <row r="13" spans="1:22">
      <c r="A13" s="240">
        <v>2006</v>
      </c>
      <c r="B13" s="72">
        <f>'4B'!C13/'4B'!$C13*100</f>
        <v>100</v>
      </c>
      <c r="C13" s="72">
        <f>'4B'!D13/'4B'!$C13*100</f>
        <v>8.3441981747066496</v>
      </c>
      <c r="D13" s="72">
        <f>'4B'!E13/'4B'!$C13*100</f>
        <v>0</v>
      </c>
      <c r="E13" s="72">
        <f>'4B'!F13/'4B'!$C13*100</f>
        <v>0</v>
      </c>
      <c r="F13" s="72">
        <f>'4B'!G13/'4B'!$C13*100</f>
        <v>8.2138200782268598</v>
      </c>
      <c r="G13" s="72">
        <f>'4B'!H13/'4B'!$C13*100</f>
        <v>52.020860495436771</v>
      </c>
      <c r="H13" s="72">
        <f>'4B'!I13/'4B'!$C13*100</f>
        <v>9.9087353324641469</v>
      </c>
      <c r="I13" s="72">
        <f>'4B'!J13/'4B'!$C13*100</f>
        <v>10.299869621903522</v>
      </c>
      <c r="J13" s="72">
        <f>'4B'!K13/'4B'!$C13*100</f>
        <v>31.812255541069099</v>
      </c>
      <c r="K13" s="72">
        <f>'4B'!L13/'4B'!$C13*100</f>
        <v>39.634941329856588</v>
      </c>
      <c r="L13" s="72">
        <f>'4B'!M13/'4B'!$C13*100</f>
        <v>17.079530638852674</v>
      </c>
      <c r="M13" s="72">
        <f>'4B'!N13/'4B'!$C13*100</f>
        <v>22.555410691003917</v>
      </c>
      <c r="O13" s="3">
        <v>2005</v>
      </c>
      <c r="P13" s="3" t="e">
        <f>((#REF!/#REF!)-1)*100</f>
        <v>#REF!</v>
      </c>
      <c r="Q13" s="3">
        <f t="shared" si="2"/>
        <v>0</v>
      </c>
      <c r="R13" s="3">
        <f t="shared" si="2"/>
        <v>12.362971985383675</v>
      </c>
      <c r="S13" s="3">
        <f t="shared" si="0"/>
        <v>-0.96182116006552354</v>
      </c>
      <c r="T13" s="3">
        <f t="shared" si="1"/>
        <v>-1.4821962446810111</v>
      </c>
      <c r="U13" s="3">
        <f t="shared" si="1"/>
        <v>-3.350654779493889</v>
      </c>
      <c r="V13" s="3">
        <f t="shared" si="1"/>
        <v>0.4872107186357999</v>
      </c>
    </row>
    <row r="14" spans="1:22">
      <c r="A14" s="240">
        <v>2007</v>
      </c>
      <c r="B14" s="72">
        <f>'4B'!C14/'4B'!$C14*100</f>
        <v>100</v>
      </c>
      <c r="C14" s="72">
        <f>'4B'!D14/'4B'!$C14*100</f>
        <v>8.2554517133956384</v>
      </c>
      <c r="D14" s="72">
        <f>'4B'!E14/'4B'!$C14*100</f>
        <v>0</v>
      </c>
      <c r="E14" s="72">
        <f>'4B'!F14/'4B'!$C14*100</f>
        <v>0</v>
      </c>
      <c r="F14" s="72">
        <f>'4B'!G14/'4B'!$C14*100</f>
        <v>8.2554517133956384</v>
      </c>
      <c r="G14" s="72">
        <f>'4B'!H14/'4B'!$C14*100</f>
        <v>48.598130841121488</v>
      </c>
      <c r="H14" s="72">
        <f>'4B'!I14/'4B'!$C14*100</f>
        <v>15.264797507788163</v>
      </c>
      <c r="I14" s="72">
        <f>'4B'!J14/'4B'!$C14*100</f>
        <v>9.1900311526479754</v>
      </c>
      <c r="J14" s="72">
        <f>'4B'!K14/'4B'!$C14*100</f>
        <v>24.299065420560744</v>
      </c>
      <c r="K14" s="72">
        <f>'4B'!L14/'4B'!$C14*100</f>
        <v>43.146417445482868</v>
      </c>
      <c r="L14" s="72">
        <f>'4B'!M14/'4B'!$C14*100</f>
        <v>16.355140186915886</v>
      </c>
      <c r="M14" s="72">
        <f>'4B'!N14/'4B'!$C14*100</f>
        <v>26.791277258566975</v>
      </c>
      <c r="O14" s="3">
        <v>2006</v>
      </c>
      <c r="P14" s="3" t="e">
        <f>((#REF!/#REF!)-1)*100</f>
        <v>#REF!</v>
      </c>
      <c r="Q14" s="3">
        <f t="shared" si="2"/>
        <v>0</v>
      </c>
      <c r="R14" s="3">
        <f t="shared" si="2"/>
        <v>-16.456259738607816</v>
      </c>
      <c r="S14" s="3">
        <f t="shared" si="0"/>
        <v>8.6746220528081111</v>
      </c>
      <c r="T14" s="3">
        <f t="shared" si="1"/>
        <v>-5.9529282317564824</v>
      </c>
      <c r="U14" s="3">
        <f t="shared" si="1"/>
        <v>-5.8906399026976803</v>
      </c>
      <c r="V14" s="3">
        <f t="shared" si="1"/>
        <v>-6.4747869832615486</v>
      </c>
    </row>
    <row r="15" spans="1:22">
      <c r="A15" s="240">
        <v>2008</v>
      </c>
      <c r="B15" s="72">
        <f>'4B'!C15/'4B'!$C15*100</f>
        <v>100</v>
      </c>
      <c r="C15" s="72">
        <f>'4B'!D15/'4B'!$C15*100</f>
        <v>7.6923076923076925</v>
      </c>
      <c r="D15" s="72">
        <f>'4B'!E15/'4B'!$C15*100</f>
        <v>0</v>
      </c>
      <c r="E15" s="72">
        <f>'4B'!F15/'4B'!$C15*100</f>
        <v>0</v>
      </c>
      <c r="F15" s="72">
        <f>'4B'!G15/'4B'!$C15*100</f>
        <v>7.6923076923076925</v>
      </c>
      <c r="G15" s="72">
        <f>'4B'!H15/'4B'!$C15*100</f>
        <v>41.471571906354519</v>
      </c>
      <c r="H15" s="72">
        <f>'4B'!I15/'4B'!$C15*100</f>
        <v>9.1973244147157196</v>
      </c>
      <c r="I15" s="72">
        <f>'4B'!J15/'4B'!$C15*100</f>
        <v>6.1872909698996663</v>
      </c>
      <c r="J15" s="72">
        <f>'4B'!K15/'4B'!$C15*100</f>
        <v>26.086956521739129</v>
      </c>
      <c r="K15" s="72">
        <f>'4B'!L15/'4B'!$C15*100</f>
        <v>50.836120401337794</v>
      </c>
      <c r="L15" s="72">
        <f>'4B'!M15/'4B'!$C15*100</f>
        <v>25.752508361204011</v>
      </c>
      <c r="M15" s="72">
        <f>'4B'!N15/'4B'!$C15*100</f>
        <v>25.083612040133779</v>
      </c>
      <c r="O15" s="3">
        <v>2007</v>
      </c>
      <c r="P15" s="3" t="e">
        <f>((#REF!/#REF!)-1)*100</f>
        <v>#REF!</v>
      </c>
      <c r="Q15" s="3">
        <f t="shared" si="2"/>
        <v>0</v>
      </c>
      <c r="R15" s="3">
        <f t="shared" si="2"/>
        <v>-1.0635708722741444</v>
      </c>
      <c r="S15" s="3">
        <f t="shared" si="0"/>
        <v>-6.5795329445108353</v>
      </c>
      <c r="T15" s="3">
        <f t="shared" si="1"/>
        <v>8.859546646991312</v>
      </c>
      <c r="U15" s="3">
        <f t="shared" si="1"/>
        <v>-4.2412784475993615</v>
      </c>
      <c r="V15" s="3">
        <f t="shared" si="1"/>
        <v>18.779824608791131</v>
      </c>
    </row>
    <row r="16" spans="1:22">
      <c r="A16" s="240">
        <v>2009</v>
      </c>
      <c r="B16" s="72">
        <f>'4B'!C16/'4B'!$C16*100</f>
        <v>100</v>
      </c>
      <c r="C16" s="72">
        <f>'4B'!D16/'4B'!$C16*100</f>
        <v>7.9335793357933575</v>
      </c>
      <c r="D16" s="72">
        <f>'4B'!E16/'4B'!$C16*100</f>
        <v>0</v>
      </c>
      <c r="E16" s="72">
        <f>'4B'!F16/'4B'!$C16*100</f>
        <v>0</v>
      </c>
      <c r="F16" s="72">
        <f>'4B'!G16/'4B'!$C16*100</f>
        <v>7.7490774907749085</v>
      </c>
      <c r="G16" s="72">
        <f>'4B'!H16/'4B'!$C16*100</f>
        <v>47.232472324723247</v>
      </c>
      <c r="H16" s="72">
        <f>'4B'!I16/'4B'!$C16*100</f>
        <v>4.9815498154981546</v>
      </c>
      <c r="I16" s="72">
        <f>'4B'!J16/'4B'!$C16*100</f>
        <v>10.701107011070111</v>
      </c>
      <c r="J16" s="72">
        <f>'4B'!K16/'4B'!$C16*100</f>
        <v>31.365313653136528</v>
      </c>
      <c r="K16" s="72">
        <f>'4B'!L16/'4B'!$C16*100</f>
        <v>44.833948339483392</v>
      </c>
      <c r="L16" s="72">
        <f>'4B'!M16/'4B'!$C16*100</f>
        <v>20.29520295202952</v>
      </c>
      <c r="M16" s="72">
        <f>'4B'!N16/'4B'!$C16*100</f>
        <v>24.538745387453876</v>
      </c>
      <c r="O16" s="3">
        <v>2008</v>
      </c>
      <c r="P16" s="3" t="e">
        <f>((#REF!/#REF!)-1)*100</f>
        <v>#REF!</v>
      </c>
      <c r="Q16" s="3">
        <f t="shared" si="2"/>
        <v>0</v>
      </c>
      <c r="R16" s="3">
        <f t="shared" si="2"/>
        <v>-6.8214804063860601</v>
      </c>
      <c r="S16" s="3">
        <f t="shared" si="0"/>
        <v>-14.664265500385875</v>
      </c>
      <c r="T16" s="3">
        <f t="shared" si="1"/>
        <v>17.822344034869531</v>
      </c>
      <c r="U16" s="3">
        <f t="shared" si="1"/>
        <v>57.458193979933128</v>
      </c>
      <c r="V16" s="3">
        <f t="shared" si="1"/>
        <v>-6.3739597106634349</v>
      </c>
    </row>
    <row r="17" spans="1:22">
      <c r="A17" s="240">
        <v>2010</v>
      </c>
      <c r="B17" s="72">
        <f>'4B'!C17/'4B'!$C17*100</f>
        <v>100</v>
      </c>
      <c r="C17" s="72">
        <f>'4B'!D17/'4B'!$C17*100</f>
        <v>10.05586592178771</v>
      </c>
      <c r="D17" s="72">
        <f>'4B'!E17/'4B'!$C17*100</f>
        <v>0</v>
      </c>
      <c r="E17" s="72">
        <f>'4B'!F17/'4B'!$C17*100</f>
        <v>0</v>
      </c>
      <c r="F17" s="72">
        <f>'4B'!G17/'4B'!$C17*100</f>
        <v>9.8696461824953445</v>
      </c>
      <c r="G17" s="72">
        <f>'4B'!H17/'4B'!$C17*100</f>
        <v>40.968342644320295</v>
      </c>
      <c r="H17" s="72">
        <f>'4B'!I17/'4B'!$C17*100</f>
        <v>7.4487895716945989</v>
      </c>
      <c r="I17" s="72">
        <f>'4B'!J17/'4B'!$C17*100</f>
        <v>6.8901303538175043</v>
      </c>
      <c r="J17" s="72">
        <f>'4B'!K17/'4B'!$C17*100</f>
        <v>26.629422718808193</v>
      </c>
      <c r="K17" s="72">
        <f>'4B'!L17/'4B'!$C17*100</f>
        <v>48.975791433891992</v>
      </c>
      <c r="L17" s="72">
        <f>'4B'!M17/'4B'!$C17*100</f>
        <v>18.808193668528865</v>
      </c>
      <c r="M17" s="72">
        <f>'4B'!N17/'4B'!$C17*100</f>
        <v>30.167597765363123</v>
      </c>
      <c r="O17" s="3">
        <v>2009</v>
      </c>
      <c r="P17" s="3" t="e">
        <f>((#REF!/#REF!)-1)*100</f>
        <v>#REF!</v>
      </c>
      <c r="Q17" s="3">
        <f t="shared" si="2"/>
        <v>0</v>
      </c>
      <c r="R17" s="3">
        <f t="shared" si="2"/>
        <v>3.136531365313644</v>
      </c>
      <c r="S17" s="3">
        <f t="shared" si="0"/>
        <v>13.891203428163301</v>
      </c>
      <c r="T17" s="3">
        <f t="shared" si="1"/>
        <v>-11.806904253253069</v>
      </c>
      <c r="U17" s="3">
        <f t="shared" si="1"/>
        <v>-21.191354770690563</v>
      </c>
      <c r="V17" s="3">
        <f t="shared" si="1"/>
        <v>-2.1722017220172196</v>
      </c>
    </row>
    <row r="18" spans="1:22">
      <c r="A18" s="240">
        <v>2011</v>
      </c>
      <c r="B18" s="72">
        <f>'4B'!C18/'4B'!$C18*100</f>
        <v>100</v>
      </c>
      <c r="C18" s="72">
        <f>'4B'!D18/'4B'!$C18*100</f>
        <v>7.8</v>
      </c>
      <c r="D18" s="72">
        <f>'4B'!E18/'4B'!$C18*100</f>
        <v>0</v>
      </c>
      <c r="E18" s="72">
        <f>'4B'!F18/'4B'!$C18*100</f>
        <v>0</v>
      </c>
      <c r="F18" s="72">
        <f>'4B'!G18/'4B'!$C18*100</f>
        <v>7.8</v>
      </c>
      <c r="G18" s="72">
        <f>'4B'!H18/'4B'!$C18*100</f>
        <v>44.6</v>
      </c>
      <c r="H18" s="72">
        <f>'4B'!I18/'4B'!$C18*100</f>
        <v>11.4</v>
      </c>
      <c r="I18" s="72">
        <f>'4B'!J18/'4B'!$C18*100</f>
        <v>4</v>
      </c>
      <c r="J18" s="72">
        <f>'4B'!K18/'4B'!$C18*100</f>
        <v>29.2</v>
      </c>
      <c r="K18" s="72">
        <f>'4B'!L18/'4B'!$C18*100</f>
        <v>47.6</v>
      </c>
      <c r="L18" s="72">
        <f>'4B'!M18/'4B'!$C18*100</f>
        <v>20.8</v>
      </c>
      <c r="M18" s="72">
        <f>'4B'!N18/'4B'!$C18*100</f>
        <v>26.8</v>
      </c>
      <c r="O18" s="3">
        <v>2010</v>
      </c>
      <c r="P18" s="3" t="e">
        <f>((#REF!/#REF!)-1)*100</f>
        <v>#REF!</v>
      </c>
      <c r="Q18" s="3">
        <f t="shared" si="2"/>
        <v>0</v>
      </c>
      <c r="R18" s="3">
        <f t="shared" si="2"/>
        <v>26.750682083928812</v>
      </c>
      <c r="S18" s="3">
        <f t="shared" si="0"/>
        <v>-13.262337057728125</v>
      </c>
      <c r="T18" s="3">
        <f t="shared" si="1"/>
        <v>9.2381850089278359</v>
      </c>
      <c r="U18" s="3">
        <f t="shared" si="1"/>
        <v>-7.3269002877941354</v>
      </c>
      <c r="V18" s="3">
        <f t="shared" si="1"/>
        <v>22.938631494938445</v>
      </c>
    </row>
    <row r="19" spans="1:22">
      <c r="A19" s="240">
        <v>2012</v>
      </c>
      <c r="B19" s="72">
        <f>'4B'!C19/'4B'!$C19*100</f>
        <v>100</v>
      </c>
      <c r="C19" s="72">
        <f>'4B'!D19/'4B'!$C19*100</f>
        <v>6.8627450980392162</v>
      </c>
      <c r="D19" s="72">
        <f>'4B'!E19/'4B'!$C19*100</f>
        <v>0</v>
      </c>
      <c r="E19" s="72">
        <f>'4B'!F19/'4B'!$C19*100</f>
        <v>0</v>
      </c>
      <c r="F19" s="72">
        <f>'4B'!G19/'4B'!$C19*100</f>
        <v>6.2745098039215685</v>
      </c>
      <c r="G19" s="72">
        <f>'4B'!H19/'4B'!$C19*100</f>
        <v>50</v>
      </c>
      <c r="H19" s="72">
        <f>'4B'!I19/'4B'!$C19*100</f>
        <v>10.588235294117649</v>
      </c>
      <c r="I19" s="72">
        <f>'4B'!J19/'4B'!$C19*100</f>
        <v>5.6862745098039218</v>
      </c>
      <c r="J19" s="72">
        <f>'4B'!K19/'4B'!$C19*100</f>
        <v>33.529411764705884</v>
      </c>
      <c r="K19" s="72">
        <f>'4B'!L19/'4B'!$C19*100</f>
        <v>43.137254901960787</v>
      </c>
      <c r="L19" s="72">
        <f>'4B'!M19/'4B'!$C19*100</f>
        <v>16.666666666666664</v>
      </c>
      <c r="M19" s="72">
        <f>'4B'!N19/'4B'!$C19*100</f>
        <v>26.47058823529412</v>
      </c>
      <c r="O19" s="3">
        <v>2011</v>
      </c>
      <c r="P19" s="3" t="e">
        <f>((#REF!/#REF!)-1)*100</f>
        <v>#REF!</v>
      </c>
      <c r="Q19" s="3">
        <f t="shared" si="2"/>
        <v>0</v>
      </c>
      <c r="R19" s="3">
        <f t="shared" si="2"/>
        <v>-22.433333333333337</v>
      </c>
      <c r="S19" s="3">
        <f t="shared" si="0"/>
        <v>8.8645454545454694</v>
      </c>
      <c r="T19" s="3">
        <f t="shared" si="1"/>
        <v>-2.809125475285168</v>
      </c>
      <c r="U19" s="3">
        <f t="shared" si="1"/>
        <v>10.590099009900978</v>
      </c>
      <c r="V19" s="3">
        <f t="shared" si="1"/>
        <v>-11.162962962962942</v>
      </c>
    </row>
    <row r="20" spans="1:22">
      <c r="A20" s="16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O20" s="3">
        <v>2012</v>
      </c>
      <c r="P20" s="3" t="e">
        <f>((#REF!/#REF!)-1)*100</f>
        <v>#REF!</v>
      </c>
      <c r="Q20" s="3">
        <f t="shared" si="2"/>
        <v>0</v>
      </c>
      <c r="R20" s="3">
        <f t="shared" si="2"/>
        <v>-12.016088486676713</v>
      </c>
      <c r="S20" s="3">
        <f t="shared" si="0"/>
        <v>12.107623318385642</v>
      </c>
      <c r="T20" s="3">
        <f t="shared" si="1"/>
        <v>-9.3755149118470822</v>
      </c>
      <c r="U20" s="3">
        <f t="shared" si="1"/>
        <v>-19.87179487179489</v>
      </c>
      <c r="V20" s="3">
        <f t="shared" si="1"/>
        <v>-1.2291483757682187</v>
      </c>
    </row>
    <row r="21" spans="1:22">
      <c r="A21" s="146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22">
      <c r="A22" s="146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22">
      <c r="A23" s="460" t="s">
        <v>32</v>
      </c>
      <c r="B23" s="460"/>
      <c r="C23" s="460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P23" s="3" t="s">
        <v>27</v>
      </c>
    </row>
    <row r="24" spans="1:22" ht="30">
      <c r="A24" s="240" t="s">
        <v>19</v>
      </c>
      <c r="B24" s="13">
        <f t="shared" ref="B24:C24" si="3">((B7/B4)^(1/3)-1)*100</f>
        <v>0</v>
      </c>
      <c r="C24" s="13">
        <f t="shared" si="3"/>
        <v>-3.0081996593080862</v>
      </c>
      <c r="D24" s="62" t="s">
        <v>10</v>
      </c>
      <c r="E24" s="62" t="s">
        <v>10</v>
      </c>
      <c r="F24" s="13">
        <f t="shared" ref="F24:M24" si="4">((F7/F4)^(1/3)-1)*100</f>
        <v>-4.7720793154780843</v>
      </c>
      <c r="G24" s="13">
        <f t="shared" si="4"/>
        <v>3.6990430980016864</v>
      </c>
      <c r="H24" s="13">
        <f t="shared" si="4"/>
        <v>1.0125967513566758</v>
      </c>
      <c r="I24" s="13">
        <f t="shared" si="4"/>
        <v>10.533882518210259</v>
      </c>
      <c r="J24" s="13">
        <f t="shared" si="4"/>
        <v>2.8770891168157453</v>
      </c>
      <c r="K24" s="13">
        <f t="shared" si="4"/>
        <v>-2.2882650526021675</v>
      </c>
      <c r="L24" s="13">
        <f t="shared" si="4"/>
        <v>-13.620999489614805</v>
      </c>
      <c r="M24" s="13">
        <f t="shared" si="4"/>
        <v>11.46956534509005</v>
      </c>
      <c r="O24" s="3">
        <v>1998</v>
      </c>
      <c r="P24" s="3" t="e">
        <f>#REF!/#REF!</f>
        <v>#REF!</v>
      </c>
      <c r="Q24" s="3">
        <f>B5/$B$7</f>
        <v>1</v>
      </c>
      <c r="R24" s="3">
        <f t="shared" ref="R24:R29" si="5">C5/$C$7</f>
        <v>1.0721464465183057</v>
      </c>
      <c r="S24" s="3">
        <f t="shared" ref="S24:S25" si="6">G5/$G$7</f>
        <v>0.96037993435385038</v>
      </c>
      <c r="T24" s="3">
        <f t="shared" ref="T24:T25" si="7">K5/$K$7</f>
        <v>1.0229107623425184</v>
      </c>
      <c r="U24" s="3">
        <f t="shared" ref="U24:U25" si="8">L5/$L$7</f>
        <v>1.3026932414883408</v>
      </c>
      <c r="V24" s="3">
        <f t="shared" ref="V24:V25" si="9">M5/$M$7</f>
        <v>0.81880715050663166</v>
      </c>
    </row>
    <row r="25" spans="1:22" ht="30">
      <c r="A25" s="240" t="s">
        <v>68</v>
      </c>
      <c r="B25" s="13">
        <f t="shared" ref="B25:M25" si="10">((B14/B7)^(1/7)-1)*100</f>
        <v>0</v>
      </c>
      <c r="C25" s="13">
        <f t="shared" si="10"/>
        <v>2.8178634896012911</v>
      </c>
      <c r="D25" s="62" t="s">
        <v>10</v>
      </c>
      <c r="E25" s="62" t="s">
        <v>10</v>
      </c>
      <c r="F25" s="13">
        <f t="shared" si="10"/>
        <v>3.6297851273152659</v>
      </c>
      <c r="G25" s="13">
        <f t="shared" si="10"/>
        <v>2.1097563354279369</v>
      </c>
      <c r="H25" s="13">
        <f t="shared" si="10"/>
        <v>6.3025020597302639</v>
      </c>
      <c r="I25" s="13">
        <f t="shared" si="10"/>
        <v>1.9831937813639122</v>
      </c>
      <c r="J25" s="13">
        <f t="shared" si="10"/>
        <v>0.15971602145683494</v>
      </c>
      <c r="K25" s="13">
        <f t="shared" si="10"/>
        <v>-2.4189149103104213</v>
      </c>
      <c r="L25" s="13">
        <f t="shared" si="10"/>
        <v>-3.8969094269144966</v>
      </c>
      <c r="M25" s="13">
        <f t="shared" si="10"/>
        <v>-1.4197046719631179</v>
      </c>
      <c r="O25" s="3">
        <v>1999</v>
      </c>
      <c r="P25" s="3" t="e">
        <f>#REF!/#REF!</f>
        <v>#REF!</v>
      </c>
      <c r="Q25" s="3">
        <f t="shared" ref="Q25:Q29" si="11">B6/$B$7</f>
        <v>1</v>
      </c>
      <c r="R25" s="3">
        <f t="shared" si="5"/>
        <v>1.0641764355255314</v>
      </c>
      <c r="S25" s="3">
        <f t="shared" si="6"/>
        <v>0.99036072901508998</v>
      </c>
      <c r="T25" s="3">
        <f t="shared" si="7"/>
        <v>0.99938698429229633</v>
      </c>
      <c r="U25" s="3">
        <f t="shared" si="8"/>
        <v>1.0301448641215172</v>
      </c>
      <c r="V25" s="3">
        <f t="shared" si="9"/>
        <v>0.97694885884311089</v>
      </c>
    </row>
    <row r="26" spans="1:22" ht="30">
      <c r="A26" s="240" t="s">
        <v>70</v>
      </c>
      <c r="B26" s="13">
        <f t="shared" ref="B26:M26" si="12">((B19/B14)^(1/5)-1)*100</f>
        <v>0</v>
      </c>
      <c r="C26" s="13">
        <f t="shared" si="12"/>
        <v>-3.6278816381939638</v>
      </c>
      <c r="D26" s="62" t="s">
        <v>10</v>
      </c>
      <c r="E26" s="62" t="s">
        <v>10</v>
      </c>
      <c r="F26" s="13">
        <f t="shared" si="12"/>
        <v>-5.3397183904517203</v>
      </c>
      <c r="G26" s="13">
        <f t="shared" si="12"/>
        <v>0.57037920953544319</v>
      </c>
      <c r="H26" s="13">
        <f t="shared" si="12"/>
        <v>-7.0548982435684637</v>
      </c>
      <c r="I26" s="13">
        <f t="shared" si="12"/>
        <v>-9.1547618727625171</v>
      </c>
      <c r="J26" s="13">
        <f t="shared" si="12"/>
        <v>6.6515748605242342</v>
      </c>
      <c r="K26" s="13">
        <f t="shared" si="12"/>
        <v>-4.2475470569125484E-3</v>
      </c>
      <c r="L26" s="13">
        <f t="shared" si="12"/>
        <v>0.37808262200680343</v>
      </c>
      <c r="M26" s="13">
        <f t="shared" si="12"/>
        <v>-0.24055261543558526</v>
      </c>
      <c r="O26" s="3">
        <v>2000</v>
      </c>
      <c r="P26" s="3" t="e">
        <f>#REF!/#REF!</f>
        <v>#REF!</v>
      </c>
      <c r="Q26" s="3">
        <f t="shared" si="11"/>
        <v>1</v>
      </c>
      <c r="R26" s="3">
        <f t="shared" si="5"/>
        <v>1</v>
      </c>
      <c r="S26" s="3">
        <f>G7/$G$7</f>
        <v>1</v>
      </c>
      <c r="T26" s="3">
        <f>K7/$K$7</f>
        <v>1</v>
      </c>
      <c r="U26" s="3">
        <f>L7/$L$7</f>
        <v>1</v>
      </c>
      <c r="V26" s="3">
        <f>M7/$M$7</f>
        <v>1</v>
      </c>
    </row>
    <row r="27" spans="1:22" ht="30">
      <c r="A27" s="240" t="s">
        <v>33</v>
      </c>
      <c r="B27" s="13">
        <f t="shared" ref="B27:C27" si="13">((B19/B4)^(1/15)-1)*100</f>
        <v>0</v>
      </c>
      <c r="C27" s="13">
        <f t="shared" si="13"/>
        <v>-0.54434674076572209</v>
      </c>
      <c r="D27" s="62" t="s">
        <v>10</v>
      </c>
      <c r="E27" s="62" t="s">
        <v>10</v>
      </c>
      <c r="F27" s="13">
        <f t="shared" ref="F27:M27" si="14">((F19/F4)^(1/15)-1)*100</f>
        <v>-1.1367378495061309</v>
      </c>
      <c r="G27" s="13">
        <f t="shared" si="14"/>
        <v>1.9083314502119419</v>
      </c>
      <c r="H27" s="13">
        <f t="shared" si="14"/>
        <v>0.6168932211616962</v>
      </c>
      <c r="I27" s="13">
        <f t="shared" si="14"/>
        <v>-0.28056139928204216</v>
      </c>
      <c r="J27" s="13">
        <f t="shared" si="14"/>
        <v>2.8275757880863228</v>
      </c>
      <c r="K27" s="13">
        <f t="shared" si="14"/>
        <v>-1.5942454052971788</v>
      </c>
      <c r="L27" s="13">
        <f t="shared" si="14"/>
        <v>-4.5508572674007652</v>
      </c>
      <c r="M27" s="13">
        <f t="shared" si="14"/>
        <v>1.434258794694987</v>
      </c>
      <c r="O27" s="3">
        <v>2001</v>
      </c>
      <c r="P27" s="3" t="e">
        <f>#REF!/#REF!</f>
        <v>#REF!</v>
      </c>
      <c r="Q27" s="3">
        <f t="shared" si="11"/>
        <v>1</v>
      </c>
      <c r="R27" s="3">
        <f t="shared" si="5"/>
        <v>1.052387144714843</v>
      </c>
      <c r="S27" s="3">
        <f t="shared" ref="S27:S29" si="15">G8/$G$7</f>
        <v>0.99100250306305759</v>
      </c>
      <c r="T27" s="3">
        <f t="shared" ref="T27:T29" si="16">K8/$K$7</f>
        <v>1.0004252460572294</v>
      </c>
      <c r="U27" s="3">
        <f t="shared" ref="U27:U29" si="17">L8/$L$7</f>
        <v>1.2882336611095686</v>
      </c>
      <c r="V27" s="3">
        <f t="shared" ref="V27:V29" si="18">M8/$M$7</f>
        <v>0.79046664819117873</v>
      </c>
    </row>
    <row r="28" spans="1:22">
      <c r="O28" s="3">
        <v>2002</v>
      </c>
      <c r="P28" s="3" t="e">
        <f>#REF!/#REF!</f>
        <v>#REF!</v>
      </c>
      <c r="Q28" s="3">
        <f t="shared" si="11"/>
        <v>1</v>
      </c>
      <c r="R28" s="3">
        <f t="shared" si="5"/>
        <v>0.99911816578483248</v>
      </c>
      <c r="S28" s="3">
        <f t="shared" si="15"/>
        <v>1.0731463640904875</v>
      </c>
      <c r="T28" s="3">
        <f t="shared" si="16"/>
        <v>0.94014393540459895</v>
      </c>
      <c r="U28" s="3">
        <f t="shared" si="17"/>
        <v>1.211596615341934</v>
      </c>
      <c r="V28" s="3">
        <f t="shared" si="18"/>
        <v>0.74628617688726973</v>
      </c>
    </row>
    <row r="29" spans="1:22">
      <c r="A29" s="55" t="s">
        <v>315</v>
      </c>
      <c r="O29" s="3">
        <v>2003</v>
      </c>
      <c r="P29" s="3" t="e">
        <f>#REF!/#REF!</f>
        <v>#REF!</v>
      </c>
      <c r="Q29" s="3">
        <f t="shared" si="11"/>
        <v>1</v>
      </c>
      <c r="R29" s="3">
        <f t="shared" si="5"/>
        <v>0.96487119437939106</v>
      </c>
      <c r="S29" s="3">
        <f t="shared" si="15"/>
        <v>1.0596851267750538</v>
      </c>
      <c r="T29" s="3">
        <f t="shared" si="16"/>
        <v>0.95572549585446787</v>
      </c>
      <c r="U29" s="3">
        <f t="shared" si="17"/>
        <v>1.2521643028181988</v>
      </c>
      <c r="V29" s="3">
        <f t="shared" si="18"/>
        <v>0.73947095634813986</v>
      </c>
    </row>
    <row r="30" spans="1:22">
      <c r="O30" s="3">
        <v>2005</v>
      </c>
      <c r="P30" s="3" t="e">
        <f>#REF!/#REF!</f>
        <v>#REF!</v>
      </c>
      <c r="Q30" s="3">
        <f t="shared" ref="Q30:Q37" si="19">B12/$B$7</f>
        <v>1</v>
      </c>
      <c r="R30" s="3">
        <f t="shared" ref="R30:R37" si="20">C12/$C$7</f>
        <v>1.469636331999304</v>
      </c>
      <c r="S30" s="3">
        <f t="shared" ref="S30:S37" si="21">G12/$G$7</f>
        <v>1.1399885941999397</v>
      </c>
      <c r="T30" s="3">
        <f t="shared" ref="T30:T37" si="22">K12/$K$7</f>
        <v>0.8229012128314217</v>
      </c>
      <c r="U30" s="3">
        <f t="shared" ref="U30:U37" si="23">L12/$L$7</f>
        <v>0.84013740437121087</v>
      </c>
      <c r="V30" s="3">
        <f t="shared" ref="V30:V37" si="24">M12/$M$7</f>
        <v>0.81444060621792713</v>
      </c>
    </row>
    <row r="31" spans="1:22">
      <c r="O31" s="3">
        <v>2006</v>
      </c>
      <c r="P31" s="3" t="e">
        <f>#REF!/#REF!</f>
        <v>#REF!</v>
      </c>
      <c r="Q31" s="3">
        <f t="shared" si="19"/>
        <v>1</v>
      </c>
      <c r="R31" s="3">
        <f t="shared" si="20"/>
        <v>1.2277891599925499</v>
      </c>
      <c r="S31" s="3">
        <f t="shared" si="21"/>
        <v>1.2388782961919047</v>
      </c>
      <c r="T31" s="3">
        <f t="shared" si="22"/>
        <v>0.77391449421331349</v>
      </c>
      <c r="U31" s="3">
        <f t="shared" si="23"/>
        <v>0.79064793519183174</v>
      </c>
      <c r="V31" s="3">
        <f t="shared" si="24"/>
        <v>0.76170731186013241</v>
      </c>
    </row>
    <row r="32" spans="1:22">
      <c r="O32" s="3">
        <v>2007</v>
      </c>
      <c r="P32" s="3" t="e">
        <f>#REF!/#REF!</f>
        <v>#REF!</v>
      </c>
      <c r="Q32" s="3">
        <f t="shared" si="19"/>
        <v>1</v>
      </c>
      <c r="R32" s="3">
        <f t="shared" si="20"/>
        <v>1.2147307521139297</v>
      </c>
      <c r="S32" s="3">
        <f t="shared" si="21"/>
        <v>1.1573658905515638</v>
      </c>
      <c r="T32" s="3">
        <f t="shared" si="22"/>
        <v>0.84247980983596882</v>
      </c>
      <c r="U32" s="3">
        <f t="shared" si="23"/>
        <v>0.75711435472015121</v>
      </c>
      <c r="V32" s="3">
        <f t="shared" si="24"/>
        <v>0.90475460905980287</v>
      </c>
    </row>
    <row r="33" spans="15:22">
      <c r="O33" s="3">
        <v>2008</v>
      </c>
      <c r="P33" s="3" t="e">
        <f>#REF!/#REF!</f>
        <v>#REF!</v>
      </c>
      <c r="Q33" s="3">
        <f t="shared" si="19"/>
        <v>1</v>
      </c>
      <c r="R33" s="3">
        <f t="shared" si="20"/>
        <v>1.1318681318681321</v>
      </c>
      <c r="S33" s="3">
        <f t="shared" si="21"/>
        <v>0.98764668355017704</v>
      </c>
      <c r="T33" s="3">
        <f t="shared" si="22"/>
        <v>0.99262945996924989</v>
      </c>
      <c r="U33" s="3">
        <f t="shared" si="23"/>
        <v>1.1921385893051746</v>
      </c>
      <c r="V33" s="3">
        <f t="shared" si="24"/>
        <v>0.84708591479796047</v>
      </c>
    </row>
    <row r="34" spans="15:22">
      <c r="O34" s="3">
        <v>2009</v>
      </c>
      <c r="P34" s="3" t="e">
        <f>#REF!/#REF!</f>
        <v>#REF!</v>
      </c>
      <c r="Q34" s="3">
        <f t="shared" si="19"/>
        <v>1</v>
      </c>
      <c r="R34" s="3">
        <f t="shared" si="20"/>
        <v>1.1673695308381655</v>
      </c>
      <c r="S34" s="3">
        <f t="shared" si="21"/>
        <v>1.1248426935136404</v>
      </c>
      <c r="T34" s="3">
        <f t="shared" si="22"/>
        <v>0.87543065004109755</v>
      </c>
      <c r="U34" s="3">
        <f t="shared" si="23"/>
        <v>0.93950827148720939</v>
      </c>
      <c r="V34" s="3">
        <f t="shared" si="24"/>
        <v>0.82868549996975394</v>
      </c>
    </row>
    <row r="35" spans="15:22">
      <c r="O35" s="3">
        <v>2010</v>
      </c>
      <c r="P35" s="3" t="e">
        <f>#REF!/#REF!</f>
        <v>#REF!</v>
      </c>
      <c r="Q35" s="3">
        <f t="shared" si="19"/>
        <v>1</v>
      </c>
      <c r="R35" s="3">
        <f t="shared" si="20"/>
        <v>1.4796488427773344</v>
      </c>
      <c r="S35" s="3">
        <f t="shared" si="21"/>
        <v>0.97566226413063373</v>
      </c>
      <c r="T35" s="3">
        <f t="shared" si="22"/>
        <v>0.95630455311675366</v>
      </c>
      <c r="U35" s="3">
        <f t="shared" si="23"/>
        <v>0.87067143723976337</v>
      </c>
      <c r="V35" s="3">
        <f t="shared" si="24"/>
        <v>1.0187746130598039</v>
      </c>
    </row>
    <row r="36" spans="15:22">
      <c r="O36" s="3">
        <v>2011</v>
      </c>
      <c r="P36" s="3" t="e">
        <f>#REF!/#REF!</f>
        <v>#REF!</v>
      </c>
      <c r="Q36" s="3">
        <f t="shared" si="19"/>
        <v>1</v>
      </c>
      <c r="R36" s="3">
        <f t="shared" si="20"/>
        <v>1.1477142857142857</v>
      </c>
      <c r="S36" s="3">
        <f t="shared" si="21"/>
        <v>1.0621502890173411</v>
      </c>
      <c r="T36" s="3">
        <f t="shared" si="22"/>
        <v>0.92944075829383899</v>
      </c>
      <c r="U36" s="3">
        <f t="shared" si="23"/>
        <v>0.96287640449438217</v>
      </c>
      <c r="V36" s="3">
        <f t="shared" si="24"/>
        <v>0.90504918032786896</v>
      </c>
    </row>
    <row r="37" spans="15:22">
      <c r="O37" s="3">
        <v>2012</v>
      </c>
      <c r="P37" s="3" t="e">
        <f>#REF!/#REF!</f>
        <v>#REF!</v>
      </c>
      <c r="Q37" s="3">
        <f t="shared" si="19"/>
        <v>1</v>
      </c>
      <c r="R37" s="3">
        <f t="shared" si="20"/>
        <v>1.0098039215686276</v>
      </c>
      <c r="S37" s="3">
        <f t="shared" si="21"/>
        <v>1.1907514450867054</v>
      </c>
      <c r="T37" s="3">
        <f t="shared" si="22"/>
        <v>0.84230090140321545</v>
      </c>
      <c r="U37" s="3">
        <f t="shared" si="23"/>
        <v>0.77153558052434457</v>
      </c>
      <c r="V37" s="3">
        <f t="shared" si="24"/>
        <v>0.89392478302796541</v>
      </c>
    </row>
  </sheetData>
  <mergeCells count="2">
    <mergeCell ref="A1:M1"/>
    <mergeCell ref="A23:M23"/>
  </mergeCells>
  <printOptions gridLines="1"/>
  <pageMargins left="0.7" right="0.7" top="0.75" bottom="0.75" header="0.3" footer="0.3"/>
  <pageSetup scale="74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51"/>
  <sheetViews>
    <sheetView view="pageBreakPreview" topLeftCell="A16" zoomScaleNormal="100" zoomScaleSheetLayoutView="100" workbookViewId="0">
      <selection activeCell="M37" sqref="M37"/>
    </sheetView>
  </sheetViews>
  <sheetFormatPr defaultRowHeight="15"/>
  <cols>
    <col min="1" max="1" width="9.140625" style="3"/>
    <col min="2" max="3" width="9.140625" style="3" customWidth="1"/>
    <col min="4" max="4" width="8.28515625" style="3" bestFit="1" customWidth="1"/>
    <col min="5" max="5" width="8.5703125" style="3" bestFit="1" customWidth="1"/>
    <col min="6" max="8" width="8.5703125" style="3" customWidth="1"/>
    <col min="9" max="11" width="9.140625" style="3" customWidth="1"/>
    <col min="12" max="12" width="9.5703125" style="3" bestFit="1" customWidth="1"/>
    <col min="13" max="15" width="9.28515625" style="3" bestFit="1" customWidth="1"/>
    <col min="16" max="18" width="9.28515625" style="3" customWidth="1"/>
    <col min="19" max="21" width="9.28515625" style="3" bestFit="1" customWidth="1"/>
    <col min="22" max="23" width="9.140625" style="3"/>
    <col min="24" max="46" width="0" style="3" hidden="1" customWidth="1"/>
    <col min="47" max="16384" width="9.140625" style="3"/>
  </cols>
  <sheetData>
    <row r="1" spans="1:39">
      <c r="A1" s="454" t="s">
        <v>150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</row>
    <row r="2" spans="1:39" ht="15" customHeight="1">
      <c r="A2" s="1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</row>
    <row r="3" spans="1:39" ht="150">
      <c r="A3" s="115"/>
      <c r="B3" s="115" t="s">
        <v>2</v>
      </c>
      <c r="C3" s="115" t="s">
        <v>8</v>
      </c>
      <c r="D3" s="115" t="s">
        <v>3</v>
      </c>
      <c r="E3" s="115" t="s">
        <v>4</v>
      </c>
      <c r="F3" s="115" t="s">
        <v>36</v>
      </c>
      <c r="G3" s="115" t="s">
        <v>37</v>
      </c>
      <c r="H3" s="115" t="s">
        <v>38</v>
      </c>
      <c r="I3" s="115" t="s">
        <v>5</v>
      </c>
      <c r="J3" s="115" t="s">
        <v>6</v>
      </c>
      <c r="K3" s="115" t="s">
        <v>7</v>
      </c>
      <c r="L3" s="115" t="s">
        <v>2</v>
      </c>
      <c r="M3" s="115" t="s">
        <v>8</v>
      </c>
      <c r="N3" s="115" t="s">
        <v>3</v>
      </c>
      <c r="O3" s="115" t="s">
        <v>4</v>
      </c>
      <c r="P3" s="115" t="s">
        <v>36</v>
      </c>
      <c r="Q3" s="115" t="s">
        <v>37</v>
      </c>
      <c r="R3" s="115" t="s">
        <v>38</v>
      </c>
      <c r="S3" s="115" t="s">
        <v>5</v>
      </c>
      <c r="T3" s="115" t="s">
        <v>6</v>
      </c>
      <c r="U3" s="115" t="s">
        <v>7</v>
      </c>
    </row>
    <row r="4" spans="1:39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X4" s="4" t="s">
        <v>24</v>
      </c>
    </row>
    <row r="5" spans="1:39">
      <c r="A5" s="115">
        <v>1984</v>
      </c>
      <c r="B5" s="13">
        <f>'1B'!B5/'1B'!B$28*100</f>
        <v>28.359371410026657</v>
      </c>
      <c r="C5" s="13">
        <f>'1B'!C5/'1B'!C$28*100</f>
        <v>58.453577094507814</v>
      </c>
      <c r="D5" s="13">
        <f>'1B'!D5/'1B'!D$28*100</f>
        <v>94.532428355957762</v>
      </c>
      <c r="E5" s="13">
        <f>'1B'!E5/'1B'!E$28*100</f>
        <v>34.71900524198464</v>
      </c>
      <c r="F5" s="62" t="s">
        <v>10</v>
      </c>
      <c r="G5" s="62" t="s">
        <v>10</v>
      </c>
      <c r="H5" s="62" t="s">
        <v>10</v>
      </c>
      <c r="I5" s="13">
        <f>'1B'!I5/'1B'!I$28*100</f>
        <v>64.792880466098978</v>
      </c>
      <c r="J5" s="13">
        <f>'1B'!J5/'1B'!J$28*100</f>
        <v>107.26102192160378</v>
      </c>
      <c r="K5" s="13">
        <f>'1B'!K5/'1B'!K$28*100</f>
        <v>37.317446090578372</v>
      </c>
      <c r="L5" s="13">
        <f>'1B'!L5/'1B'!L$28*100</f>
        <v>51.062498074543846</v>
      </c>
      <c r="M5" s="13">
        <f>'1B'!M5/'1B'!M$28*100</f>
        <v>92.107342657072465</v>
      </c>
      <c r="N5" s="13">
        <f>'1B'!N5/'1B'!N$28*100</f>
        <v>72.86507763935434</v>
      </c>
      <c r="O5" s="13">
        <f>'1B'!O5/'1B'!O$28*100</f>
        <v>63.6133419265824</v>
      </c>
      <c r="P5" s="62" t="s">
        <v>10</v>
      </c>
      <c r="Q5" s="62" t="s">
        <v>10</v>
      </c>
      <c r="R5" s="62" t="s">
        <v>10</v>
      </c>
      <c r="S5" s="13">
        <f>'1B'!S5/'1B'!S$28*100</f>
        <v>110.33941736218793</v>
      </c>
      <c r="T5" s="13">
        <f>'1B'!T5/'1B'!T$28*100</f>
        <v>154.9131537482414</v>
      </c>
      <c r="U5" s="13">
        <f>'1B'!U5/'1B'!U$28*100</f>
        <v>81.501735114428058</v>
      </c>
      <c r="X5" s="3" t="s">
        <v>2</v>
      </c>
      <c r="Y5" s="3" t="s">
        <v>8</v>
      </c>
      <c r="Z5" s="3" t="s">
        <v>3</v>
      </c>
      <c r="AA5" s="3" t="s">
        <v>4</v>
      </c>
      <c r="AB5" s="3" t="s">
        <v>5</v>
      </c>
      <c r="AC5" s="3" t="s">
        <v>6</v>
      </c>
      <c r="AD5" s="3" t="s">
        <v>7</v>
      </c>
      <c r="AF5" s="4" t="s">
        <v>26</v>
      </c>
      <c r="AG5" s="3" t="s">
        <v>2</v>
      </c>
      <c r="AH5" s="3" t="s">
        <v>23</v>
      </c>
      <c r="AI5" s="3" t="s">
        <v>3</v>
      </c>
      <c r="AJ5" s="3" t="s">
        <v>4</v>
      </c>
      <c r="AK5" s="3" t="s">
        <v>5</v>
      </c>
      <c r="AL5" s="3" t="s">
        <v>6</v>
      </c>
      <c r="AM5" s="3" t="s">
        <v>7</v>
      </c>
    </row>
    <row r="6" spans="1:39">
      <c r="A6" s="115">
        <v>1985</v>
      </c>
      <c r="B6" s="13">
        <f>'1B'!B6/'1B'!B$28*100</f>
        <v>30.91388874528996</v>
      </c>
      <c r="C6" s="13">
        <f>'1B'!C6/'1B'!C$28*100</f>
        <v>59.788849437183643</v>
      </c>
      <c r="D6" s="13">
        <f>'1B'!D6/'1B'!D$28*100</f>
        <v>89.215686274509807</v>
      </c>
      <c r="E6" s="13">
        <f>'1B'!E6/'1B'!E$28*100</f>
        <v>40.454711690844817</v>
      </c>
      <c r="F6" s="62" t="s">
        <v>10</v>
      </c>
      <c r="G6" s="62" t="s">
        <v>10</v>
      </c>
      <c r="H6" s="62" t="s">
        <v>10</v>
      </c>
      <c r="I6" s="13">
        <f>'1B'!I6/'1B'!I$28*100</f>
        <v>64.94653947115691</v>
      </c>
      <c r="J6" s="13">
        <f>'1B'!J6/'1B'!J$28*100</f>
        <v>103.95240811669791</v>
      </c>
      <c r="K6" s="13">
        <f>'1B'!K6/'1B'!K$28*100</f>
        <v>39.711077133969532</v>
      </c>
      <c r="L6" s="13">
        <f>'1B'!L6/'1B'!L$28*100</f>
        <v>53.808477290004205</v>
      </c>
      <c r="M6" s="13">
        <f>'1B'!M6/'1B'!M$28*100</f>
        <v>86.620587362732806</v>
      </c>
      <c r="N6" s="13">
        <f>'1B'!N6/'1B'!N$28*100</f>
        <v>76.570081587118111</v>
      </c>
      <c r="O6" s="13">
        <f>'1B'!O6/'1B'!O$28*100</f>
        <v>54.850870483126549</v>
      </c>
      <c r="P6" s="62" t="s">
        <v>10</v>
      </c>
      <c r="Q6" s="62" t="s">
        <v>10</v>
      </c>
      <c r="R6" s="62" t="s">
        <v>10</v>
      </c>
      <c r="S6" s="13">
        <f>'1B'!S6/'1B'!S$28*100</f>
        <v>105.01234924763838</v>
      </c>
      <c r="T6" s="13">
        <f>'1B'!T6/'1B'!T$28*100</f>
        <v>145.22583434096404</v>
      </c>
      <c r="U6" s="13">
        <f>'1B'!U6/'1B'!U$28*100</f>
        <v>78.995600390138577</v>
      </c>
      <c r="X6" s="3">
        <f>((L6/L5)-1)*100</f>
        <v>5.3776828768769436</v>
      </c>
      <c r="Y6" s="3">
        <f>((M6/M5)-1)*100</f>
        <v>-5.9569141135333297</v>
      </c>
      <c r="Z6" s="3">
        <f>((N6/N5)-1)*100</f>
        <v>5.0847457627118509</v>
      </c>
      <c r="AA6" s="3">
        <f>((O6/O5)-1)*100</f>
        <v>-13.7745812090313</v>
      </c>
      <c r="AB6" s="3">
        <f t="shared" ref="AB6:AD21" si="0">((S6/S5)-1)*100</f>
        <v>-4.827892191113814</v>
      </c>
      <c r="AC6" s="3">
        <f t="shared" si="0"/>
        <v>-6.2533872514278555</v>
      </c>
      <c r="AD6" s="3">
        <f t="shared" si="0"/>
        <v>-3.0749464668094251</v>
      </c>
      <c r="AF6" s="3" t="s">
        <v>21</v>
      </c>
      <c r="AG6" s="3">
        <f>((L29/L21)^(1/8)-1)*100</f>
        <v>1.8209294679165433</v>
      </c>
      <c r="AH6" s="3">
        <f>((M29/M21)^(1/8)-1)*100</f>
        <v>-3.0389232142929656</v>
      </c>
      <c r="AI6" s="3">
        <f>((N29/N21)^(1/8)-1)*100</f>
        <v>-6.077794948646476</v>
      </c>
      <c r="AJ6" s="3">
        <f>((O29/O21)^(1/8)-1)*100</f>
        <v>-1.1334490017215537</v>
      </c>
      <c r="AK6" s="3">
        <f t="shared" ref="AK6:AM6" si="1">((S29/S21)^(1/8)-1)*100</f>
        <v>-3.3032231509734111</v>
      </c>
      <c r="AL6" s="3">
        <f t="shared" si="1"/>
        <v>-5.4254717357089977</v>
      </c>
      <c r="AM6" s="3">
        <f t="shared" si="1"/>
        <v>-0.74426173281922914</v>
      </c>
    </row>
    <row r="7" spans="1:39">
      <c r="A7" s="115">
        <v>1986</v>
      </c>
      <c r="B7" s="13">
        <f>'1B'!B7/'1B'!B$28*100</f>
        <v>33.950880548662809</v>
      </c>
      <c r="C7" s="62" t="s">
        <v>10</v>
      </c>
      <c r="D7" s="13">
        <f>'1B'!D7/'1B'!D$28*100</f>
        <v>98.227752639517348</v>
      </c>
      <c r="E7" s="62" t="s">
        <v>10</v>
      </c>
      <c r="F7" s="62" t="s">
        <v>10</v>
      </c>
      <c r="G7" s="62" t="s">
        <v>10</v>
      </c>
      <c r="H7" s="62" t="s">
        <v>10</v>
      </c>
      <c r="I7" s="13">
        <f>'1B'!I7/'1B'!I$28*100</f>
        <v>71.925219284205127</v>
      </c>
      <c r="J7" s="13">
        <f>'1B'!J7/'1B'!J$28*100</f>
        <v>120.74810528889253</v>
      </c>
      <c r="K7" s="13">
        <f>'1B'!K7/'1B'!K$28*100</f>
        <v>40.338482627721831</v>
      </c>
      <c r="L7" s="13">
        <f>'1B'!L7/'1B'!L$28*100</f>
        <v>56.2477078294487</v>
      </c>
      <c r="M7" s="62" t="s">
        <v>10</v>
      </c>
      <c r="N7" s="13">
        <f>'1B'!N7/'1B'!N$28*100</f>
        <v>74.134761787020281</v>
      </c>
      <c r="O7" s="62" t="s">
        <v>10</v>
      </c>
      <c r="P7" s="62" t="s">
        <v>10</v>
      </c>
      <c r="Q7" s="62" t="s">
        <v>10</v>
      </c>
      <c r="R7" s="62" t="s">
        <v>10</v>
      </c>
      <c r="S7" s="13">
        <f>'1B'!S7/'1B'!S$28*100</f>
        <v>107.52774627150674</v>
      </c>
      <c r="T7" s="13">
        <f>'1B'!T7/'1B'!T$28*100</f>
        <v>152.03924899074912</v>
      </c>
      <c r="U7" s="13">
        <f>'1B'!U7/'1B'!U$28*100</f>
        <v>78.730327076704029</v>
      </c>
      <c r="X7" s="3">
        <f t="shared" ref="X7:Y34" si="2">((L7/L6)-1)*100</f>
        <v>4.5331714671985823</v>
      </c>
      <c r="Z7" s="3">
        <f t="shared" ref="Z7:AA34" si="3">((N7/N6)-1)*100</f>
        <v>-3.1805109118592578</v>
      </c>
      <c r="AB7" s="3">
        <f t="shared" si="0"/>
        <v>2.3953344934095178</v>
      </c>
      <c r="AC7" s="3">
        <f t="shared" si="0"/>
        <v>4.6915995908747288</v>
      </c>
      <c r="AD7" s="3">
        <f t="shared" si="0"/>
        <v>-0.33580770590315723</v>
      </c>
      <c r="AF7" s="3" t="s">
        <v>22</v>
      </c>
      <c r="AG7" s="3">
        <f>((L34/L29)^(1/5)-1)*100</f>
        <v>1.0787450256303011</v>
      </c>
      <c r="AH7" s="3">
        <f>((M34/M29)^(1/5)-1)*100</f>
        <v>-4.9794172545593707</v>
      </c>
      <c r="AI7" s="3">
        <f>((N34/N29)^(1/5)-1)*100</f>
        <v>-5.4350505840008889</v>
      </c>
      <c r="AJ7" s="3">
        <f>((O34/O29)^(1/5)-1)*100</f>
        <v>-4.5153235863285008</v>
      </c>
      <c r="AK7" s="3">
        <f t="shared" ref="AK7:AM7" si="4">((S34/S29)^(1/5)-1)*100</f>
        <v>-5.1355177994293904</v>
      </c>
      <c r="AL7" s="3">
        <f t="shared" si="4"/>
        <v>-9.8239395647554346</v>
      </c>
      <c r="AM7" s="3">
        <f t="shared" si="4"/>
        <v>-2.3464166240525164</v>
      </c>
    </row>
    <row r="8" spans="1:39">
      <c r="A8" s="115">
        <v>1987</v>
      </c>
      <c r="B8" s="13">
        <f>'1B'!B8/'1B'!B$28*100</f>
        <v>37.508885184036401</v>
      </c>
      <c r="C8" s="13">
        <f>'1B'!C8/'1B'!C$28*100</f>
        <v>74.794137644481367</v>
      </c>
      <c r="D8" s="13">
        <f>'1B'!D8/'1B'!D$28*100</f>
        <v>101.35746606334844</v>
      </c>
      <c r="E8" s="13">
        <f>'1B'!E8/'1B'!E$28*100</f>
        <v>47.756918200658298</v>
      </c>
      <c r="F8" s="62" t="s">
        <v>10</v>
      </c>
      <c r="G8" s="62" t="s">
        <v>10</v>
      </c>
      <c r="H8" s="62" t="s">
        <v>10</v>
      </c>
      <c r="I8" s="13">
        <f>'1B'!I8/'1B'!I$28*100</f>
        <v>84.483641718419861</v>
      </c>
      <c r="J8" s="13">
        <f>'1B'!J8/'1B'!J$28*100</f>
        <v>148.29272267948824</v>
      </c>
      <c r="K8" s="13">
        <f>'1B'!K8/'1B'!K$28*100</f>
        <v>43.201349712658825</v>
      </c>
      <c r="L8" s="13">
        <f>'1B'!L8/'1B'!L$28*100</f>
        <v>59.154549980488049</v>
      </c>
      <c r="M8" s="13">
        <f>'1B'!M8/'1B'!M$28*100</f>
        <v>90.13507398645099</v>
      </c>
      <c r="N8" s="13">
        <f>'1B'!N8/'1B'!N$28*100</f>
        <v>76.919532547494626</v>
      </c>
      <c r="O8" s="13">
        <f>'1B'!O8/'1B'!O$28*100</f>
        <v>54.621159991299905</v>
      </c>
      <c r="P8" s="62" t="s">
        <v>10</v>
      </c>
      <c r="Q8" s="62" t="s">
        <v>10</v>
      </c>
      <c r="R8" s="62" t="s">
        <v>10</v>
      </c>
      <c r="S8" s="13">
        <f>'1B'!S8/'1B'!S$28*100</f>
        <v>111.03066604729588</v>
      </c>
      <c r="T8" s="13">
        <f>'1B'!T8/'1B'!T$28*100</f>
        <v>160.6867961149787</v>
      </c>
      <c r="U8" s="13">
        <f>'1B'!U8/'1B'!U$28*100</f>
        <v>78.904848993437284</v>
      </c>
      <c r="X8" s="3">
        <f t="shared" si="2"/>
        <v>5.1679299712146909</v>
      </c>
      <c r="Z8" s="3">
        <f t="shared" si="3"/>
        <v>3.7563629980691626</v>
      </c>
      <c r="AB8" s="3">
        <f t="shared" si="0"/>
        <v>3.2576891986039413</v>
      </c>
      <c r="AC8" s="3">
        <f t="shared" si="0"/>
        <v>5.6877070767139548</v>
      </c>
      <c r="AD8" s="3">
        <f t="shared" si="0"/>
        <v>0.221670508955496</v>
      </c>
      <c r="AF8" s="3" t="s">
        <v>15</v>
      </c>
      <c r="AG8" s="3">
        <f>((L34/L21)^(1/13)-1)*100</f>
        <v>1.5348311673264448</v>
      </c>
      <c r="AH8" s="3">
        <f>((M34/M21)^(1/13)-1)*100</f>
        <v>-3.7899131594418267</v>
      </c>
      <c r="AI8" s="3">
        <f>((N34/N21)^(1/13)-1)*100</f>
        <v>-5.8311042050008695</v>
      </c>
      <c r="AJ8" s="3">
        <f>((O34/O21)^(1/13)-1)*100</f>
        <v>-2.4481181081041581</v>
      </c>
      <c r="AK8" s="3">
        <f t="shared" ref="AK8:AM8" si="5">((S34/S21)^(1/13)-1)*100</f>
        <v>-4.0121031777337723</v>
      </c>
      <c r="AL8" s="3">
        <f t="shared" si="5"/>
        <v>-7.1420241897041103</v>
      </c>
      <c r="AM8" s="3">
        <f t="shared" si="5"/>
        <v>-1.3635625679184638</v>
      </c>
    </row>
    <row r="9" spans="1:39">
      <c r="A9" s="115">
        <v>1988</v>
      </c>
      <c r="B9" s="13">
        <f>'1B'!B9/'1B'!B$28*100</f>
        <v>41.840349577244744</v>
      </c>
      <c r="C9" s="62" t="s">
        <v>10</v>
      </c>
      <c r="D9" s="13">
        <f>'1B'!D9/'1B'!D$28*100</f>
        <v>108.78582202111615</v>
      </c>
      <c r="E9" s="62" t="s">
        <v>10</v>
      </c>
      <c r="F9" s="62" t="s">
        <v>10</v>
      </c>
      <c r="G9" s="62" t="s">
        <v>10</v>
      </c>
      <c r="H9" s="62" t="s">
        <v>10</v>
      </c>
      <c r="I9" s="13">
        <f>'1B'!I9/'1B'!I$28*100</f>
        <v>93.690377104808249</v>
      </c>
      <c r="J9" s="13">
        <f>'1B'!J9/'1B'!J$28*100</f>
        <v>168.06291255806377</v>
      </c>
      <c r="K9" s="13">
        <f>'1B'!K9/'1B'!K$28*100</f>
        <v>45.573891495755788</v>
      </c>
      <c r="L9" s="13">
        <f>'1B'!L9/'1B'!L$28*100</f>
        <v>62.328405391860045</v>
      </c>
      <c r="M9" s="62" t="s">
        <v>10</v>
      </c>
      <c r="N9" s="13">
        <f>'1B'!N9/'1B'!N$28*100</f>
        <v>77.931811652690186</v>
      </c>
      <c r="O9" s="62" t="s">
        <v>10</v>
      </c>
      <c r="P9" s="62" t="s">
        <v>10</v>
      </c>
      <c r="Q9" s="62" t="s">
        <v>10</v>
      </c>
      <c r="R9" s="62" t="s">
        <v>10</v>
      </c>
      <c r="S9" s="13">
        <f>'1B'!S9/'1B'!S$28*100</f>
        <v>112.07488312589355</v>
      </c>
      <c r="T9" s="13">
        <f>'1B'!T9/'1B'!T$28*100</f>
        <v>160.87408429018609</v>
      </c>
      <c r="U9" s="13">
        <f>'1B'!U9/'1B'!U$28*100</f>
        <v>80.503469750713847</v>
      </c>
      <c r="X9" s="3">
        <f t="shared" si="2"/>
        <v>5.3653614344439715</v>
      </c>
      <c r="Z9" s="3">
        <f t="shared" si="3"/>
        <v>1.3160234750133393</v>
      </c>
      <c r="AB9" s="3">
        <f t="shared" si="0"/>
        <v>0.94047628080773382</v>
      </c>
      <c r="AC9" s="3">
        <f t="shared" si="0"/>
        <v>0.11655480085206449</v>
      </c>
      <c r="AD9" s="3">
        <f t="shared" si="0"/>
        <v>2.0260107935946126</v>
      </c>
      <c r="AF9" s="3" t="s">
        <v>29</v>
      </c>
      <c r="AG9" s="3">
        <f>((L21/L5)^(1/16)-1)*100</f>
        <v>3.3431686743365496</v>
      </c>
      <c r="AH9" s="3">
        <f>((M21/M5)^(1/16)-1)*100</f>
        <v>1.5448354431330635</v>
      </c>
      <c r="AI9" s="3">
        <f>((N21/N5)^(1/16)-1)*100</f>
        <v>4.8328782171795703</v>
      </c>
      <c r="AJ9" s="3">
        <f>((O21/O5)^(1/16)-1)*100</f>
        <v>2.657814523915869</v>
      </c>
      <c r="AK9" s="3">
        <f t="shared" ref="AK9:AM9" si="6">((S21/S5)^(1/16)-1)*100</f>
        <v>0.64841242995372639</v>
      </c>
      <c r="AL9" s="3">
        <f t="shared" si="6"/>
        <v>-0.30556996384049073</v>
      </c>
      <c r="AM9" s="3">
        <f t="shared" si="6"/>
        <v>1.2036722757535978</v>
      </c>
    </row>
    <row r="10" spans="1:39">
      <c r="A10" s="115">
        <v>1989</v>
      </c>
      <c r="B10" s="13">
        <f>'1B'!B10/'1B'!B$28*100</f>
        <v>45.278036255858844</v>
      </c>
      <c r="C10" s="62" t="s">
        <v>10</v>
      </c>
      <c r="D10" s="13">
        <f>'1B'!D10/'1B'!D$28*100</f>
        <v>109.10633484162898</v>
      </c>
      <c r="E10" s="62" t="s">
        <v>10</v>
      </c>
      <c r="F10" s="62" t="s">
        <v>10</v>
      </c>
      <c r="G10" s="62" t="s">
        <v>10</v>
      </c>
      <c r="H10" s="62" t="s">
        <v>10</v>
      </c>
      <c r="I10" s="13">
        <f>'1B'!I10/'1B'!I$28*100</f>
        <v>96.068890453934301</v>
      </c>
      <c r="J10" s="13">
        <f>'1B'!J10/'1B'!J$28*100</f>
        <v>165.34104799934809</v>
      </c>
      <c r="K10" s="13">
        <f>'1B'!K10/'1B'!K$28*100</f>
        <v>51.252174829967835</v>
      </c>
      <c r="L10" s="13">
        <f>'1B'!L10/'1B'!L$28*100</f>
        <v>64.247014655270803</v>
      </c>
      <c r="M10" s="62" t="s">
        <v>10</v>
      </c>
      <c r="N10" s="13">
        <f>'1B'!N10/'1B'!N$28*100</f>
        <v>85.805869771505186</v>
      </c>
      <c r="O10" s="62" t="s">
        <v>10</v>
      </c>
      <c r="P10" s="62" t="s">
        <v>10</v>
      </c>
      <c r="Q10" s="62" t="s">
        <v>10</v>
      </c>
      <c r="R10" s="62" t="s">
        <v>10</v>
      </c>
      <c r="S10" s="13">
        <f>'1B'!S10/'1B'!S$28*100</f>
        <v>118.03005699770257</v>
      </c>
      <c r="T10" s="13">
        <f>'1B'!T10/'1B'!T$28*100</f>
        <v>172.37616153309341</v>
      </c>
      <c r="U10" s="13">
        <f>'1B'!U10/'1B'!U$28*100</f>
        <v>82.86998694161673</v>
      </c>
      <c r="X10" s="3">
        <f t="shared" si="2"/>
        <v>3.0782261335717154</v>
      </c>
      <c r="Z10" s="3">
        <f t="shared" si="3"/>
        <v>10.103779126688872</v>
      </c>
      <c r="AB10" s="3">
        <f t="shared" si="0"/>
        <v>5.313566881100007</v>
      </c>
      <c r="AC10" s="3">
        <f t="shared" si="0"/>
        <v>7.149739060618221</v>
      </c>
      <c r="AD10" s="3">
        <f t="shared" si="0"/>
        <v>2.9396462018730585</v>
      </c>
      <c r="AF10" s="3" t="s">
        <v>15</v>
      </c>
      <c r="AG10" s="3">
        <f>AG8</f>
        <v>1.5348311673264448</v>
      </c>
      <c r="AH10" s="3">
        <f t="shared" ref="AH10:AM10" si="7">AH8</f>
        <v>-3.7899131594418267</v>
      </c>
      <c r="AI10" s="3">
        <f t="shared" si="7"/>
        <v>-5.8311042050008695</v>
      </c>
      <c r="AJ10" s="3">
        <f t="shared" si="7"/>
        <v>-2.4481181081041581</v>
      </c>
      <c r="AK10" s="3">
        <f t="shared" si="7"/>
        <v>-4.0121031777337723</v>
      </c>
      <c r="AL10" s="3">
        <f t="shared" si="7"/>
        <v>-7.1420241897041103</v>
      </c>
      <c r="AM10" s="3">
        <f t="shared" si="7"/>
        <v>-1.3635625679184638</v>
      </c>
    </row>
    <row r="11" spans="1:39">
      <c r="A11" s="115">
        <v>1990</v>
      </c>
      <c r="B11" s="13">
        <f>'1B'!B11/'1B'!B$28*100</f>
        <v>46.01171910899734</v>
      </c>
      <c r="C11" s="62" t="s">
        <v>10</v>
      </c>
      <c r="D11" s="13">
        <f>'1B'!D11/'1B'!D$28*100</f>
        <v>92.401960784313729</v>
      </c>
      <c r="E11" s="62" t="s">
        <v>10</v>
      </c>
      <c r="F11" s="62" t="s">
        <v>10</v>
      </c>
      <c r="G11" s="62" t="s">
        <v>10</v>
      </c>
      <c r="H11" s="62" t="s">
        <v>10</v>
      </c>
      <c r="I11" s="13">
        <f>'1B'!I11/'1B'!I$28*100</f>
        <v>86.830142774825532</v>
      </c>
      <c r="J11" s="13">
        <f>'1B'!J11/'1B'!J$28*100</f>
        <v>146.52432564583165</v>
      </c>
      <c r="K11" s="13">
        <f>'1B'!K11/'1B'!K$28*100</f>
        <v>48.210049032530186</v>
      </c>
      <c r="L11" s="13">
        <f>'1B'!L11/'1B'!L$28*100</f>
        <v>63.429534891850047</v>
      </c>
      <c r="M11" s="62" t="s">
        <v>10</v>
      </c>
      <c r="N11" s="13">
        <f>'1B'!N11/'1B'!N$28*100</f>
        <v>102.08749607992476</v>
      </c>
      <c r="O11" s="62" t="s">
        <v>10</v>
      </c>
      <c r="P11" s="62" t="s">
        <v>10</v>
      </c>
      <c r="Q11" s="62" t="s">
        <v>10</v>
      </c>
      <c r="R11" s="62" t="s">
        <v>10</v>
      </c>
      <c r="S11" s="13">
        <f>'1B'!S11/'1B'!S$28*100</f>
        <v>114.7174937868154</v>
      </c>
      <c r="T11" s="13">
        <f>'1B'!T11/'1B'!T$28*100</f>
        <v>168.50769198312065</v>
      </c>
      <c r="U11" s="13">
        <f>'1B'!U11/'1B'!U$28*100</f>
        <v>79.917076110490143</v>
      </c>
      <c r="X11" s="3">
        <f t="shared" si="2"/>
        <v>-1.2724011657305745</v>
      </c>
      <c r="Z11" s="3">
        <f t="shared" si="3"/>
        <v>18.97495631916135</v>
      </c>
      <c r="AB11" s="3">
        <f t="shared" si="0"/>
        <v>-2.8065420750848724</v>
      </c>
      <c r="AC11" s="3">
        <f t="shared" si="0"/>
        <v>-2.2442021655239563</v>
      </c>
      <c r="AD11" s="3">
        <f t="shared" si="0"/>
        <v>-3.5633055344958087</v>
      </c>
      <c r="AF11" s="3" t="s">
        <v>12</v>
      </c>
      <c r="AG11" s="3">
        <f>((L34/L5)^(1/29)-1)*100</f>
        <v>2.5285857602850292</v>
      </c>
      <c r="AH11" s="3">
        <f>((M34/M5)^(1/29)-1)*100</f>
        <v>-0.88223648506233765</v>
      </c>
      <c r="AI11" s="3">
        <f>((N34/N5)^(1/29)-1)*100</f>
        <v>-8.9226087655802644E-2</v>
      </c>
      <c r="AJ11" s="3">
        <f>((O34/O5)^(1/29)-1)*100</f>
        <v>0.33670890839918588</v>
      </c>
      <c r="AK11" s="3">
        <f t="shared" ref="AK11:AM11" si="8">((S34/S5)^(1/29)-1)*100</f>
        <v>-1.4681298330430637</v>
      </c>
      <c r="AL11" s="3">
        <f t="shared" si="8"/>
        <v>-3.4303115607849377</v>
      </c>
      <c r="AM11" s="3">
        <f t="shared" si="8"/>
        <v>4.4682185656608198E-2</v>
      </c>
    </row>
    <row r="12" spans="1:39">
      <c r="A12" s="115">
        <v>1991</v>
      </c>
      <c r="B12" s="13">
        <f>'1B'!B12/'1B'!B$28*100</f>
        <v>46.295703950693877</v>
      </c>
      <c r="C12" s="62" t="s">
        <v>10</v>
      </c>
      <c r="D12" s="13">
        <f>'1B'!D12/'1B'!D$28*100</f>
        <v>79.298642533936658</v>
      </c>
      <c r="E12" s="13">
        <f>'1B'!E12/'1B'!E$28*100</f>
        <v>34.731195903937582</v>
      </c>
      <c r="F12" s="62" t="s">
        <v>10</v>
      </c>
      <c r="G12" s="62" t="s">
        <v>10</v>
      </c>
      <c r="H12" s="62" t="s">
        <v>10</v>
      </c>
      <c r="I12" s="62" t="s">
        <v>10</v>
      </c>
      <c r="J12" s="13">
        <f>'1B'!J12/'1B'!J$28*100</f>
        <v>90.294189552603711</v>
      </c>
      <c r="K12" s="62" t="s">
        <v>10</v>
      </c>
      <c r="L12" s="13">
        <f>'1B'!L12/'1B'!L$28*100</f>
        <v>61.87719009739601</v>
      </c>
      <c r="M12" s="13">
        <f>'1B'!M12/'1B'!M$28*100</f>
        <v>56.222310293613319</v>
      </c>
      <c r="N12" s="13">
        <f>'1B'!N12/'1B'!N$28*100</f>
        <v>122.26857615041212</v>
      </c>
      <c r="O12" s="13">
        <f>'1B'!O12/'1B'!O$28*100</f>
        <v>41.70743538556745</v>
      </c>
      <c r="P12" s="62" t="s">
        <v>10</v>
      </c>
      <c r="Q12" s="62" t="s">
        <v>10</v>
      </c>
      <c r="R12" s="62" t="s">
        <v>10</v>
      </c>
      <c r="S12" s="13">
        <f>'1B'!S12/'1B'!S$28*100</f>
        <v>52.631223912825178</v>
      </c>
      <c r="T12" s="13">
        <f>'1B'!T12/'1B'!T$28*100</f>
        <v>133.98208561558414</v>
      </c>
      <c r="U12" s="62" t="s">
        <v>10</v>
      </c>
      <c r="X12" s="3">
        <f t="shared" si="2"/>
        <v>-2.447353267055874</v>
      </c>
      <c r="Z12" s="3">
        <f t="shared" si="3"/>
        <v>19.76841517857142</v>
      </c>
      <c r="AB12" s="3">
        <f t="shared" si="0"/>
        <v>-54.121013129320872</v>
      </c>
      <c r="AC12" s="3">
        <f t="shared" si="0"/>
        <v>-20.489038785834733</v>
      </c>
    </row>
    <row r="13" spans="1:39">
      <c r="A13" s="115">
        <v>1992</v>
      </c>
      <c r="B13" s="13">
        <f>'1B'!B13/'1B'!B$28*100</f>
        <v>47.291131760637811</v>
      </c>
      <c r="C13" s="62" t="s">
        <v>10</v>
      </c>
      <c r="D13" s="13">
        <f>'1B'!D13/'1B'!D$28*100</f>
        <v>91.251885369532431</v>
      </c>
      <c r="E13" s="62" t="s">
        <v>10</v>
      </c>
      <c r="F13" s="62" t="s">
        <v>10</v>
      </c>
      <c r="G13" s="62" t="s">
        <v>10</v>
      </c>
      <c r="H13" s="62" t="s">
        <v>10</v>
      </c>
      <c r="I13" s="13">
        <f>'1B'!I13/'1B'!I$28*100</f>
        <v>69.33222357385236</v>
      </c>
      <c r="J13" s="13">
        <f>'1B'!J13/'1B'!J$28*100</f>
        <v>100.81492950859752</v>
      </c>
      <c r="K13" s="13">
        <f>'1B'!K13/'1B'!K$28*100</f>
        <v>48.963990088047666</v>
      </c>
      <c r="L13" s="13">
        <f>'1B'!L13/'1B'!L$28*100</f>
        <v>62.280024248368846</v>
      </c>
      <c r="M13" s="62" t="s">
        <v>10</v>
      </c>
      <c r="N13" s="13">
        <f>'1B'!N13/'1B'!N$28*100</f>
        <v>118.19570517143008</v>
      </c>
      <c r="O13" s="62" t="s">
        <v>10</v>
      </c>
      <c r="P13" s="62" t="s">
        <v>10</v>
      </c>
      <c r="Q13" s="62" t="s">
        <v>10</v>
      </c>
      <c r="R13" s="62" t="s">
        <v>10</v>
      </c>
      <c r="S13" s="13">
        <f>'1B'!S13/'1B'!S$28*100</f>
        <v>106.24693766577029</v>
      </c>
      <c r="T13" s="13">
        <f>'1B'!T13/'1B'!T$28*100</f>
        <v>144.9158401199312</v>
      </c>
      <c r="U13" s="13">
        <f>'1B'!U13/'1B'!U$28*100</f>
        <v>81.229480924324164</v>
      </c>
      <c r="X13" s="3">
        <f t="shared" si="2"/>
        <v>0.65102204922162787</v>
      </c>
      <c r="Z13" s="3">
        <f t="shared" si="3"/>
        <v>-3.3310856372218534</v>
      </c>
      <c r="AB13" s="3">
        <f t="shared" si="0"/>
        <v>101.87054331427019</v>
      </c>
      <c r="AC13" s="3">
        <f t="shared" si="0"/>
        <v>8.1606092740769363</v>
      </c>
    </row>
    <row r="14" spans="1:39">
      <c r="A14" s="115">
        <v>1993</v>
      </c>
      <c r="B14" s="13">
        <f>'1B'!B14/'1B'!B$28*100</f>
        <v>48.383740149113137</v>
      </c>
      <c r="C14" s="62" t="s">
        <v>10</v>
      </c>
      <c r="D14" s="13">
        <f>'1B'!D14/'1B'!D$28*100</f>
        <v>96.813725490196077</v>
      </c>
      <c r="E14" s="62" t="s">
        <v>10</v>
      </c>
      <c r="F14" s="62" t="s">
        <v>10</v>
      </c>
      <c r="G14" s="62" t="s">
        <v>10</v>
      </c>
      <c r="H14" s="62" t="s">
        <v>10</v>
      </c>
      <c r="I14" s="13">
        <f>'1B'!I14/'1B'!I$28*100</f>
        <v>68.090146616300657</v>
      </c>
      <c r="J14" s="13">
        <f>'1B'!J14/'1B'!J$28*100</f>
        <v>99.894059163882332</v>
      </c>
      <c r="K14" s="13">
        <f>'1B'!K14/'1B'!K$28*100</f>
        <v>47.514103442821742</v>
      </c>
      <c r="L14" s="13">
        <f>'1B'!L14/'1B'!L$28*100</f>
        <v>63.022290546389279</v>
      </c>
      <c r="M14" s="62" t="s">
        <v>10</v>
      </c>
      <c r="N14" s="13">
        <f>'1B'!N14/'1B'!N$28*100</f>
        <v>131.35808660763701</v>
      </c>
      <c r="O14" s="62" t="s">
        <v>10</v>
      </c>
      <c r="P14" s="62" t="s">
        <v>10</v>
      </c>
      <c r="Q14" s="62" t="s">
        <v>10</v>
      </c>
      <c r="R14" s="62" t="s">
        <v>10</v>
      </c>
      <c r="S14" s="13">
        <f>'1B'!S14/'1B'!S$28*100</f>
        <v>105.70243350733554</v>
      </c>
      <c r="T14" s="13">
        <f>'1B'!T14/'1B'!T$28*100</f>
        <v>142.5585923974937</v>
      </c>
      <c r="U14" s="13">
        <f>'1B'!U14/'1B'!U$28*100</f>
        <v>81.857759824563871</v>
      </c>
      <c r="X14" s="3">
        <f t="shared" si="2"/>
        <v>1.1918208237368777</v>
      </c>
      <c r="Z14" s="3">
        <f t="shared" si="3"/>
        <v>11.136091127098325</v>
      </c>
      <c r="AB14" s="3">
        <f t="shared" si="0"/>
        <v>-0.5124892730062891</v>
      </c>
      <c r="AC14" s="3">
        <f t="shared" si="0"/>
        <v>-1.6266322028611002</v>
      </c>
      <c r="AD14" s="3">
        <f t="shared" si="0"/>
        <v>0.77346167067722238</v>
      </c>
    </row>
    <row r="15" spans="1:39">
      <c r="A15" s="115">
        <v>1994</v>
      </c>
      <c r="B15" s="13">
        <f>'1B'!B15/'1B'!B$28*100</f>
        <v>51.029514606883566</v>
      </c>
      <c r="C15" s="62" t="s">
        <v>10</v>
      </c>
      <c r="D15" s="13">
        <f>'1B'!D15/'1B'!D$28*100</f>
        <v>109.87933634992457</v>
      </c>
      <c r="E15" s="62" t="s">
        <v>10</v>
      </c>
      <c r="F15" s="62" t="s">
        <v>10</v>
      </c>
      <c r="G15" s="62" t="s">
        <v>10</v>
      </c>
      <c r="H15" s="62" t="s">
        <v>10</v>
      </c>
      <c r="I15" s="62" t="s">
        <v>10</v>
      </c>
      <c r="J15" s="13">
        <f>'1B'!J15/'1B'!J$28*100</f>
        <v>116.51862113927145</v>
      </c>
      <c r="K15" s="62" t="s">
        <v>10</v>
      </c>
      <c r="L15" s="13">
        <f>'1B'!L15/'1B'!L$28*100</f>
        <v>65.961445013478681</v>
      </c>
      <c r="M15" s="62" t="s">
        <v>10</v>
      </c>
      <c r="N15" s="13">
        <f>'1B'!N15/'1B'!N$28*100</f>
        <v>121.33755418055574</v>
      </c>
      <c r="O15" s="62" t="s">
        <v>10</v>
      </c>
      <c r="P15" s="62" t="s">
        <v>10</v>
      </c>
      <c r="Q15" s="62" t="s">
        <v>10</v>
      </c>
      <c r="R15" s="62" t="s">
        <v>10</v>
      </c>
      <c r="S15" s="13">
        <f>'1B'!S15/'1B'!S$28*100</f>
        <v>55.751652208051972</v>
      </c>
      <c r="T15" s="13">
        <f>'1B'!T15/'1B'!T$28*100</f>
        <v>141.9256875295516</v>
      </c>
      <c r="U15" s="62" t="s">
        <v>10</v>
      </c>
      <c r="X15" s="3">
        <f t="shared" si="2"/>
        <v>4.6636744580490275</v>
      </c>
      <c r="Z15" s="3">
        <f t="shared" si="3"/>
        <v>-7.628409248234802</v>
      </c>
      <c r="AB15" s="3">
        <f t="shared" si="0"/>
        <v>-47.25603719976521</v>
      </c>
      <c r="AC15" s="3">
        <f t="shared" si="0"/>
        <v>-0.44396122134636729</v>
      </c>
    </row>
    <row r="16" spans="1:39">
      <c r="A16" s="115">
        <v>1995</v>
      </c>
      <c r="B16" s="13">
        <f>'1B'!B16/'1B'!B$28*100</f>
        <v>54.160330363707374</v>
      </c>
      <c r="C16" s="62" t="s">
        <v>10</v>
      </c>
      <c r="D16" s="13">
        <f>'1B'!D16/'1B'!D$28*100</f>
        <v>130.33559577677224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13">
        <f>'1B'!J16/'1B'!J$28*100</f>
        <v>216.20079863091846</v>
      </c>
      <c r="K16" s="62" t="s">
        <v>10</v>
      </c>
      <c r="L16" s="13">
        <f>'1B'!L16/'1B'!L$28*100</f>
        <v>68.513484834700677</v>
      </c>
      <c r="M16" s="62" t="s">
        <v>10</v>
      </c>
      <c r="N16" s="13">
        <f>'1B'!N16/'1B'!N$28*100</f>
        <v>117.21561506568865</v>
      </c>
      <c r="O16" s="62" t="s">
        <v>10</v>
      </c>
      <c r="P16" s="62" t="s">
        <v>10</v>
      </c>
      <c r="Q16" s="62" t="s">
        <v>10</v>
      </c>
      <c r="R16" s="62" t="s">
        <v>10</v>
      </c>
      <c r="S16" s="13">
        <f>'1B'!S16/'1B'!S$28*100</f>
        <v>51.925956379432449</v>
      </c>
      <c r="T16" s="13">
        <f>'1B'!T16/'1B'!T$28*100</f>
        <v>132.18670241876873</v>
      </c>
      <c r="U16" s="62" t="s">
        <v>10</v>
      </c>
      <c r="X16" s="3">
        <f t="shared" si="2"/>
        <v>3.8689871343790427</v>
      </c>
      <c r="Z16" s="3">
        <f t="shared" si="3"/>
        <v>-3.3970843921358962</v>
      </c>
      <c r="AB16" s="3">
        <f t="shared" si="0"/>
        <v>-6.8620313068802563</v>
      </c>
      <c r="AC16" s="3">
        <f t="shared" si="0"/>
        <v>-6.8620313068802457</v>
      </c>
    </row>
    <row r="17" spans="1:46" ht="15.75" thickBot="1">
      <c r="A17" s="115">
        <v>1996</v>
      </c>
      <c r="B17" s="13">
        <f>'1B'!B17/'1B'!B$28*100</f>
        <v>55.809761568330117</v>
      </c>
      <c r="C17" s="62" t="s">
        <v>10</v>
      </c>
      <c r="D17" s="13">
        <f>'1B'!D17/'1B'!D$28*100</f>
        <v>111.97209653092006</v>
      </c>
      <c r="E17" s="62" t="s">
        <v>10</v>
      </c>
      <c r="F17" s="62" t="s">
        <v>10</v>
      </c>
      <c r="G17" s="62" t="s">
        <v>10</v>
      </c>
      <c r="H17" s="62" t="s">
        <v>10</v>
      </c>
      <c r="I17" s="62" t="s">
        <v>10</v>
      </c>
      <c r="J17" s="13">
        <f>'1B'!J17/'1B'!J$28*100</f>
        <v>189.62594735555376</v>
      </c>
      <c r="K17" s="62" t="s">
        <v>10</v>
      </c>
      <c r="L17" s="232">
        <f>'1B'!L17/'1B'!L$28*100</f>
        <v>69.327187550366929</v>
      </c>
      <c r="M17" s="78" t="s">
        <v>10</v>
      </c>
      <c r="N17" s="228">
        <f>'1B'!N17/'1B'!N$28*100</f>
        <v>142.64667217548077</v>
      </c>
      <c r="O17" s="78" t="s">
        <v>147</v>
      </c>
      <c r="P17" s="78" t="s">
        <v>10</v>
      </c>
      <c r="Q17" s="78" t="s">
        <v>10</v>
      </c>
      <c r="R17" s="78" t="s">
        <v>10</v>
      </c>
      <c r="S17" s="13">
        <f>'1B'!S17/'1B'!S$28*100</f>
        <v>50.013108465122691</v>
      </c>
      <c r="T17" s="13">
        <f>'1B'!T17/'1B'!T$28*100</f>
        <v>127.31720986337729</v>
      </c>
      <c r="U17" s="62" t="s">
        <v>10</v>
      </c>
      <c r="X17" s="3">
        <f t="shared" si="2"/>
        <v>1.1876533760170505</v>
      </c>
      <c r="Z17" s="3">
        <f t="shared" si="3"/>
        <v>21.69596354166665</v>
      </c>
      <c r="AB17" s="3">
        <f t="shared" si="0"/>
        <v>-3.6837991010357674</v>
      </c>
      <c r="AC17" s="3">
        <f t="shared" si="0"/>
        <v>-3.6837991010357785</v>
      </c>
    </row>
    <row r="18" spans="1:46" ht="15.75" thickBot="1">
      <c r="A18" s="115">
        <v>1997</v>
      </c>
      <c r="B18" s="13">
        <f>'1B'!B18/'1B'!B$28*100</f>
        <v>59.474873058542421</v>
      </c>
      <c r="C18" s="13">
        <f>'1B'!C18/'1B'!C$28*100</f>
        <v>107.69245297272796</v>
      </c>
      <c r="D18" s="13">
        <f>'1B'!D18/'1B'!D$28*100</f>
        <v>140.38461538461539</v>
      </c>
      <c r="E18" s="13">
        <f>'1B'!E18/'1B'!E$28*100</f>
        <v>91.362916006339162</v>
      </c>
      <c r="F18" s="62" t="s">
        <v>10</v>
      </c>
      <c r="G18" s="62" t="s">
        <v>10</v>
      </c>
      <c r="H18" s="62" t="s">
        <v>10</v>
      </c>
      <c r="I18" s="13">
        <f>'1B'!I18/'1B'!I$28*100</f>
        <v>110.71771560279147</v>
      </c>
      <c r="J18" s="13">
        <f>'1B'!J18/'1B'!J$28*100</f>
        <v>160.54111319370875</v>
      </c>
      <c r="K18" s="13">
        <f>'1B'!K18/'1B'!K$28*100</f>
        <v>78.483682184847353</v>
      </c>
      <c r="L18" s="13">
        <f>'1B'!L18/'1B'!L$28*100</f>
        <v>72.340027197638094</v>
      </c>
      <c r="M18" s="13">
        <f>'1B'!M18/'1B'!M$28*100</f>
        <v>102.61577396691092</v>
      </c>
      <c r="N18" s="232">
        <f>'1B'!N18/'1B'!N$28*100</f>
        <v>117.70361990950227</v>
      </c>
      <c r="O18" s="13">
        <f>'1B'!O18/'1B'!O$28*100</f>
        <v>74.850664391076435</v>
      </c>
      <c r="P18" s="13">
        <f>'1B'!P18/'1B'!P$28*100</f>
        <v>75.328083989501309</v>
      </c>
      <c r="Q18" s="13">
        <f>'1B'!Q18/'1B'!Q$28*100</f>
        <v>64.319248826291073</v>
      </c>
      <c r="R18" s="13">
        <f>'1B'!R18/'1B'!R$28*100</f>
        <v>87.769784172661872</v>
      </c>
      <c r="S18" s="232">
        <f>'1B'!S18/'1B'!S$28*100</f>
        <v>114.636020231769</v>
      </c>
      <c r="T18" s="232">
        <f>'1B'!T18/'1B'!T$28*100</f>
        <v>127.22679488224269</v>
      </c>
      <c r="U18" s="232">
        <f>'1B'!U18/'1B'!U$28*100</f>
        <v>103.91733009964675</v>
      </c>
      <c r="X18" s="3">
        <f t="shared" si="2"/>
        <v>4.3458270178381442</v>
      </c>
      <c r="Z18" s="3">
        <f t="shared" si="3"/>
        <v>-17.485898468976636</v>
      </c>
      <c r="AB18" s="3">
        <f t="shared" si="0"/>
        <v>129.21194812698346</v>
      </c>
      <c r="AC18" s="3">
        <f t="shared" si="0"/>
        <v>-7.1015521964090667E-2</v>
      </c>
    </row>
    <row r="19" spans="1:46">
      <c r="A19" s="115">
        <v>1998</v>
      </c>
      <c r="B19" s="13">
        <f>'1B'!B19/'1B'!B$28*100</f>
        <v>62.512349508317257</v>
      </c>
      <c r="C19" s="13">
        <f>'1B'!C19/'1B'!C$28*100</f>
        <v>111.40552995391704</v>
      </c>
      <c r="D19" s="13">
        <f>'1B'!D19/'1B'!D$28*100</f>
        <v>147.62443438914028</v>
      </c>
      <c r="E19" s="13">
        <f>'1B'!E19/'1B'!E$28*100</f>
        <v>103.71205656467146</v>
      </c>
      <c r="F19" s="62" t="s">
        <v>10</v>
      </c>
      <c r="G19" s="62" t="s">
        <v>10</v>
      </c>
      <c r="H19" s="62" t="s">
        <v>10</v>
      </c>
      <c r="I19" s="13">
        <f>'1B'!I19/'1B'!I$28*100</f>
        <v>109.2963698060055</v>
      </c>
      <c r="J19" s="13">
        <f>'1B'!J19/'1B'!J$28*100</f>
        <v>168.69040827968382</v>
      </c>
      <c r="K19" s="13">
        <f>'1B'!K19/'1B'!K$28*100</f>
        <v>70.870459218642907</v>
      </c>
      <c r="L19" s="13">
        <f>'1B'!L19/'1B'!L$28*100</f>
        <v>75.721800041356488</v>
      </c>
      <c r="M19" s="13">
        <f>'1B'!M19/'1B'!M$28*100</f>
        <v>102.26826320163178</v>
      </c>
      <c r="N19" s="13">
        <f>'1B'!N19/'1B'!N$28*100</f>
        <v>117.38310708898945</v>
      </c>
      <c r="O19" s="13">
        <f>'1B'!O19/'1B'!O$28*100</f>
        <v>81.646958429842741</v>
      </c>
      <c r="P19" s="13">
        <f>'1B'!P19/'1B'!P$28*100</f>
        <v>85.564304461942257</v>
      </c>
      <c r="Q19" s="13">
        <f>'1B'!Q19/'1B'!Q$28*100</f>
        <v>69.483568075117375</v>
      </c>
      <c r="R19" s="13">
        <f>'1B'!R19/'1B'!R$28*100</f>
        <v>92.446043165467628</v>
      </c>
      <c r="S19" s="13">
        <f>'1B'!S19/'1B'!S$28*100</f>
        <v>110.53204430501313</v>
      </c>
      <c r="T19" s="13">
        <f>'1B'!T19/'1B'!T$28*100</f>
        <v>124.58642327438679</v>
      </c>
      <c r="U19" s="13">
        <f>'1B'!U19/'1B'!U$28*100</f>
        <v>97.996520272051455</v>
      </c>
      <c r="X19" s="3">
        <f t="shared" si="2"/>
        <v>4.6748293783179795</v>
      </c>
      <c r="Y19" s="3">
        <f t="shared" si="2"/>
        <v>-0.33865238437045253</v>
      </c>
      <c r="Z19" s="3">
        <f t="shared" si="3"/>
        <v>-0.27230498157936323</v>
      </c>
      <c r="AA19" s="3">
        <f t="shared" si="3"/>
        <v>9.0798045602605839</v>
      </c>
      <c r="AB19" s="3">
        <f t="shared" si="0"/>
        <v>-3.5800055850321089</v>
      </c>
      <c r="AC19" s="3">
        <f t="shared" si="0"/>
        <v>-2.0753266717909113</v>
      </c>
      <c r="AD19" s="3">
        <f t="shared" si="0"/>
        <v>-5.6976154236428211</v>
      </c>
    </row>
    <row r="20" spans="1:46">
      <c r="A20" s="115">
        <v>1999</v>
      </c>
      <c r="B20" s="13">
        <f>'1B'!B20/'1B'!B$28*100</f>
        <v>67.648901324556576</v>
      </c>
      <c r="C20" s="13">
        <f>'1B'!C20/'1B'!C$28*100</f>
        <v>112.03444889325375</v>
      </c>
      <c r="D20" s="13">
        <f>'1B'!D20/'1B'!D$28*100</f>
        <v>148.19004524886878</v>
      </c>
      <c r="E20" s="13">
        <f>'1B'!E20/'1B'!E$28*100</f>
        <v>119.3039132024869</v>
      </c>
      <c r="F20" s="62" t="s">
        <v>10</v>
      </c>
      <c r="G20" s="62" t="s">
        <v>10</v>
      </c>
      <c r="H20" s="62" t="s">
        <v>10</v>
      </c>
      <c r="I20" s="13">
        <f>'1B'!I20/'1B'!I$28*100</f>
        <v>102.07759779755425</v>
      </c>
      <c r="J20" s="13">
        <f>'1B'!J20/'1B'!J$28*100</f>
        <v>145.76644120283598</v>
      </c>
      <c r="K20" s="13">
        <f>'1B'!K20/'1B'!K$28*100</f>
        <v>73.812411029683133</v>
      </c>
      <c r="L20" s="13">
        <f>'1B'!L20/'1B'!L$28*100</f>
        <v>81.497762010614849</v>
      </c>
      <c r="M20" s="13">
        <f>'1B'!M20/'1B'!M$28*100</f>
        <v>101.43725919770338</v>
      </c>
      <c r="N20" s="13">
        <f>'1B'!N20/'1B'!N$28*100</f>
        <v>125.4901960784314</v>
      </c>
      <c r="O20" s="13">
        <f>'1B'!O20/'1B'!O$28*100</f>
        <v>81.201999268560286</v>
      </c>
      <c r="P20" s="13">
        <f>'1B'!P20/'1B'!P$28*100</f>
        <v>65.879265091863516</v>
      </c>
      <c r="Q20" s="13">
        <f>'1B'!Q20/'1B'!Q$28*100</f>
        <v>83.098591549295776</v>
      </c>
      <c r="R20" s="13">
        <f>'1B'!R20/'1B'!R$28*100</f>
        <v>102.6378896882494</v>
      </c>
      <c r="S20" s="13">
        <f>'1B'!S20/'1B'!S$28*100</f>
        <v>107.98066457519685</v>
      </c>
      <c r="T20" s="13">
        <f>'1B'!T20/'1B'!T$28*100</f>
        <v>127.09640616086708</v>
      </c>
      <c r="U20" s="13">
        <f>'1B'!U20/'1B'!U$28*100</f>
        <v>90.409658881214739</v>
      </c>
      <c r="X20" s="3">
        <f t="shared" si="2"/>
        <v>7.6278719815214835</v>
      </c>
      <c r="Y20" s="3">
        <f t="shared" si="2"/>
        <v>-0.81257271602431791</v>
      </c>
      <c r="Z20" s="3">
        <f t="shared" si="3"/>
        <v>6.9065210407966759</v>
      </c>
      <c r="AA20" s="3">
        <f t="shared" si="3"/>
        <v>-0.54497946995146762</v>
      </c>
      <c r="AB20" s="3">
        <f t="shared" si="0"/>
        <v>-2.3082715477294014</v>
      </c>
      <c r="AC20" s="3">
        <f t="shared" si="0"/>
        <v>2.0146520146519853</v>
      </c>
      <c r="AD20" s="3">
        <f t="shared" si="0"/>
        <v>-7.7419701942217696</v>
      </c>
      <c r="AF20" s="4" t="s">
        <v>30</v>
      </c>
      <c r="AO20" s="4" t="s">
        <v>25</v>
      </c>
    </row>
    <row r="21" spans="1:46">
      <c r="A21" s="115">
        <v>2000</v>
      </c>
      <c r="B21" s="13">
        <f>'1B'!B21/'1B'!B$28*100</f>
        <v>72.919395046411182</v>
      </c>
      <c r="C21" s="13">
        <f>'1B'!C21/'1B'!C$28*100</f>
        <v>141.82594243408627</v>
      </c>
      <c r="D21" s="13">
        <f>'1B'!D21/'1B'!D$28*100</f>
        <v>174.1892911010558</v>
      </c>
      <c r="E21" s="13">
        <f>'1B'!E21/'1B'!E$28*100</f>
        <v>139.4977447275387</v>
      </c>
      <c r="F21" s="62" t="s">
        <v>10</v>
      </c>
      <c r="G21" s="62" t="s">
        <v>10</v>
      </c>
      <c r="H21" s="62" t="s">
        <v>10</v>
      </c>
      <c r="I21" s="13">
        <f>'1B'!I21/'1B'!I$28*100</f>
        <v>137.55362059030668</v>
      </c>
      <c r="J21" s="13">
        <f>'1B'!J21/'1B'!J$28*100</f>
        <v>218.3359139434439</v>
      </c>
      <c r="K21" s="13">
        <f>'1B'!K21/'1B'!K$28*100</f>
        <v>85.290240944798853</v>
      </c>
      <c r="L21" s="13">
        <f>'1B'!L21/'1B'!L$28*100</f>
        <v>86.419238523573199</v>
      </c>
      <c r="M21" s="13">
        <f>'1B'!M21/'1B'!M$28*100</f>
        <v>117.71171715645539</v>
      </c>
      <c r="N21" s="13">
        <f>'1B'!N21/'1B'!N$28*100</f>
        <v>155.05279034690801</v>
      </c>
      <c r="O21" s="13">
        <f>'1B'!O21/'1B'!O$28*100</f>
        <v>96.787760575399247</v>
      </c>
      <c r="P21" s="13">
        <f>'1B'!P21/'1B'!P$28*100</f>
        <v>94.488188976377955</v>
      </c>
      <c r="Q21" s="13">
        <f>'1B'!Q21/'1B'!Q$28*100</f>
        <v>87.323943661971825</v>
      </c>
      <c r="R21" s="13">
        <f>'1B'!R21/'1B'!R$28*100</f>
        <v>113.54916067146283</v>
      </c>
      <c r="S21" s="13">
        <f>'1B'!S21/'1B'!S$28*100</f>
        <v>122.36058646520264</v>
      </c>
      <c r="T21" s="13">
        <f>'1B'!T21/'1B'!T$28*100</f>
        <v>147.51039035123463</v>
      </c>
      <c r="U21" s="13">
        <f>'1B'!U21/'1B'!U$28*100</f>
        <v>98.697738176833454</v>
      </c>
      <c r="X21" s="3">
        <f t="shared" si="2"/>
        <v>6.0387873133465275</v>
      </c>
      <c r="Y21" s="3">
        <f t="shared" si="2"/>
        <v>16.043866018730601</v>
      </c>
      <c r="Z21" s="3">
        <f t="shared" si="3"/>
        <v>23.557692307692292</v>
      </c>
      <c r="AA21" s="3">
        <f t="shared" si="3"/>
        <v>19.193814742531146</v>
      </c>
      <c r="AB21" s="3">
        <f t="shared" si="0"/>
        <v>13.317126678722868</v>
      </c>
      <c r="AC21" s="3">
        <f t="shared" si="0"/>
        <v>16.061810720697633</v>
      </c>
      <c r="AD21" s="3">
        <f t="shared" si="0"/>
        <v>9.1672498250525045</v>
      </c>
      <c r="AF21" s="3" t="s">
        <v>2</v>
      </c>
      <c r="AG21" s="3" t="s">
        <v>3</v>
      </c>
      <c r="AH21" s="3" t="s">
        <v>4</v>
      </c>
      <c r="AI21" s="3" t="s">
        <v>5</v>
      </c>
      <c r="AJ21" s="3" t="s">
        <v>6</v>
      </c>
      <c r="AK21" s="3" t="s">
        <v>7</v>
      </c>
      <c r="AO21" s="3" t="s">
        <v>2</v>
      </c>
      <c r="AP21" s="3" t="s">
        <v>3</v>
      </c>
      <c r="AQ21" s="3" t="s">
        <v>4</v>
      </c>
      <c r="AR21" s="3" t="s">
        <v>5</v>
      </c>
      <c r="AS21" s="3" t="s">
        <v>6</v>
      </c>
      <c r="AT21" s="3" t="s">
        <v>7</v>
      </c>
    </row>
    <row r="22" spans="1:46">
      <c r="A22" s="115">
        <v>2001</v>
      </c>
      <c r="B22" s="13">
        <f>'1B'!B22/'1B'!B$28*100</f>
        <v>75.014736840593699</v>
      </c>
      <c r="C22" s="13">
        <f>'1B'!C22/'1B'!C$28*100</f>
        <v>138.00710130694267</v>
      </c>
      <c r="D22" s="13">
        <f>'1B'!D22/'1B'!D$28*100</f>
        <v>146.77601809954751</v>
      </c>
      <c r="E22" s="13">
        <f>'1B'!E22/'1B'!E$28*100</f>
        <v>132.24430086553701</v>
      </c>
      <c r="F22" s="62" t="s">
        <v>10</v>
      </c>
      <c r="G22" s="62" t="s">
        <v>10</v>
      </c>
      <c r="H22" s="62" t="s">
        <v>10</v>
      </c>
      <c r="I22" s="13">
        <f>'1B'!I22/'1B'!I$28*100</f>
        <v>139.54478519751586</v>
      </c>
      <c r="J22" s="13">
        <f>'1B'!J22/'1B'!J$28*100</f>
        <v>190.90538668405185</v>
      </c>
      <c r="K22" s="13">
        <f>'1B'!K22/'1B'!K$28*100</f>
        <v>106.31623345811145</v>
      </c>
      <c r="L22" s="13">
        <f>'1B'!L22/'1B'!L$28*100</f>
        <v>87.691794326118938</v>
      </c>
      <c r="M22" s="13">
        <f>'1B'!M22/'1B'!M$28*100</f>
        <v>116.1158117398202</v>
      </c>
      <c r="N22" s="13">
        <f>'1B'!N22/'1B'!N$28*100</f>
        <v>143.17496229260937</v>
      </c>
      <c r="O22" s="13">
        <f>'1B'!O22/'1B'!O$28*100</f>
        <v>97.336340363281735</v>
      </c>
      <c r="P22" s="13">
        <f>'1B'!P22/'1B'!P$28*100</f>
        <v>96.850393700787393</v>
      </c>
      <c r="Q22" s="13">
        <f>'1B'!Q22/'1B'!Q$28*100</f>
        <v>81.924882629107969</v>
      </c>
      <c r="R22" s="13">
        <f>'1B'!R22/'1B'!R$28*100</f>
        <v>117.26618705035972</v>
      </c>
      <c r="S22" s="13">
        <f>'1B'!S22/'1B'!S$28*100</f>
        <v>121.38421153723029</v>
      </c>
      <c r="T22" s="13">
        <f>'1B'!T22/'1B'!T$28*100</f>
        <v>129.54119468665962</v>
      </c>
      <c r="U22" s="13">
        <f>'1B'!U22/'1B'!U$28*100</f>
        <v>116.02256550851477</v>
      </c>
      <c r="X22" s="3">
        <f t="shared" si="2"/>
        <v>1.4725376250551037</v>
      </c>
      <c r="Y22" s="3">
        <f t="shared" si="2"/>
        <v>-1.3557744761415802</v>
      </c>
      <c r="Z22" s="3">
        <f t="shared" si="3"/>
        <v>-7.6605058365758811</v>
      </c>
      <c r="AA22" s="3">
        <f t="shared" si="3"/>
        <v>0.56678632155677811</v>
      </c>
      <c r="AB22" s="3">
        <f t="shared" ref="AB22:AD34" si="9">((S22/S21)-1)*100</f>
        <v>-0.79794887894724109</v>
      </c>
      <c r="AC22" s="3">
        <f t="shared" si="9"/>
        <v>-12.181647422794317</v>
      </c>
      <c r="AD22" s="3">
        <f t="shared" si="9"/>
        <v>17.553418803418786</v>
      </c>
      <c r="AE22" s="3">
        <v>2007</v>
      </c>
      <c r="AF22" s="3">
        <f>((B28/L28))*100</f>
        <v>100</v>
      </c>
      <c r="AG22" s="3">
        <f t="shared" ref="AG22:AH26" si="10">((D28/N28))*100</f>
        <v>100</v>
      </c>
      <c r="AH22" s="3">
        <f t="shared" si="10"/>
        <v>100</v>
      </c>
      <c r="AI22" s="3">
        <f t="shared" ref="AI22:AK26" si="11">((I28/S28))*100</f>
        <v>100</v>
      </c>
      <c r="AJ22" s="3">
        <f t="shared" si="11"/>
        <v>100</v>
      </c>
      <c r="AK22" s="3">
        <f t="shared" si="11"/>
        <v>100</v>
      </c>
      <c r="AN22" s="3">
        <v>2007</v>
      </c>
      <c r="AO22" s="3">
        <f>((AF23/AF22)-1)*100</f>
        <v>1.8259720814902236</v>
      </c>
      <c r="AP22" s="3">
        <f t="shared" ref="AP22:AT25" si="12">((AG23/AG22)-1)*100</f>
        <v>2.3694779116465892</v>
      </c>
      <c r="AQ22" s="3">
        <f t="shared" si="12"/>
        <v>-4.4843049327354283</v>
      </c>
      <c r="AR22" s="3">
        <f t="shared" si="12"/>
        <v>0.37308324205915788</v>
      </c>
      <c r="AS22" s="3">
        <f t="shared" si="12"/>
        <v>-1.9680621493310291</v>
      </c>
      <c r="AT22" s="3">
        <f t="shared" si="12"/>
        <v>1.8940682771917849</v>
      </c>
    </row>
    <row r="23" spans="1:46">
      <c r="A23" s="115">
        <v>2002</v>
      </c>
      <c r="B23" s="13">
        <f>'1B'!B23/'1B'!B$28*100</f>
        <v>79.019046962595354</v>
      </c>
      <c r="C23" s="13">
        <f>'1B'!C23/'1B'!C$28*100</f>
        <v>135.60852156833118</v>
      </c>
      <c r="D23" s="13">
        <f>'1B'!D23/'1B'!D$28*100</f>
        <v>162.46229260935146</v>
      </c>
      <c r="E23" s="13">
        <f>'1B'!E23/'1B'!E$28*100</f>
        <v>140.23527977569182</v>
      </c>
      <c r="F23" s="62" t="s">
        <v>10</v>
      </c>
      <c r="G23" s="62" t="s">
        <v>10</v>
      </c>
      <c r="H23" s="62" t="s">
        <v>10</v>
      </c>
      <c r="I23" s="13">
        <f>'1B'!I23/'1B'!I$28*100</f>
        <v>128.61898969204177</v>
      </c>
      <c r="J23" s="13">
        <f>'1B'!J23/'1B'!J$28*100</f>
        <v>161.2745497514465</v>
      </c>
      <c r="K23" s="13">
        <f>'1B'!K23/'1B'!K$28*100</f>
        <v>107.49195971951283</v>
      </c>
      <c r="L23" s="13">
        <f>'1B'!L23/'1B'!L$28*100</f>
        <v>90.006662990533954</v>
      </c>
      <c r="M23" s="13">
        <f>'1B'!M23/'1B'!M$28*100</f>
        <v>122.08393140439678</v>
      </c>
      <c r="N23" s="13">
        <f>'1B'!N23/'1B'!N$28*100</f>
        <v>146.73831070889892</v>
      </c>
      <c r="O23" s="13">
        <f>'1B'!O23/'1B'!O$28*100</f>
        <v>106.54638546873096</v>
      </c>
      <c r="P23" s="13">
        <f>'1B'!P23/'1B'!P$28*100</f>
        <v>108.13648293963254</v>
      </c>
      <c r="Q23" s="13">
        <f>'1B'!Q23/'1B'!Q$28*100</f>
        <v>93.427230046948367</v>
      </c>
      <c r="R23" s="13">
        <f>'1B'!R23/'1B'!R$28*100</f>
        <v>122.4220623501199</v>
      </c>
      <c r="S23" s="13">
        <f>'1B'!S23/'1B'!S$28*100</f>
        <v>126.05800627440938</v>
      </c>
      <c r="T23" s="13">
        <f>'1B'!T23/'1B'!T$28*100</f>
        <v>136.0524814603537</v>
      </c>
      <c r="U23" s="13">
        <f>'1B'!U23/'1B'!U$28*100</f>
        <v>119.03832973058471</v>
      </c>
      <c r="X23" s="3">
        <f t="shared" si="2"/>
        <v>2.6397779657765907</v>
      </c>
      <c r="Y23" s="3">
        <f t="shared" si="2"/>
        <v>5.1397992875847898</v>
      </c>
      <c r="Z23" s="3">
        <f t="shared" si="3"/>
        <v>2.4888069528574919</v>
      </c>
      <c r="AA23" s="3">
        <f t="shared" si="3"/>
        <v>9.4620827853967082</v>
      </c>
      <c r="AB23" s="3">
        <f t="shared" si="9"/>
        <v>3.8504140513740293</v>
      </c>
      <c r="AC23" s="3">
        <f t="shared" si="9"/>
        <v>5.0264217413185763</v>
      </c>
      <c r="AD23" s="3">
        <f t="shared" si="9"/>
        <v>2.5992911024266263</v>
      </c>
      <c r="AE23" s="3">
        <v>2008</v>
      </c>
      <c r="AF23" s="3">
        <f>((B29/L29))*100</f>
        <v>101.82597208149022</v>
      </c>
      <c r="AG23" s="3">
        <f t="shared" si="10"/>
        <v>102.36947791164658</v>
      </c>
      <c r="AH23" s="3">
        <f t="shared" si="10"/>
        <v>95.515695067264573</v>
      </c>
      <c r="AI23" s="3">
        <f t="shared" si="11"/>
        <v>100.37308324205915</v>
      </c>
      <c r="AJ23" s="3">
        <f t="shared" si="11"/>
        <v>98.031937850668967</v>
      </c>
      <c r="AK23" s="3">
        <f t="shared" si="11"/>
        <v>101.89406827719179</v>
      </c>
      <c r="AN23" s="3">
        <v>2008</v>
      </c>
      <c r="AO23" s="3">
        <f t="shared" ref="AO23:AO25" si="13">((AF24/AF23)-1)*100</f>
        <v>1.5999870165445795</v>
      </c>
      <c r="AP23" s="3">
        <f t="shared" si="12"/>
        <v>10.9935200535636</v>
      </c>
      <c r="AQ23" s="3">
        <f t="shared" si="12"/>
        <v>3.9167320901748459</v>
      </c>
      <c r="AR23" s="3">
        <f t="shared" si="12"/>
        <v>11.899100747204262</v>
      </c>
      <c r="AS23" s="3">
        <f t="shared" si="12"/>
        <v>23.03740913699308</v>
      </c>
      <c r="AT23" s="3">
        <f t="shared" si="12"/>
        <v>5.834616090246425</v>
      </c>
    </row>
    <row r="24" spans="1:46">
      <c r="A24" s="115">
        <v>2003</v>
      </c>
      <c r="B24" s="13">
        <f>'1B'!B24/'1B'!B$28*100</f>
        <v>82.035522068284166</v>
      </c>
      <c r="C24" s="13">
        <f>'1B'!C24/'1B'!C$28*100</f>
        <v>133.15894840220594</v>
      </c>
      <c r="D24" s="13">
        <f>'1B'!D24/'1B'!D$28*100</f>
        <v>148.92533936651583</v>
      </c>
      <c r="E24" s="13">
        <f>'1B'!E24/'1B'!E$28*100</f>
        <v>145.68450566865781</v>
      </c>
      <c r="F24" s="62" t="s">
        <v>10</v>
      </c>
      <c r="G24" s="62" t="s">
        <v>10</v>
      </c>
      <c r="H24" s="62" t="s">
        <v>10</v>
      </c>
      <c r="I24" s="13">
        <f>'1B'!I24/'1B'!I$28*100</f>
        <v>123.90357897432614</v>
      </c>
      <c r="J24" s="13">
        <f>'1B'!J24/'1B'!J$28*100</f>
        <v>138.14685029744928</v>
      </c>
      <c r="K24" s="13">
        <f>'1B'!K24/'1B'!K$28*100</f>
        <v>114.68866979490696</v>
      </c>
      <c r="L24" s="13">
        <f>'1B'!L24/'1B'!L$28*100</f>
        <v>91.524737070352003</v>
      </c>
      <c r="M24" s="13">
        <f>'1B'!M24/'1B'!M$28*100</f>
        <v>124.21432348719496</v>
      </c>
      <c r="N24" s="13">
        <f>'1B'!N24/'1B'!N$28*100</f>
        <v>138.3107088989442</v>
      </c>
      <c r="O24" s="13">
        <f>'1B'!O24/'1B'!O$28*100</f>
        <v>108.86870657076679</v>
      </c>
      <c r="P24" s="13">
        <f>'1B'!P24/'1B'!P$28*100</f>
        <v>106.82414698162729</v>
      </c>
      <c r="Q24" s="13">
        <f>'1B'!Q24/'1B'!Q$28*100</f>
        <v>95.774647887323937</v>
      </c>
      <c r="R24" s="13">
        <f>'1B'!R24/'1B'!R$28*100</f>
        <v>127.93764988009593</v>
      </c>
      <c r="S24" s="13">
        <f>'1B'!S24/'1B'!S$28*100</f>
        <v>129.88027402522567</v>
      </c>
      <c r="T24" s="13">
        <f>'1B'!T24/'1B'!T$28*100</f>
        <v>133.56694645913129</v>
      </c>
      <c r="U24" s="13">
        <f>'1B'!U24/'1B'!U$28*100</f>
        <v>128.11198397216216</v>
      </c>
      <c r="X24" s="3">
        <f t="shared" si="2"/>
        <v>1.6866241113479674</v>
      </c>
      <c r="Y24" s="3">
        <f t="shared" si="2"/>
        <v>1.7450225089339355</v>
      </c>
      <c r="Z24" s="3">
        <f t="shared" si="3"/>
        <v>-5.743286650391866</v>
      </c>
      <c r="AA24" s="3">
        <f t="shared" si="3"/>
        <v>2.1796338672768867</v>
      </c>
      <c r="AB24" s="3">
        <f t="shared" si="9"/>
        <v>3.0321499314337697</v>
      </c>
      <c r="AC24" s="3">
        <f t="shared" si="9"/>
        <v>-1.8268942797244891</v>
      </c>
      <c r="AD24" s="3">
        <f t="shared" si="9"/>
        <v>7.6224643458233432</v>
      </c>
      <c r="AE24" s="3">
        <v>2009</v>
      </c>
      <c r="AF24" s="3">
        <f>((B30/L30))*100</f>
        <v>103.45517441426438</v>
      </c>
      <c r="AG24" s="3">
        <f t="shared" si="10"/>
        <v>113.62348699459181</v>
      </c>
      <c r="AH24" s="3">
        <f t="shared" si="10"/>
        <v>99.256788947117684</v>
      </c>
      <c r="AI24" s="3">
        <f t="shared" si="11"/>
        <v>112.31657754010698</v>
      </c>
      <c r="AJ24" s="3">
        <f t="shared" si="11"/>
        <v>120.61595645825037</v>
      </c>
      <c r="AK24" s="3">
        <f t="shared" si="11"/>
        <v>107.8391959798995</v>
      </c>
      <c r="AN24" s="3">
        <v>2009</v>
      </c>
      <c r="AO24" s="3">
        <f t="shared" si="13"/>
        <v>2.2486948094035508</v>
      </c>
      <c r="AP24" s="3">
        <f t="shared" si="12"/>
        <v>-8.5830477319598035</v>
      </c>
      <c r="AQ24" s="3">
        <f t="shared" si="12"/>
        <v>1.5971867847597299</v>
      </c>
      <c r="AR24" s="3">
        <f t="shared" si="12"/>
        <v>2.360236356501888</v>
      </c>
      <c r="AS24" s="3">
        <f t="shared" si="12"/>
        <v>9.0641783500553963</v>
      </c>
      <c r="AT24" s="3">
        <f t="shared" si="12"/>
        <v>-1.3607256732929396</v>
      </c>
    </row>
    <row r="25" spans="1:46">
      <c r="A25" s="115">
        <v>2004</v>
      </c>
      <c r="B25" s="13">
        <f>'1B'!B25/'1B'!B$28*100</f>
        <v>85.656153788714278</v>
      </c>
      <c r="C25" s="13">
        <f>'1B'!C25/'1B'!C$28*100</f>
        <v>135.04570522021604</v>
      </c>
      <c r="D25" s="13">
        <f>'1B'!D25/'1B'!D$28*100</f>
        <v>158.33333333333331</v>
      </c>
      <c r="E25" s="13">
        <f>'1B'!E25/'1B'!E$28*100</f>
        <v>154.70559551383641</v>
      </c>
      <c r="F25" s="62" t="s">
        <v>10</v>
      </c>
      <c r="G25" s="62" t="s">
        <v>10</v>
      </c>
      <c r="H25" s="62" t="s">
        <v>10</v>
      </c>
      <c r="I25" s="13">
        <f>'1B'!I25/'1B'!I$28*100</f>
        <v>120.76637428772648</v>
      </c>
      <c r="J25" s="13">
        <f>'1B'!J25/'1B'!J$28*100</f>
        <v>134.13739711514955</v>
      </c>
      <c r="K25" s="13">
        <f>'1B'!K25/'1B'!K$28*100</f>
        <v>112.11578003901512</v>
      </c>
      <c r="L25" s="13">
        <f>'1B'!L25/'1B'!L$28*100</f>
        <v>93.946479241338125</v>
      </c>
      <c r="M25" s="13">
        <f>'1B'!M25/'1B'!M$28*100</f>
        <v>122.78839616227242</v>
      </c>
      <c r="N25" s="13">
        <f>'1B'!N25/'1B'!N$28*100</f>
        <v>129.84539969834088</v>
      </c>
      <c r="O25" s="13">
        <f>'1B'!O25/'1B'!O$28*100</f>
        <v>108.46641472631964</v>
      </c>
      <c r="P25" s="13">
        <f>'1B'!P25/'1B'!P$28*100</f>
        <v>104.72440944881889</v>
      </c>
      <c r="Q25" s="13">
        <f>'1B'!Q25/'1B'!Q$28*100</f>
        <v>96.009389671361504</v>
      </c>
      <c r="R25" s="13">
        <f>'1B'!R25/'1B'!R$28*100</f>
        <v>128.41726618705036</v>
      </c>
      <c r="S25" s="13">
        <f>'1B'!S25/'1B'!S$28*100</f>
        <v>129.11197899993596</v>
      </c>
      <c r="T25" s="13">
        <f>'1B'!T25/'1B'!T$28*100</f>
        <v>143.1097710048081</v>
      </c>
      <c r="U25" s="13">
        <f>'1B'!U25/'1B'!U$28*100</f>
        <v>119.81336004639638</v>
      </c>
      <c r="X25" s="3">
        <f t="shared" si="2"/>
        <v>2.6459974084652282</v>
      </c>
      <c r="Y25" s="3">
        <f t="shared" si="2"/>
        <v>-1.1479572442944064</v>
      </c>
      <c r="Z25" s="3">
        <f t="shared" si="3"/>
        <v>-6.1205016357688047</v>
      </c>
      <c r="AA25" s="3">
        <f t="shared" si="3"/>
        <v>-0.36952018364032613</v>
      </c>
      <c r="AB25" s="3">
        <f t="shared" si="9"/>
        <v>-0.5915409642117786</v>
      </c>
      <c r="AC25" s="3">
        <f t="shared" si="9"/>
        <v>7.144600366076892</v>
      </c>
      <c r="AD25" s="3">
        <f t="shared" si="9"/>
        <v>-6.4776328243960517</v>
      </c>
      <c r="AE25" s="3">
        <v>2010</v>
      </c>
      <c r="AF25" s="3">
        <f>((B31/L31))*100</f>
        <v>105.78156555137734</v>
      </c>
      <c r="AG25" s="3">
        <f t="shared" si="10"/>
        <v>103.87112887112886</v>
      </c>
      <c r="AH25" s="3">
        <f t="shared" si="10"/>
        <v>100.8421052631579</v>
      </c>
      <c r="AI25" s="3">
        <f t="shared" si="11"/>
        <v>114.96751423758722</v>
      </c>
      <c r="AJ25" s="3">
        <f t="shared" si="11"/>
        <v>131.54880187025134</v>
      </c>
      <c r="AK25" s="3">
        <f t="shared" si="11"/>
        <v>106.37180035432831</v>
      </c>
      <c r="AN25" s="3">
        <v>2010</v>
      </c>
      <c r="AO25" s="3">
        <f t="shared" si="13"/>
        <v>2.3639154230870263</v>
      </c>
      <c r="AP25" s="3">
        <f t="shared" si="12"/>
        <v>-2.5754992239155006</v>
      </c>
      <c r="AQ25" s="3">
        <f t="shared" si="12"/>
        <v>-5.5740804864353173</v>
      </c>
      <c r="AR25" s="3">
        <f t="shared" si="12"/>
        <v>-6.4872550620333147</v>
      </c>
      <c r="AS25" s="3">
        <f t="shared" si="12"/>
        <v>-10.760511857991073</v>
      </c>
      <c r="AT25" s="3">
        <f t="shared" si="12"/>
        <v>-3.8097478456398326</v>
      </c>
    </row>
    <row r="26" spans="1:46">
      <c r="A26" s="115">
        <v>2005</v>
      </c>
      <c r="B26" s="13">
        <f>'1B'!B26/'1B'!B$28*100</f>
        <v>89.307946477805359</v>
      </c>
      <c r="C26" s="62" t="s">
        <v>10</v>
      </c>
      <c r="D26" s="13">
        <f>'1B'!D26/'1B'!D$28*100</f>
        <v>163.68778280542989</v>
      </c>
      <c r="E26" s="13">
        <f>'1B'!E26/'1B'!E$28*100</f>
        <v>143.83762038278681</v>
      </c>
      <c r="F26" s="62" t="s">
        <v>10</v>
      </c>
      <c r="G26" s="62" t="s">
        <v>10</v>
      </c>
      <c r="H26" s="62" t="s">
        <v>10</v>
      </c>
      <c r="I26" s="62" t="s">
        <v>10</v>
      </c>
      <c r="J26" s="13">
        <f>'1B'!J26/'1B'!J$28*100</f>
        <v>121.2126151087931</v>
      </c>
      <c r="K26" s="13">
        <f>'1B'!K26/'1B'!K$28*100</f>
        <v>115.47951705593927</v>
      </c>
      <c r="L26" s="13">
        <f>'1B'!L26/'1B'!L$28*100</f>
        <v>96.483136459194938</v>
      </c>
      <c r="M26" s="13">
        <f>'1B'!M26/'1B'!M$28*100</f>
        <v>120.17639948628845</v>
      </c>
      <c r="N26" s="13">
        <f>'1B'!N26/'1B'!N$28*100</f>
        <v>136.0105580693816</v>
      </c>
      <c r="O26" s="13">
        <f>'1B'!O26/'1B'!O$28*100</f>
        <v>110.47787394855541</v>
      </c>
      <c r="P26" s="13">
        <f>'1B'!P26/'1B'!P$28*100</f>
        <v>115.2230971128609</v>
      </c>
      <c r="Q26" s="13">
        <f>'1B'!Q26/'1B'!Q$28*100</f>
        <v>110.56338028169014</v>
      </c>
      <c r="R26" s="13">
        <f>'1B'!R26/'1B'!R$28*100</f>
        <v>108.87290167865706</v>
      </c>
      <c r="S26" s="13">
        <f>'1B'!S26/'1B'!S$28*100</f>
        <v>122.5814712849734</v>
      </c>
      <c r="T26" s="13">
        <f>'1B'!T26/'1B'!T$28*100</f>
        <v>128.15581452204384</v>
      </c>
      <c r="U26" s="13">
        <f>'1B'!U26/'1B'!U$28*100</f>
        <v>118.86434333315759</v>
      </c>
      <c r="X26" s="3">
        <f t="shared" si="2"/>
        <v>2.7001088687319763</v>
      </c>
      <c r="Y26" s="3">
        <f t="shared" si="2"/>
        <v>-2.1272341341864731</v>
      </c>
      <c r="Z26" s="3">
        <f t="shared" si="3"/>
        <v>4.7480760853782389</v>
      </c>
      <c r="AA26" s="3">
        <f t="shared" si="3"/>
        <v>1.8544534981736582</v>
      </c>
      <c r="AB26" s="3">
        <f t="shared" si="9"/>
        <v>-5.0580184468908111</v>
      </c>
      <c r="AC26" s="3">
        <f t="shared" si="9"/>
        <v>-10.449291042651343</v>
      </c>
      <c r="AD26" s="3">
        <f t="shared" si="9"/>
        <v>-0.79207920792080388</v>
      </c>
      <c r="AE26" s="3">
        <v>2011</v>
      </c>
      <c r="AF26" s="3">
        <f>((B32/L32))*100</f>
        <v>108.28215229422926</v>
      </c>
      <c r="AG26" s="3">
        <f t="shared" si="10"/>
        <v>101.19592875318067</v>
      </c>
      <c r="AH26" s="3">
        <f t="shared" si="10"/>
        <v>95.221085151573661</v>
      </c>
      <c r="AI26" s="3">
        <f t="shared" si="11"/>
        <v>107.50927835051547</v>
      </c>
      <c r="AJ26" s="3">
        <f t="shared" si="11"/>
        <v>117.39347744595776</v>
      </c>
      <c r="AK26" s="3">
        <f t="shared" si="11"/>
        <v>102.31930298196099</v>
      </c>
      <c r="AN26" s="3" t="s">
        <v>28</v>
      </c>
      <c r="AO26" s="3">
        <f>((AF26/AF22)^(1/4)-1)*100</f>
        <v>2.009171397866516</v>
      </c>
      <c r="AP26" s="3">
        <f>((AG26/AG22)^(1/4)-1)*100</f>
        <v>0.29765061097766221</v>
      </c>
      <c r="AQ26" s="3">
        <f t="shared" ref="AQ26:AT26" si="14">((AH26/AH22)^(1/4)-1)*100</f>
        <v>-1.2167565678662395</v>
      </c>
      <c r="AR26" s="3">
        <f t="shared" si="14"/>
        <v>1.8266571620778604</v>
      </c>
      <c r="AS26" s="3">
        <f t="shared" si="14"/>
        <v>4.090475362508017</v>
      </c>
      <c r="AT26" s="3">
        <f t="shared" si="14"/>
        <v>0.57484993541008222</v>
      </c>
    </row>
    <row r="27" spans="1:46" ht="15.75" thickBot="1">
      <c r="A27" s="115">
        <v>2006</v>
      </c>
      <c r="B27" s="232">
        <f>'1B'!B27/'1B'!B$28*100</f>
        <v>93.25451187850382</v>
      </c>
      <c r="C27" s="78" t="s">
        <v>10</v>
      </c>
      <c r="D27" s="232">
        <f>'1B'!D27/'1B'!D$28*100</f>
        <v>137.2926093514329</v>
      </c>
      <c r="E27" s="232">
        <f>'1B'!E27/'1B'!E$28*100</f>
        <v>122.73558454224064</v>
      </c>
      <c r="F27" s="78" t="s">
        <v>10</v>
      </c>
      <c r="G27" s="78" t="s">
        <v>10</v>
      </c>
      <c r="H27" s="78" t="s">
        <v>10</v>
      </c>
      <c r="I27" s="78" t="s">
        <v>10</v>
      </c>
      <c r="J27" s="232">
        <f>'1B'!J27/'1B'!J$28*100</f>
        <v>108.57305843044578</v>
      </c>
      <c r="K27" s="232">
        <f>'1B'!K27/'1B'!K$28*100</f>
        <v>109.39526546106396</v>
      </c>
      <c r="L27" s="13">
        <f>'1B'!L27/'1B'!L$28*100</f>
        <v>98.475787065756819</v>
      </c>
      <c r="M27" s="13">
        <f>'1B'!M27/'1B'!M$28*100</f>
        <v>108.60089144065877</v>
      </c>
      <c r="N27" s="13">
        <f>'1B'!N27/'1B'!N$28*100</f>
        <v>115.91251885369532</v>
      </c>
      <c r="O27" s="13">
        <f>'1B'!O27/'1B'!O$28*100</f>
        <v>111.87980007314397</v>
      </c>
      <c r="P27" s="13">
        <f>'1B'!P27/'1B'!P$28*100</f>
        <v>119.68503937007875</v>
      </c>
      <c r="Q27" s="13">
        <f>'1B'!Q27/'1B'!Q$28*100</f>
        <v>114.55399061032865</v>
      </c>
      <c r="R27" s="13">
        <f>'1B'!R27/'1B'!R$28*100</f>
        <v>106.35491606714629</v>
      </c>
      <c r="S27" s="13">
        <f>'1B'!S27/'1B'!S$28*100</f>
        <v>105.63736474806325</v>
      </c>
      <c r="T27" s="13">
        <f>'1B'!T27/'1B'!T$28*100</f>
        <v>101.77654632874258</v>
      </c>
      <c r="U27" s="13">
        <f>'1B'!U27/'1B'!U$28*100</f>
        <v>108.20899456951547</v>
      </c>
      <c r="X27" s="3">
        <f t="shared" si="2"/>
        <v>2.0652838202504187</v>
      </c>
      <c r="Y27" s="3">
        <f t="shared" si="2"/>
        <v>-9.6320975625088341</v>
      </c>
      <c r="Z27" s="3">
        <f t="shared" si="3"/>
        <v>-14.776822844469095</v>
      </c>
      <c r="AA27" s="3">
        <f t="shared" si="3"/>
        <v>1.2689655172413605</v>
      </c>
      <c r="AB27" s="3">
        <f t="shared" si="9"/>
        <v>-13.822730596469224</v>
      </c>
      <c r="AC27" s="3">
        <f t="shared" si="9"/>
        <v>-20.583746661579539</v>
      </c>
      <c r="AD27" s="3">
        <f t="shared" si="9"/>
        <v>-8.964293634952325</v>
      </c>
    </row>
    <row r="28" spans="1:46">
      <c r="A28" s="115">
        <v>2007</v>
      </c>
      <c r="B28" s="13">
        <f>'1B'!B28/'1B'!B$28*100</f>
        <v>100</v>
      </c>
      <c r="C28" s="13">
        <f>'1B'!C28/'1B'!C$28*100</f>
        <v>100</v>
      </c>
      <c r="D28" s="13">
        <f>'1B'!D28/'1B'!D$28*100</f>
        <v>100</v>
      </c>
      <c r="E28" s="13">
        <f>'1B'!E28/'1B'!E$28*100</f>
        <v>100</v>
      </c>
      <c r="F28" s="13">
        <f>'1B'!F28/'1B'!F$28*100</f>
        <v>100</v>
      </c>
      <c r="G28" s="13">
        <f>'1B'!G28/'1B'!G$28*100</f>
        <v>100</v>
      </c>
      <c r="H28" s="13">
        <f>'1B'!H28/'1B'!H$28*100</f>
        <v>100</v>
      </c>
      <c r="I28" s="13">
        <f>'1B'!I28/'1B'!I$28*100</f>
        <v>100</v>
      </c>
      <c r="J28" s="13">
        <f>'1B'!J28/'1B'!J$28*100</f>
        <v>100</v>
      </c>
      <c r="K28" s="13">
        <f>'1B'!K28/'1B'!K$28*100</f>
        <v>100</v>
      </c>
      <c r="L28" s="13">
        <f>'1B'!L28/'1B'!L$28*100</f>
        <v>100</v>
      </c>
      <c r="M28" s="13">
        <f>'1B'!M28/'1B'!M$28*100</f>
        <v>100</v>
      </c>
      <c r="N28" s="13">
        <f>'1B'!N28/'1B'!N$28*100</f>
        <v>100</v>
      </c>
      <c r="O28" s="13">
        <f>'1B'!O28/'1B'!O$28*100</f>
        <v>100</v>
      </c>
      <c r="P28" s="13">
        <f>'1B'!P28/'1B'!P$28*100</f>
        <v>100</v>
      </c>
      <c r="Q28" s="13">
        <f>'1B'!Q28/'1B'!Q$28*100</f>
        <v>100</v>
      </c>
      <c r="R28" s="13">
        <f>'1B'!R28/'1B'!R$28*100</f>
        <v>100</v>
      </c>
      <c r="S28" s="13">
        <f>'1B'!S28/'1B'!S$28*100</f>
        <v>100</v>
      </c>
      <c r="T28" s="13">
        <f>'1B'!T28/'1B'!T$28*100</f>
        <v>100</v>
      </c>
      <c r="U28" s="13">
        <f>'1B'!U28/'1B'!U$28*100</f>
        <v>100</v>
      </c>
      <c r="X28" s="3">
        <f t="shared" si="2"/>
        <v>1.5478047748177959</v>
      </c>
      <c r="Y28" s="3">
        <f t="shared" si="2"/>
        <v>-7.9197245313206599</v>
      </c>
      <c r="Z28" s="3">
        <f t="shared" si="3"/>
        <v>-13.728041639557576</v>
      </c>
      <c r="AA28" s="3">
        <f t="shared" si="3"/>
        <v>-10.61836011985835</v>
      </c>
      <c r="AB28" s="3">
        <f t="shared" si="9"/>
        <v>-5.3365253492529963</v>
      </c>
      <c r="AC28" s="3">
        <f t="shared" si="9"/>
        <v>-1.7455360717431478</v>
      </c>
      <c r="AD28" s="3">
        <f t="shared" si="9"/>
        <v>-7.5862404989280758</v>
      </c>
      <c r="AF28" s="4" t="s">
        <v>31</v>
      </c>
    </row>
    <row r="29" spans="1:46">
      <c r="A29" s="115">
        <v>2008</v>
      </c>
      <c r="B29" s="13">
        <f>'1B'!B29/'1B'!B$28*100</f>
        <v>101.66359364948075</v>
      </c>
      <c r="C29" s="13">
        <f>'1B'!C29/'1B'!C$28*100</f>
        <v>91.161139230943562</v>
      </c>
      <c r="D29" s="13">
        <f>'1B'!D29/'1B'!D$28*100</f>
        <v>96.116138763197583</v>
      </c>
      <c r="E29" s="13">
        <f>'1B'!E29/'1B'!E$28*100</f>
        <v>84.389857369255154</v>
      </c>
      <c r="F29" s="13">
        <f>'1B'!F29/'1B'!F$28*100</f>
        <v>71.916010498687669</v>
      </c>
      <c r="G29" s="13">
        <f>'1B'!G29/'1B'!G$28*100</f>
        <v>80.281690140845072</v>
      </c>
      <c r="H29" s="13">
        <f>'1B'!H29/'1B'!H$28*100</f>
        <v>92.086330935251809</v>
      </c>
      <c r="I29" s="13">
        <f>'1B'!I29/'1B'!I$28*100</f>
        <v>93.876048402586591</v>
      </c>
      <c r="J29" s="13">
        <f>'1B'!J29/'1B'!J$28*100</f>
        <v>92.551544291418807</v>
      </c>
      <c r="K29" s="13">
        <f>'1B'!K29/'1B'!K$28*100</f>
        <v>94.732957241524758</v>
      </c>
      <c r="L29" s="13">
        <f>'1B'!L29/'1B'!L$28*100</f>
        <v>99.840533383880171</v>
      </c>
      <c r="M29" s="13">
        <f>'1B'!M29/'1B'!M$28*100</f>
        <v>91.960036261992911</v>
      </c>
      <c r="N29" s="13">
        <f>'1B'!N29/'1B'!N$28*100</f>
        <v>93.891402714932127</v>
      </c>
      <c r="O29" s="13">
        <f>'1B'!O29/'1B'!O$28*100</f>
        <v>88.351822503961969</v>
      </c>
      <c r="P29" s="13">
        <f>'1B'!P29/'1B'!P$28*100</f>
        <v>83.202099737532805</v>
      </c>
      <c r="Q29" s="13">
        <f>'1B'!Q29/'1B'!Q$28*100</f>
        <v>88.732394366197184</v>
      </c>
      <c r="R29" s="13">
        <f>'1B'!R29/'1B'!R$28*100</f>
        <v>90.287769784172667</v>
      </c>
      <c r="S29" s="13">
        <f>'1B'!S29/'1B'!S$28*100</f>
        <v>93.527114411934178</v>
      </c>
      <c r="T29" s="13">
        <f>'1B'!T29/'1B'!T$28*100</f>
        <v>94.409583571021116</v>
      </c>
      <c r="U29" s="13">
        <f>'1B'!U29/'1B'!U$28*100</f>
        <v>92.972004006959466</v>
      </c>
      <c r="X29" s="3">
        <f t="shared" si="2"/>
        <v>-0.15946661611982993</v>
      </c>
      <c r="Y29" s="3">
        <f t="shared" si="2"/>
        <v>-8.0399637380070832</v>
      </c>
      <c r="Z29" s="3">
        <f t="shared" si="3"/>
        <v>-6.1085972850678738</v>
      </c>
      <c r="AA29" s="3">
        <f t="shared" si="3"/>
        <v>-11.648177496038025</v>
      </c>
      <c r="AB29" s="3">
        <f t="shared" si="9"/>
        <v>-6.4728855880658243</v>
      </c>
      <c r="AC29" s="3">
        <f t="shared" si="9"/>
        <v>-5.5904164289788838</v>
      </c>
      <c r="AD29" s="3">
        <f t="shared" si="9"/>
        <v>-7.0279959930405367</v>
      </c>
      <c r="AF29" s="3" t="s">
        <v>2</v>
      </c>
      <c r="AG29" s="3" t="s">
        <v>23</v>
      </c>
      <c r="AH29" s="3" t="s">
        <v>3</v>
      </c>
      <c r="AI29" s="3" t="s">
        <v>4</v>
      </c>
      <c r="AJ29" s="3" t="s">
        <v>5</v>
      </c>
      <c r="AK29" s="3" t="s">
        <v>6</v>
      </c>
      <c r="AL29" s="3" t="s">
        <v>7</v>
      </c>
    </row>
    <row r="30" spans="1:46">
      <c r="A30" s="115">
        <v>2009</v>
      </c>
      <c r="B30" s="13">
        <f>'1B'!B30/'1B'!B$28*100</f>
        <v>99.998653759994482</v>
      </c>
      <c r="C30" s="13">
        <f>'1B'!C30/'1B'!C$28*100</f>
        <v>77.591221575885768</v>
      </c>
      <c r="D30" s="13">
        <f>'1B'!D30/'1B'!D$28*100</f>
        <v>83.182503770739075</v>
      </c>
      <c r="E30" s="13">
        <f>'1B'!E30/'1B'!E$28*100</f>
        <v>63.495062781909063</v>
      </c>
      <c r="F30" s="13">
        <f>'1B'!F30/'1B'!F$28*100</f>
        <v>46.45669291338583</v>
      </c>
      <c r="G30" s="13">
        <f>'1B'!G30/'1B'!G$28*100</f>
        <v>59.389671361502351</v>
      </c>
      <c r="H30" s="13">
        <f>'1B'!H30/'1B'!H$28*100</f>
        <v>73.381294964028783</v>
      </c>
      <c r="I30" s="13">
        <f>'1B'!I30/'1B'!I$28*100</f>
        <v>84.045073308150336</v>
      </c>
      <c r="J30" s="13">
        <f>'1B'!J30/'1B'!J$28*100</f>
        <v>74.044495151169428</v>
      </c>
      <c r="K30" s="13">
        <f>'1B'!K30/'1B'!K$28*100</f>
        <v>90.515105182685716</v>
      </c>
      <c r="L30" s="13">
        <f>'1B'!L30/'1B'!L$28*100</f>
        <v>96.658919504181611</v>
      </c>
      <c r="M30" s="13">
        <f>'1B'!M30/'1B'!M$28*100</f>
        <v>71.302032182518687</v>
      </c>
      <c r="N30" s="13">
        <f>'1B'!N30/'1B'!N$28*100</f>
        <v>73.208898944193066</v>
      </c>
      <c r="O30" s="13">
        <f>'1B'!O30/'1B'!O$28*100</f>
        <v>63.970498598073874</v>
      </c>
      <c r="P30" s="13">
        <f>'1B'!P30/'1B'!P$28*100</f>
        <v>55.118110236220474</v>
      </c>
      <c r="Q30" s="13">
        <f>'1B'!Q30/'1B'!Q$28*100</f>
        <v>71.126760563380287</v>
      </c>
      <c r="R30" s="13">
        <f>'1B'!R30/'1B'!R$28*100</f>
        <v>64.388489208633089</v>
      </c>
      <c r="S30" s="13">
        <f>'1B'!S30/'1B'!S$28*100</f>
        <v>74.828734233945823</v>
      </c>
      <c r="T30" s="13">
        <f>'1B'!T30/'1B'!T$28*100</f>
        <v>61.388639882650153</v>
      </c>
      <c r="U30" s="13">
        <f>'1B'!U30/'1B'!U$28*100</f>
        <v>83.935255970896819</v>
      </c>
      <c r="X30" s="3">
        <f t="shared" si="2"/>
        <v>-3.1866955953304688</v>
      </c>
      <c r="Y30" s="3">
        <f t="shared" si="2"/>
        <v>-22.464110410548177</v>
      </c>
      <c r="Z30" s="3">
        <f t="shared" si="3"/>
        <v>-22.028112449799199</v>
      </c>
      <c r="AA30" s="3">
        <f t="shared" si="3"/>
        <v>-27.595722662987242</v>
      </c>
      <c r="AB30" s="3">
        <f t="shared" si="9"/>
        <v>-19.992469879518083</v>
      </c>
      <c r="AC30" s="3">
        <f t="shared" si="9"/>
        <v>-34.976262408286587</v>
      </c>
      <c r="AD30" s="3">
        <f t="shared" si="9"/>
        <v>-9.7198593625949954</v>
      </c>
      <c r="AE30" s="3">
        <v>1984</v>
      </c>
      <c r="AF30" s="3">
        <f t="shared" ref="AF30:AF34" si="15">(L5/$L$21)*100</f>
        <v>59.086956731995684</v>
      </c>
      <c r="AG30" s="3">
        <f>(M5/$M$21)*100</f>
        <v>78.248236354116628</v>
      </c>
      <c r="AH30" s="3">
        <f t="shared" ref="AH30:AH34" si="16">(N5/$N$21)*100</f>
        <v>46.993722251840389</v>
      </c>
      <c r="AI30" s="3">
        <f>(O5/$O$21)*100</f>
        <v>65.724572557938842</v>
      </c>
      <c r="AJ30" s="3">
        <f t="shared" ref="AJ30:AJ34" si="17">(S5/$S$21)*100</f>
        <v>90.175619903200328</v>
      </c>
      <c r="AK30" s="3">
        <f t="shared" ref="AK30:AK34" si="18">(T5/$T$21)*100</f>
        <v>105.01846912572069</v>
      </c>
      <c r="AL30" s="3">
        <f t="shared" ref="AL30:AL34" si="19">(U5/$U$21)*100</f>
        <v>82.577105230521198</v>
      </c>
    </row>
    <row r="31" spans="1:46">
      <c r="A31" s="115">
        <v>2010</v>
      </c>
      <c r="B31" s="13">
        <f>'1B'!B31/'1B'!B$28*100</f>
        <v>105.75391953290139</v>
      </c>
      <c r="C31" s="13">
        <f>'1B'!C31/'1B'!C$28*100</f>
        <v>82.801994409609421</v>
      </c>
      <c r="D31" s="13">
        <f>'1B'!D31/'1B'!D$28*100</f>
        <v>78.412518853695317</v>
      </c>
      <c r="E31" s="13">
        <f>'1B'!E31/'1B'!E$28*100</f>
        <v>67.152261367792278</v>
      </c>
      <c r="F31" s="13">
        <f>'1B'!F31/'1B'!F$28*100</f>
        <v>50.918635170603679</v>
      </c>
      <c r="G31" s="13">
        <f>'1B'!G31/'1B'!G$28*100</f>
        <v>59.624413145539904</v>
      </c>
      <c r="H31" s="13">
        <f>'1B'!H31/'1B'!H$28*100</f>
        <v>78.417266187050359</v>
      </c>
      <c r="I31" s="13">
        <f>'1B'!I31/'1B'!I$28*100</f>
        <v>91.766438312311919</v>
      </c>
      <c r="J31" s="13">
        <f>'1B'!J31/'1B'!J$28*100</f>
        <v>91.712166897563378</v>
      </c>
      <c r="K31" s="13">
        <f>'1B'!K31/'1B'!K$28*100</f>
        <v>91.801550060631627</v>
      </c>
      <c r="L31" s="13">
        <f>'1B'!L31/'1B'!L$28*100</f>
        <v>99.973864994026286</v>
      </c>
      <c r="M31" s="13">
        <f>'1B'!M31/'1B'!M$28*100</f>
        <v>75.287074110447989</v>
      </c>
      <c r="N31" s="13">
        <f>'1B'!N31/'1B'!N$28*100</f>
        <v>75.490196078431367</v>
      </c>
      <c r="O31" s="13">
        <f>'1B'!O31/'1B'!O$28*100</f>
        <v>66.591490917956847</v>
      </c>
      <c r="P31" s="13">
        <f>'1B'!P31/'1B'!P$28*100</f>
        <v>53.805774278215225</v>
      </c>
      <c r="Q31" s="13">
        <f>'1B'!Q31/'1B'!Q$28*100</f>
        <v>75.352112676056336</v>
      </c>
      <c r="R31" s="13">
        <f>'1B'!R31/'1B'!R$28*100</f>
        <v>67.745803357314145</v>
      </c>
      <c r="S31" s="13">
        <f>'1B'!S31/'1B'!S$28*100</f>
        <v>79.81945066905692</v>
      </c>
      <c r="T31" s="13">
        <f>'1B'!T31/'1B'!T$28*100</f>
        <v>69.71721946051666</v>
      </c>
      <c r="U31" s="13">
        <f>'1B'!U31/'1B'!U$28*100</f>
        <v>86.302525438920227</v>
      </c>
      <c r="X31" s="3">
        <f t="shared" si="2"/>
        <v>3.4295288079454034</v>
      </c>
      <c r="Y31" s="3">
        <f t="shared" si="2"/>
        <v>5.5889598177628397</v>
      </c>
      <c r="Z31" s="3">
        <f t="shared" si="3"/>
        <v>3.116147308781847</v>
      </c>
      <c r="AA31" s="3">
        <f t="shared" si="3"/>
        <v>4.0971891376846203</v>
      </c>
      <c r="AB31" s="3">
        <f t="shared" si="9"/>
        <v>6.6695187165775494</v>
      </c>
      <c r="AC31" s="3">
        <f t="shared" si="9"/>
        <v>13.566971989911035</v>
      </c>
      <c r="AD31" s="3">
        <f t="shared" si="9"/>
        <v>2.8203517587939597</v>
      </c>
      <c r="AE31" s="3">
        <v>1985</v>
      </c>
      <c r="AF31" s="3">
        <f t="shared" si="15"/>
        <v>62.264465886639911</v>
      </c>
      <c r="AG31" s="3">
        <f>(M6/$M$21)*100</f>
        <v>73.587056119147334</v>
      </c>
      <c r="AH31" s="3">
        <f t="shared" si="16"/>
        <v>49.383233552781419</v>
      </c>
      <c r="AI31" s="3">
        <f>(O6/$O$21)*100</f>
        <v>56.671287936656853</v>
      </c>
      <c r="AJ31" s="3">
        <f t="shared" si="17"/>
        <v>85.822038191605259</v>
      </c>
      <c r="AK31" s="3">
        <f t="shared" si="18"/>
        <v>98.451257565768174</v>
      </c>
      <c r="AL31" s="3">
        <f t="shared" si="19"/>
        <v>80.037903450841782</v>
      </c>
    </row>
    <row r="32" spans="1:46">
      <c r="A32" s="115">
        <v>2011</v>
      </c>
      <c r="B32" s="13">
        <f>'1B'!B32/'1B'!B$28*100</f>
        <v>110.88670187712528</v>
      </c>
      <c r="C32" s="13">
        <f>'1B'!C32/'1B'!C$28*100</f>
        <v>75.377729092694707</v>
      </c>
      <c r="D32" s="13">
        <f>'1B'!D32/'1B'!D$28*100</f>
        <v>74.981146304675718</v>
      </c>
      <c r="E32" s="13">
        <f>'1B'!E32/'1B'!E$28*100</f>
        <v>60.118249420943556</v>
      </c>
      <c r="F32" s="13">
        <f>'1B'!F32/'1B'!F$28*100</f>
        <v>45.14435695538058</v>
      </c>
      <c r="G32" s="13">
        <f>'1B'!G32/'1B'!G$28*100</f>
        <v>50.469483568075113</v>
      </c>
      <c r="H32" s="13">
        <f>'1B'!H32/'1B'!H$28*100</f>
        <v>71.822541966426854</v>
      </c>
      <c r="I32" s="13">
        <f>'1B'!I32/'1B'!I$28*100</f>
        <v>83.459248351366924</v>
      </c>
      <c r="J32" s="13">
        <f>'1B'!J32/'1B'!J$28*100</f>
        <v>76.562627332735715</v>
      </c>
      <c r="K32" s="13">
        <f>'1B'!K32/'1B'!K$28*100</f>
        <v>87.921126166499704</v>
      </c>
      <c r="L32" s="13">
        <f>'1B'!L32/'1B'!L$28*100</f>
        <v>102.40533599278561</v>
      </c>
      <c r="M32" s="13">
        <f>'1B'!M32/'1B'!M$28*100</f>
        <v>72.784618871345472</v>
      </c>
      <c r="N32" s="13">
        <f>'1B'!N32/'1B'!N$28*100</f>
        <v>74.095022624434392</v>
      </c>
      <c r="O32" s="13">
        <f>'1B'!O32/'1B'!O$28*100</f>
        <v>63.135438254297206</v>
      </c>
      <c r="P32" s="13">
        <f>'1B'!P32/'1B'!P$28*100</f>
        <v>49.606299212598429</v>
      </c>
      <c r="Q32" s="13">
        <f>'1B'!Q32/'1B'!Q$28*100</f>
        <v>70.187793427230048</v>
      </c>
      <c r="R32" s="13">
        <f>'1B'!R32/'1B'!R$28*100</f>
        <v>65.227817745803364</v>
      </c>
      <c r="S32" s="13">
        <f>'1B'!S32/'1B'!S$28*100</f>
        <v>77.629809846981232</v>
      </c>
      <c r="T32" s="13">
        <f>'1B'!T32/'1B'!T$28*100</f>
        <v>65.218808573058425</v>
      </c>
      <c r="U32" s="13">
        <f>'1B'!U32/'1B'!U$28*100</f>
        <v>85.928191068698254</v>
      </c>
      <c r="X32" s="3">
        <f t="shared" si="2"/>
        <v>2.4321066299723526</v>
      </c>
      <c r="Y32" s="3">
        <f t="shared" si="2"/>
        <v>-3.3238843037403099</v>
      </c>
      <c r="Z32" s="3">
        <f t="shared" si="3"/>
        <v>-1.8481518481518355</v>
      </c>
      <c r="AA32" s="3">
        <f t="shared" si="3"/>
        <v>-5.1899313501144189</v>
      </c>
      <c r="AB32" s="3">
        <f t="shared" si="9"/>
        <v>-2.7432421593005629</v>
      </c>
      <c r="AC32" s="3">
        <f t="shared" si="9"/>
        <v>-6.4523670368205721</v>
      </c>
      <c r="AD32" s="3">
        <f t="shared" si="9"/>
        <v>-0.43374671635408868</v>
      </c>
      <c r="AE32" s="3">
        <v>1986</v>
      </c>
      <c r="AF32" s="3">
        <f t="shared" si="15"/>
        <v>65.08702088841666</v>
      </c>
      <c r="AH32" s="3">
        <f t="shared" si="16"/>
        <v>47.812594421006267</v>
      </c>
      <c r="AJ32" s="3">
        <f t="shared" si="17"/>
        <v>87.877763075355873</v>
      </c>
      <c r="AK32" s="3">
        <f t="shared" si="18"/>
        <v>103.07019636293478</v>
      </c>
      <c r="AL32" s="3">
        <f t="shared" si="19"/>
        <v>79.769130003410538</v>
      </c>
    </row>
    <row r="33" spans="1:47">
      <c r="A33" s="115">
        <v>2012</v>
      </c>
      <c r="B33" s="8" t="s">
        <v>10</v>
      </c>
      <c r="C33" s="10" t="s">
        <v>10</v>
      </c>
      <c r="D33" s="8" t="s">
        <v>10</v>
      </c>
      <c r="E33" s="8" t="s">
        <v>10</v>
      </c>
      <c r="F33" s="128" t="s">
        <v>10</v>
      </c>
      <c r="G33" s="128" t="s">
        <v>10</v>
      </c>
      <c r="H33" s="128" t="s">
        <v>10</v>
      </c>
      <c r="I33" s="8" t="s">
        <v>10</v>
      </c>
      <c r="J33" s="8" t="s">
        <v>10</v>
      </c>
      <c r="K33" s="8" t="s">
        <v>10</v>
      </c>
      <c r="L33" s="13">
        <f>'1B'!L33/'1B'!L$28*100</f>
        <v>104.04358443042921</v>
      </c>
      <c r="M33" s="13">
        <f>'1B'!M33/'1B'!M$28*100</f>
        <v>71.413462264863654</v>
      </c>
      <c r="N33" s="13">
        <f>'1B'!N33/'1B'!N$28*100</f>
        <v>63.914027149321271</v>
      </c>
      <c r="O33" s="13">
        <f>'1B'!O33/'1B'!O$28*100</f>
        <v>67.103498719980507</v>
      </c>
      <c r="P33" s="13">
        <f>'1B'!P33/'1B'!P$28*100</f>
        <v>48.293963254593173</v>
      </c>
      <c r="Q33" s="13">
        <f>'1B'!Q33/'1B'!Q$28*100</f>
        <v>77.230046948356815</v>
      </c>
      <c r="R33" s="13">
        <f>'1B'!R33/'1B'!R$28*100</f>
        <v>70.143884892086334</v>
      </c>
      <c r="S33" s="13">
        <f>'1B'!S33/'1B'!S$28*100</f>
        <v>74.950380946283374</v>
      </c>
      <c r="T33" s="13">
        <f>'1B'!T33/'1B'!T$28*100</f>
        <v>54.274305272593928</v>
      </c>
      <c r="U33" s="13">
        <f>'1B'!U33/'1B'!U$28*100</f>
        <v>89.381557441872715</v>
      </c>
      <c r="X33" s="3">
        <f t="shared" si="2"/>
        <v>1.599768627055731</v>
      </c>
      <c r="Y33" s="3">
        <f t="shared" si="2"/>
        <v>-1.8838548964658086</v>
      </c>
      <c r="Z33" s="3">
        <f t="shared" si="3"/>
        <v>-13.740458015267176</v>
      </c>
      <c r="AA33" s="3">
        <f t="shared" si="3"/>
        <v>6.2849971036879948</v>
      </c>
      <c r="AB33" s="3">
        <f t="shared" si="9"/>
        <v>-3.4515463917525691</v>
      </c>
      <c r="AC33" s="3">
        <f t="shared" si="9"/>
        <v>-16.781207047357228</v>
      </c>
      <c r="AD33" s="3">
        <f t="shared" si="9"/>
        <v>4.0188980242974681</v>
      </c>
      <c r="AE33" s="3">
        <v>1987</v>
      </c>
      <c r="AF33" s="3">
        <f t="shared" si="15"/>
        <v>68.450672548279897</v>
      </c>
      <c r="AG33" s="3">
        <f>(M8/$M$21)*100</f>
        <v>76.572728836033235</v>
      </c>
      <c r="AH33" s="3">
        <f t="shared" si="16"/>
        <v>49.608609026253824</v>
      </c>
      <c r="AI33" s="3">
        <f>(O8/$O$21)*100</f>
        <v>56.433953700942517</v>
      </c>
      <c r="AJ33" s="3">
        <f t="shared" si="17"/>
        <v>90.740547471036521</v>
      </c>
      <c r="AK33" s="3">
        <f t="shared" si="18"/>
        <v>108.93252721545237</v>
      </c>
      <c r="AL33" s="3">
        <f t="shared" si="19"/>
        <v>79.945954639878465</v>
      </c>
    </row>
    <row r="34" spans="1:47">
      <c r="A34" s="115">
        <v>2013</v>
      </c>
      <c r="B34" s="8" t="s">
        <v>10</v>
      </c>
      <c r="C34" s="10" t="s">
        <v>10</v>
      </c>
      <c r="D34" s="8" t="s">
        <v>10</v>
      </c>
      <c r="E34" s="8" t="s">
        <v>10</v>
      </c>
      <c r="F34" s="128" t="s">
        <v>10</v>
      </c>
      <c r="G34" s="128" t="s">
        <v>10</v>
      </c>
      <c r="H34" s="128" t="s">
        <v>10</v>
      </c>
      <c r="I34" s="8" t="s">
        <v>10</v>
      </c>
      <c r="J34" s="8" t="s">
        <v>10</v>
      </c>
      <c r="K34" s="8" t="s">
        <v>10</v>
      </c>
      <c r="L34" s="13">
        <f>'1B'!L34/'1B'!L$28*100</f>
        <v>105.34310093281869</v>
      </c>
      <c r="M34" s="13">
        <f>'1B'!M34/'1B'!M$28*100</f>
        <v>71.234040945833641</v>
      </c>
      <c r="N34" s="13">
        <f>'1B'!N34/'1B'!N$28*100</f>
        <v>71.003016591251892</v>
      </c>
      <c r="O34" s="13">
        <f>'1B'!O34/'1B'!O$28*100</f>
        <v>70.126782884310629</v>
      </c>
      <c r="P34" s="13">
        <f>'1B'!P34/'1B'!P$28*100</f>
        <v>51.706036745406827</v>
      </c>
      <c r="Q34" s="13">
        <f>'1B'!Q34/'1B'!Q$28*100</f>
        <v>87.323943661971825</v>
      </c>
      <c r="R34" s="13">
        <f>'1B'!R34/'1B'!R$28*100</f>
        <v>70.26378896882494</v>
      </c>
      <c r="S34" s="13">
        <f>'1B'!S34/'1B'!S$28*100</f>
        <v>71.854792240220235</v>
      </c>
      <c r="T34" s="13">
        <f>'1B'!T34/'1B'!T$28*100</f>
        <v>56.295330453915739</v>
      </c>
      <c r="U34" s="13">
        <f>'1B'!U34/'1B'!U$28*100</f>
        <v>82.564454051774135</v>
      </c>
      <c r="X34" s="3">
        <f t="shared" si="2"/>
        <v>1.2490116613181668</v>
      </c>
      <c r="Y34" s="3">
        <f t="shared" si="2"/>
        <v>-0.2512429916428971</v>
      </c>
      <c r="Z34" s="3">
        <f t="shared" si="3"/>
        <v>11.091445427728619</v>
      </c>
      <c r="AA34" s="3">
        <f t="shared" si="3"/>
        <v>4.5054046689072536</v>
      </c>
      <c r="AB34" s="3">
        <f t="shared" si="9"/>
        <v>-4.1301840857643324</v>
      </c>
      <c r="AC34" s="3">
        <f t="shared" si="9"/>
        <v>3.7237237237237153</v>
      </c>
      <c r="AD34" s="3">
        <f t="shared" si="9"/>
        <v>-7.6269686781100576</v>
      </c>
      <c r="AE34" s="3">
        <v>1988</v>
      </c>
      <c r="AF34" s="3">
        <f t="shared" si="15"/>
        <v>72.123298534802842</v>
      </c>
      <c r="AH34" s="3">
        <f t="shared" si="16"/>
        <v>50.261469966666915</v>
      </c>
      <c r="AJ34" s="3">
        <f t="shared" si="17"/>
        <v>91.593940797076698</v>
      </c>
      <c r="AK34" s="3">
        <f t="shared" si="18"/>
        <v>109.05949330561147</v>
      </c>
      <c r="AL34" s="3">
        <f t="shared" si="19"/>
        <v>81.565668309924661</v>
      </c>
    </row>
    <row r="35" spans="1:47">
      <c r="A35" s="115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47" ht="15" customHeight="1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31"/>
      <c r="AE36" s="3">
        <v>1989</v>
      </c>
      <c r="AF36" s="3">
        <f t="shared" ref="AF36" si="20">(L10/$L$21)*100</f>
        <v>74.343416758695085</v>
      </c>
      <c r="AH36" s="3">
        <f t="shared" ref="AH36" si="21">(N10/$N$21)*100</f>
        <v>55.339777877925997</v>
      </c>
      <c r="AJ36" s="3">
        <f t="shared" ref="AJ36" si="22">(S10/$S$21)*100</f>
        <v>96.46084610036452</v>
      </c>
      <c r="AK36" s="3">
        <f t="shared" ref="AK36" si="23">(T10/$T$21)*100</f>
        <v>116.8569624977951</v>
      </c>
      <c r="AL36" s="3">
        <f>(U10/$U$21)*100</f>
        <v>83.963410380429721</v>
      </c>
    </row>
    <row r="37" spans="1:47" ht="30" customHeight="1">
      <c r="A37" s="115" t="s">
        <v>29</v>
      </c>
      <c r="B37" s="7">
        <f>((B21/B5)^(1/16)-1)*100</f>
        <v>6.0801569302727287</v>
      </c>
      <c r="C37" s="7">
        <f>((C21/C5)^(1/16)-1)*100</f>
        <v>5.6961179267303486</v>
      </c>
      <c r="D37" s="7">
        <f>((D21/D5)^(1/16)-1)*100</f>
        <v>3.8938977495877269</v>
      </c>
      <c r="E37" s="7">
        <f t="shared" ref="E37:M37" si="24">((E21/E5)^(1/16)-1)*100</f>
        <v>9.081222002522459</v>
      </c>
      <c r="F37" s="128" t="s">
        <v>10</v>
      </c>
      <c r="G37" s="128" t="s">
        <v>10</v>
      </c>
      <c r="H37" s="128" t="s">
        <v>10</v>
      </c>
      <c r="I37" s="7">
        <f t="shared" si="24"/>
        <v>4.8175600996605894</v>
      </c>
      <c r="J37" s="7">
        <f t="shared" si="24"/>
        <v>4.542457037139469</v>
      </c>
      <c r="K37" s="7">
        <f t="shared" si="24"/>
        <v>5.3020228850464868</v>
      </c>
      <c r="L37" s="7">
        <f t="shared" si="24"/>
        <v>3.3431686743365496</v>
      </c>
      <c r="M37" s="7">
        <f t="shared" si="24"/>
        <v>1.5448354431330635</v>
      </c>
      <c r="N37" s="7">
        <f>((N21/N5)^(1/16)-1)*100</f>
        <v>4.8328782171795703</v>
      </c>
      <c r="O37" s="7">
        <f t="shared" ref="O37:U37" si="25">((O21/O5)^(1/16)-1)*100</f>
        <v>2.657814523915869</v>
      </c>
      <c r="P37" s="128" t="s">
        <v>10</v>
      </c>
      <c r="Q37" s="128" t="s">
        <v>10</v>
      </c>
      <c r="R37" s="128" t="s">
        <v>10</v>
      </c>
      <c r="S37" s="7">
        <f t="shared" si="25"/>
        <v>0.64841242995372639</v>
      </c>
      <c r="T37" s="7">
        <f t="shared" si="25"/>
        <v>-0.30556996384049073</v>
      </c>
      <c r="U37" s="7">
        <f t="shared" si="25"/>
        <v>1.2036722757535978</v>
      </c>
      <c r="AE37" s="3">
        <v>1991</v>
      </c>
      <c r="AF37" s="3">
        <f>(L12/$L$21)*100</f>
        <v>71.601174870937243</v>
      </c>
      <c r="AG37" s="3">
        <f>(M12/$M$21)*100</f>
        <v>47.762713561374674</v>
      </c>
      <c r="AH37" s="3">
        <f>(N12/$N$21)*100</f>
        <v>78.856095318796918</v>
      </c>
      <c r="AI37" s="3">
        <f>(O12/$O$21)*100</f>
        <v>43.091642101871628</v>
      </c>
      <c r="AJ37" s="3">
        <f>(S12/$S$21)*100</f>
        <v>43.01321645576833</v>
      </c>
      <c r="AK37" s="3">
        <f>(T12/$T$21)*100</f>
        <v>90.828914015183287</v>
      </c>
    </row>
    <row r="38" spans="1:47" ht="30" customHeight="1">
      <c r="A38" s="325" t="s">
        <v>68</v>
      </c>
      <c r="B38" s="7">
        <f>((B28/B21)^(1/7)-1)*100</f>
        <v>4.6149734086232685</v>
      </c>
      <c r="C38" s="7">
        <f t="shared" ref="C38:U38" si="26">((C28/C21)^(1/7)-1)*100</f>
        <v>-4.8693164322785698</v>
      </c>
      <c r="D38" s="7">
        <f t="shared" si="26"/>
        <v>-7.6220407163996917</v>
      </c>
      <c r="E38" s="7">
        <f t="shared" si="26"/>
        <v>-4.6441054268721027</v>
      </c>
      <c r="F38" s="329" t="s">
        <v>10</v>
      </c>
      <c r="G38" s="329" t="s">
        <v>10</v>
      </c>
      <c r="H38" s="329" t="s">
        <v>10</v>
      </c>
      <c r="I38" s="7">
        <f t="shared" si="26"/>
        <v>-4.4527301782699702</v>
      </c>
      <c r="J38" s="7">
        <f t="shared" si="26"/>
        <v>-10.555519511446631</v>
      </c>
      <c r="K38" s="7">
        <f t="shared" si="26"/>
        <v>2.2990316308571845</v>
      </c>
      <c r="L38" s="7">
        <f t="shared" si="26"/>
        <v>2.1070319069240728</v>
      </c>
      <c r="M38" s="7">
        <f t="shared" si="26"/>
        <v>-2.3026237091520962</v>
      </c>
      <c r="N38" s="7">
        <f t="shared" si="26"/>
        <v>-6.0733937900415143</v>
      </c>
      <c r="O38" s="7">
        <f t="shared" si="26"/>
        <v>0.46751287632411653</v>
      </c>
      <c r="P38" s="7">
        <f t="shared" si="26"/>
        <v>0.81322231543983214</v>
      </c>
      <c r="Q38" s="7">
        <f t="shared" si="26"/>
        <v>1.9552332972792241</v>
      </c>
      <c r="R38" s="7">
        <f t="shared" si="26"/>
        <v>-1.7988481974999027</v>
      </c>
      <c r="S38" s="7">
        <f t="shared" si="26"/>
        <v>-2.8417287837709915</v>
      </c>
      <c r="T38" s="7">
        <f t="shared" si="26"/>
        <v>-5.4018846951091604</v>
      </c>
      <c r="U38" s="7">
        <f t="shared" si="26"/>
        <v>0.18743481060519152</v>
      </c>
      <c r="AE38" s="3">
        <v>1992</v>
      </c>
      <c r="AF38" s="3">
        <f>(L13/$L$21)*100</f>
        <v>72.067314306848786</v>
      </c>
      <c r="AH38" s="3">
        <f>(N13/$N$21)*100</f>
        <v>76.229331253558499</v>
      </c>
      <c r="AJ38" s="3">
        <f>(S13/$S$21)*100</f>
        <v>86.831013756202609</v>
      </c>
      <c r="AK38" s="3">
        <f>(T13/$T$21)*100</f>
        <v>98.241106795849703</v>
      </c>
      <c r="AL38" s="3">
        <f>(U13/$U$21)*100</f>
        <v>82.30125879763122</v>
      </c>
    </row>
    <row r="39" spans="1:47" ht="30" customHeight="1">
      <c r="A39" s="115" t="s">
        <v>69</v>
      </c>
      <c r="B39" s="11" t="s">
        <v>10</v>
      </c>
      <c r="C39" s="11" t="s">
        <v>10</v>
      </c>
      <c r="D39" s="11" t="s">
        <v>10</v>
      </c>
      <c r="E39" s="11" t="s">
        <v>10</v>
      </c>
      <c r="F39" s="11" t="s">
        <v>10</v>
      </c>
      <c r="G39" s="11" t="s">
        <v>10</v>
      </c>
      <c r="H39" s="11" t="s">
        <v>10</v>
      </c>
      <c r="I39" s="11" t="s">
        <v>10</v>
      </c>
      <c r="J39" s="11" t="s">
        <v>10</v>
      </c>
      <c r="K39" s="11" t="s">
        <v>10</v>
      </c>
      <c r="L39" s="11">
        <f t="shared" ref="L39:U39" si="27">((L34/L28)^(1/6)-1)*100</f>
        <v>0.87131512699496483</v>
      </c>
      <c r="M39" s="11">
        <f t="shared" si="27"/>
        <v>-5.49649193302304</v>
      </c>
      <c r="N39" s="11">
        <f t="shared" si="27"/>
        <v>-5.5476429772184037</v>
      </c>
      <c r="O39" s="11">
        <f t="shared" si="27"/>
        <v>-5.7429190477814256</v>
      </c>
      <c r="P39" s="11">
        <f t="shared" si="27"/>
        <v>-10.410549037449279</v>
      </c>
      <c r="Q39" s="11">
        <f t="shared" si="27"/>
        <v>-2.2337651344968013</v>
      </c>
      <c r="R39" s="11">
        <f t="shared" si="27"/>
        <v>-5.7122524624848019</v>
      </c>
      <c r="S39" s="11">
        <f t="shared" si="27"/>
        <v>-5.3597331137780202</v>
      </c>
      <c r="T39" s="11">
        <f t="shared" si="27"/>
        <v>-9.1317713574580406</v>
      </c>
      <c r="U39" s="11">
        <f t="shared" si="27"/>
        <v>-3.1427385544740449</v>
      </c>
      <c r="AE39" s="3">
        <v>1993</v>
      </c>
      <c r="AF39" s="3">
        <f>(L14/$L$21)*100</f>
        <v>72.926227565865702</v>
      </c>
      <c r="AH39" s="3">
        <f>(N14/$N$21)*100</f>
        <v>84.718299047532426</v>
      </c>
      <c r="AJ39" s="3">
        <f>(S14/$S$21)*100</f>
        <v>86.386014125059447</v>
      </c>
      <c r="AK39" s="3">
        <f>(T14/$T$21)*100</f>
        <v>96.643085316261264</v>
      </c>
      <c r="AL39" s="3">
        <f>(U14/$U$21)*100</f>
        <v>82.937827488915744</v>
      </c>
    </row>
    <row r="40" spans="1:47" ht="30" customHeight="1">
      <c r="A40" s="325" t="s">
        <v>15</v>
      </c>
      <c r="B40" s="11" t="s">
        <v>10</v>
      </c>
      <c r="C40" s="11" t="s">
        <v>10</v>
      </c>
      <c r="D40" s="11" t="s">
        <v>10</v>
      </c>
      <c r="E40" s="11" t="s">
        <v>10</v>
      </c>
      <c r="F40" s="11" t="s">
        <v>10</v>
      </c>
      <c r="G40" s="11" t="s">
        <v>10</v>
      </c>
      <c r="H40" s="11" t="s">
        <v>10</v>
      </c>
      <c r="I40" s="11" t="s">
        <v>10</v>
      </c>
      <c r="J40" s="11" t="s">
        <v>10</v>
      </c>
      <c r="K40" s="11" t="s">
        <v>10</v>
      </c>
      <c r="L40" s="11">
        <f t="shared" ref="L40:U40" si="28">((L34/L21)^(1/13)-1)*100</f>
        <v>1.5348311673264448</v>
      </c>
      <c r="M40" s="11">
        <f t="shared" si="28"/>
        <v>-3.7899131594418267</v>
      </c>
      <c r="N40" s="11">
        <f t="shared" si="28"/>
        <v>-5.8311042050008695</v>
      </c>
      <c r="O40" s="11">
        <f t="shared" si="28"/>
        <v>-2.4481181081041581</v>
      </c>
      <c r="P40" s="11">
        <f t="shared" si="28"/>
        <v>-4.5317969561199378</v>
      </c>
      <c r="Q40" s="11">
        <f t="shared" si="28"/>
        <v>0</v>
      </c>
      <c r="R40" s="11">
        <f t="shared" si="28"/>
        <v>-3.6248198545643873</v>
      </c>
      <c r="S40" s="11">
        <f t="shared" si="28"/>
        <v>-4.0121031777337723</v>
      </c>
      <c r="T40" s="11">
        <f t="shared" si="28"/>
        <v>-7.1420241897041103</v>
      </c>
      <c r="U40" s="11">
        <f t="shared" si="28"/>
        <v>-1.3635625679184638</v>
      </c>
    </row>
    <row r="41" spans="1:47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7"/>
      <c r="M41" s="7"/>
      <c r="N41" s="7"/>
      <c r="O41" s="7"/>
      <c r="P41" s="7"/>
      <c r="Q41" s="7"/>
      <c r="R41" s="7"/>
      <c r="S41" s="7"/>
      <c r="T41" s="7"/>
      <c r="U41" s="7"/>
      <c r="AE41" s="3">
        <v>1995</v>
      </c>
      <c r="AF41" s="3">
        <f>(L16/$L$21)*100</f>
        <v>79.280361647727034</v>
      </c>
      <c r="AH41" s="3">
        <f>(N16/$N$21)*100</f>
        <v>75.597230339057944</v>
      </c>
      <c r="AJ41" s="3">
        <f>(S16/$S$21)*100</f>
        <v>42.43683189128825</v>
      </c>
      <c r="AK41" s="3">
        <f>(T16/$T$21)*100</f>
        <v>89.611790806072094</v>
      </c>
    </row>
    <row r="42" spans="1:47" s="116" customFormat="1">
      <c r="A42" s="116" t="s">
        <v>39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80.221937539354798</v>
      </c>
      <c r="AG42" s="24"/>
      <c r="AH42" s="24">
        <f>(N17/$N$21)*100</f>
        <v>91.998777871929718</v>
      </c>
      <c r="AI42" s="24" t="e">
        <f>(O17/$O$21)*100</f>
        <v>#VALUE!</v>
      </c>
      <c r="AJ42" s="24"/>
      <c r="AK42" s="24">
        <f>(T17/$T$21)*100</f>
        <v>86.310672461935951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116" customFormat="1">
      <c r="A43" s="116" t="s">
        <v>9</v>
      </c>
      <c r="B43" s="28" t="s">
        <v>42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83.708244175173306</v>
      </c>
      <c r="AG43" s="24">
        <f>(M18/$M$21)*100</f>
        <v>87.175496582485636</v>
      </c>
      <c r="AH43" s="24">
        <f>(N18/$N$21)*100</f>
        <v>75.911964980544738</v>
      </c>
      <c r="AI43" s="24">
        <f>(O18/$O$21)*100</f>
        <v>77.334844763524146</v>
      </c>
      <c r="AJ43" s="24">
        <f>(S18/$S$21)*100</f>
        <v>93.687047065902718</v>
      </c>
      <c r="AK43" s="24">
        <f>(T18/$T$21)*100</f>
        <v>86.249378487376376</v>
      </c>
      <c r="AL43" s="24">
        <f>(U18/$U$21)*100</f>
        <v>105.28846153846152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116" customFormat="1">
      <c r="A44" s="116" t="s">
        <v>10</v>
      </c>
      <c r="B44" s="28" t="s">
        <v>43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87.621461765948453</v>
      </c>
      <c r="AG44" s="24">
        <f>(M19/$M$21)*100</f>
        <v>86.880274684722252</v>
      </c>
      <c r="AH44" s="24">
        <f>(N19/$N$21)*100</f>
        <v>75.70525291828794</v>
      </c>
      <c r="AI44" s="24">
        <f>(O19/$O$21)*100</f>
        <v>84.35669752503307</v>
      </c>
      <c r="AJ44" s="24">
        <f>(S19/$S$21)*100</f>
        <v>90.333045548491739</v>
      </c>
      <c r="AK44" s="24">
        <f>(T19/$T$21)*100</f>
        <v>84.459422131373969</v>
      </c>
      <c r="AL44" s="24">
        <f>(U19/$U$21)*100</f>
        <v>99.289529914529908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131" customFormat="1">
      <c r="A45" s="231" t="s">
        <v>144</v>
      </c>
      <c r="B45" s="28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116" customFormat="1">
      <c r="A46" s="116" t="s">
        <v>41</v>
      </c>
      <c r="X46" s="24"/>
      <c r="Y46" s="24"/>
      <c r="Z46" s="24"/>
      <c r="AA46" s="24"/>
      <c r="AB46" s="24"/>
      <c r="AC46" s="24"/>
      <c r="AD46" s="24"/>
      <c r="AE46" s="24">
        <v>2002</v>
      </c>
      <c r="AF46" s="24">
        <f t="shared" ref="AF46:AF47" si="29">(L23/$L$21)*100</f>
        <v>104.15118731459567</v>
      </c>
      <c r="AG46" s="24">
        <f t="shared" ref="AG46:AG47" si="30">(M23/$M$21)*100</f>
        <v>103.71434072457724</v>
      </c>
      <c r="AH46" s="24">
        <f t="shared" ref="AH46:AH47" si="31">(N23/$N$21)*100</f>
        <v>94.637645914396856</v>
      </c>
      <c r="AI46" s="24">
        <f t="shared" ref="AI46:AI47" si="32">(O23/$O$21)*100</f>
        <v>110.08249889791549</v>
      </c>
      <c r="AJ46" s="24">
        <f t="shared" ref="AJ46:AJ47" si="33">(S23/$S$21)*100</f>
        <v>103.02174083666901</v>
      </c>
      <c r="AK46" s="24">
        <f t="shared" ref="AK46:AK47" si="34">(T23/$T$21)*100</f>
        <v>92.232473344014153</v>
      </c>
      <c r="AL46" s="24">
        <f t="shared" ref="AL46:AL47" si="35">(U23/$U$21)*100</f>
        <v>120.60897435897435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116" customFormat="1" ht="15" customHeight="1">
      <c r="A47" s="28" t="s">
        <v>146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>
        <v>2003</v>
      </c>
      <c r="AF47" s="24">
        <f t="shared" si="29"/>
        <v>105.90782635209884</v>
      </c>
      <c r="AG47" s="24">
        <f t="shared" si="30"/>
        <v>105.52417931521354</v>
      </c>
      <c r="AH47" s="24">
        <f t="shared" si="31"/>
        <v>89.202334630350194</v>
      </c>
      <c r="AI47" s="24">
        <f t="shared" si="32"/>
        <v>112.48189432583915</v>
      </c>
      <c r="AJ47" s="24">
        <f t="shared" si="33"/>
        <v>106.14551448080998</v>
      </c>
      <c r="AK47" s="24">
        <f t="shared" si="34"/>
        <v>90.547483564443937</v>
      </c>
      <c r="AL47" s="24">
        <f t="shared" si="35"/>
        <v>129.8023504273504</v>
      </c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>
      <c r="AE48" s="3">
        <v>2010</v>
      </c>
      <c r="AF48" s="3">
        <f>(L31/$L$21)*100</f>
        <v>115.68473259198609</v>
      </c>
      <c r="AG48" s="3">
        <f>(M31/$M$21)*100</f>
        <v>63.958861470333403</v>
      </c>
      <c r="AH48" s="3">
        <f>(N31/$N$21)*100</f>
        <v>48.686770428015556</v>
      </c>
      <c r="AI48" s="3">
        <f>(O31/$O$21)*100</f>
        <v>68.801561811197175</v>
      </c>
      <c r="AJ48" s="3">
        <f>(S31/$S$21)*100</f>
        <v>65.232974910394262</v>
      </c>
      <c r="AK48" s="3">
        <f>(T31/$T$21)*100</f>
        <v>47.262582177780224</v>
      </c>
      <c r="AL48" s="3">
        <f>(U31/$U$21)*100</f>
        <v>87.441239316239304</v>
      </c>
    </row>
    <row r="49" spans="31:38">
      <c r="AE49" s="3">
        <v>2011</v>
      </c>
      <c r="AF49" s="3">
        <f>(L32/$L$21)*100</f>
        <v>118.49830864322158</v>
      </c>
      <c r="AG49" s="3">
        <f>(M32/$M$21)*100</f>
        <v>61.832942913069985</v>
      </c>
      <c r="AH49" s="3">
        <f>(N32/$N$21)*100</f>
        <v>47.786964980544745</v>
      </c>
      <c r="AI49" s="3">
        <f>(O32/$O$21)*100</f>
        <v>65.230807985389504</v>
      </c>
      <c r="AJ49" s="3">
        <f>(S32/$S$21)*100</f>
        <v>63.443476440886371</v>
      </c>
      <c r="AK49" s="3">
        <f>(T32/$T$21)*100</f>
        <v>44.213026904590897</v>
      </c>
      <c r="AL49" s="3">
        <f>(U32/$U$21)*100</f>
        <v>87.061965811965791</v>
      </c>
    </row>
    <row r="50" spans="31:38">
      <c r="AE50" s="3">
        <v>2012</v>
      </c>
      <c r="AF50" s="3">
        <f>(L33/$L$21)*100</f>
        <v>120.39400740848751</v>
      </c>
      <c r="AG50" s="3">
        <f>(M33/$M$21)*100</f>
        <v>60.668099990373214</v>
      </c>
      <c r="AH50" s="3">
        <f>(N33/$N$21)*100</f>
        <v>41.220817120622563</v>
      </c>
      <c r="AI50" s="3">
        <f>(O33/$O$21)*100</f>
        <v>69.330562377983512</v>
      </c>
      <c r="AJ50" s="3">
        <f>(S33/$S$21)*100</f>
        <v>61.253695418988563</v>
      </c>
      <c r="AK50" s="3">
        <f>(T33/$T$21)*100</f>
        <v>36.793547317827745</v>
      </c>
      <c r="AL50" s="3">
        <f>(U33/$U$21)*100</f>
        <v>90.560897435897417</v>
      </c>
    </row>
    <row r="51" spans="31:38">
      <c r="AE51" s="3">
        <v>2013</v>
      </c>
      <c r="AF51" s="3">
        <f>(L34/$L$21)*100</f>
        <v>121.89774260054777</v>
      </c>
      <c r="AG51" s="3">
        <f>(M34/$M$21)*100</f>
        <v>60.51567564098449</v>
      </c>
      <c r="AH51" s="3">
        <f>(N34/$N$21)*100</f>
        <v>45.79280155642023</v>
      </c>
      <c r="AI51" s="3">
        <f>(O34/$O$21)*100</f>
        <v>72.454184772340838</v>
      </c>
      <c r="AJ51" s="3">
        <f>(S34/$S$21)*100</f>
        <v>58.723805038850941</v>
      </c>
      <c r="AK51" s="3">
        <f>(T34/$T$21)*100</f>
        <v>38.163637368101206</v>
      </c>
      <c r="AL51" s="3">
        <f>(U34/$U$21)*100</f>
        <v>83.653846153846146</v>
      </c>
    </row>
  </sheetData>
  <mergeCells count="4">
    <mergeCell ref="A1:U1"/>
    <mergeCell ref="B2:K2"/>
    <mergeCell ref="L2:U2"/>
    <mergeCell ref="A36:U36"/>
  </mergeCells>
  <printOptions gridLines="1"/>
  <pageMargins left="0.7" right="0.7" top="0.75" bottom="0.75" header="0.3" footer="0.3"/>
  <pageSetup scale="47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28515625" style="3" bestFit="1" customWidth="1"/>
    <col min="2" max="2" width="12.85546875" style="3" customWidth="1"/>
    <col min="3" max="3" width="9.28515625" style="3" bestFit="1" customWidth="1"/>
    <col min="4" max="6" width="9.28515625" style="3" customWidth="1"/>
    <col min="7" max="7" width="9.28515625" style="3" bestFit="1" customWidth="1"/>
    <col min="8" max="10" width="9.28515625" style="3" customWidth="1"/>
    <col min="11" max="13" width="9.28515625" style="3" bestFit="1" customWidth="1"/>
    <col min="14" max="14" width="9.140625" style="3"/>
    <col min="15" max="16" width="9.28515625" style="3" hidden="1" customWidth="1"/>
    <col min="17" max="17" width="14.7109375" style="3" hidden="1" customWidth="1"/>
    <col min="18" max="23" width="9.28515625" style="3" hidden="1" customWidth="1"/>
    <col min="24" max="25" width="0" style="3" hidden="1" customWidth="1"/>
    <col min="26" max="16384" width="9.140625" style="3"/>
  </cols>
  <sheetData>
    <row r="1" spans="1:22" ht="45" customHeight="1">
      <c r="A1" s="460" t="s">
        <v>351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22" ht="135">
      <c r="A2" s="243"/>
      <c r="B2" s="243" t="s">
        <v>8</v>
      </c>
      <c r="C2" s="243" t="s">
        <v>20</v>
      </c>
      <c r="D2" s="54" t="s">
        <v>63</v>
      </c>
      <c r="E2" s="54" t="s">
        <v>64</v>
      </c>
      <c r="F2" s="54" t="s">
        <v>65</v>
      </c>
      <c r="G2" s="243" t="s">
        <v>4</v>
      </c>
      <c r="H2" s="240" t="s">
        <v>36</v>
      </c>
      <c r="I2" s="240" t="s">
        <v>37</v>
      </c>
      <c r="J2" s="240" t="s">
        <v>38</v>
      </c>
      <c r="K2" s="243" t="s">
        <v>5</v>
      </c>
      <c r="L2" s="243" t="s">
        <v>6</v>
      </c>
      <c r="M2" s="243" t="s">
        <v>7</v>
      </c>
    </row>
    <row r="3" spans="1:22">
      <c r="A3" s="243"/>
      <c r="B3" s="13"/>
    </row>
    <row r="4" spans="1:22">
      <c r="A4" s="20">
        <v>2001</v>
      </c>
      <c r="B4" s="71">
        <f>'4C'!C4/'4C'!$C4*100</f>
        <v>100</v>
      </c>
      <c r="C4" s="71">
        <f>'4C'!D4/'4C'!$C4*100</f>
        <v>16.049215027109014</v>
      </c>
      <c r="D4" s="71" t="s">
        <v>9</v>
      </c>
      <c r="E4" s="71" t="s">
        <v>9</v>
      </c>
      <c r="F4" s="71">
        <f>'4C'!G4/'4C'!$C4*100</f>
        <v>14.754321029576555</v>
      </c>
      <c r="G4" s="71">
        <f>'4C'!H4/'4C'!$C4*100</f>
        <v>45.642749612324131</v>
      </c>
      <c r="H4" s="71">
        <f>'4C'!I4/'4C'!$C4*100</f>
        <v>22.70705287106523</v>
      </c>
      <c r="I4" s="71">
        <f>'4C'!J4/'4C'!$C4*100</f>
        <v>7.3969687708694121</v>
      </c>
      <c r="J4" s="71">
        <f>'4C'!K4/'4C'!$C4*100</f>
        <v>15.538727970389488</v>
      </c>
      <c r="K4" s="71">
        <f>'4C'!L4/'4C'!$C4*100</f>
        <v>38.308035360566855</v>
      </c>
      <c r="L4" s="71">
        <f>'4C'!M4/'4C'!$C4*100</f>
        <v>22.753460785312459</v>
      </c>
      <c r="M4" s="71">
        <f>'4C'!N4/'4C'!$C4*100</f>
        <v>15.554574575254396</v>
      </c>
      <c r="O4" s="3">
        <v>2000</v>
      </c>
      <c r="P4" s="3" t="e">
        <f>((#REF!/#REF!)-1)*100</f>
        <v>#REF!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</row>
    <row r="5" spans="1:22">
      <c r="A5" s="20">
        <v>2002</v>
      </c>
      <c r="B5" s="71">
        <f>'4C'!C5/'4C'!$C5*100</f>
        <v>100</v>
      </c>
      <c r="C5" s="71">
        <f>'4C'!D5/'4C'!$C5*100</f>
        <v>15.843553588663168</v>
      </c>
      <c r="D5" s="71">
        <f>'4C'!E5/'4C'!$C5*100</f>
        <v>0.43784280031072714</v>
      </c>
      <c r="E5" s="71" t="s">
        <v>9</v>
      </c>
      <c r="F5" s="71">
        <f>'4C'!G5/'4C'!$C5*100</f>
        <v>15.076151691344366</v>
      </c>
      <c r="G5" s="71">
        <f>'4C'!H5/'4C'!$C5*100</f>
        <v>46.791506791271395</v>
      </c>
      <c r="H5" s="71">
        <f>'4C'!I5/'4C'!$C5*100</f>
        <v>21.776794331583531</v>
      </c>
      <c r="I5" s="71">
        <f>'4C'!J5/'4C'!$C5*100</f>
        <v>8.2636943574774602</v>
      </c>
      <c r="J5" s="71">
        <f>'4C'!K5/'4C'!$C5*100</f>
        <v>16.751018102210399</v>
      </c>
      <c r="K5" s="71">
        <f>'4C'!L5/'4C'!$C5*100</f>
        <v>37.364939620065442</v>
      </c>
      <c r="L5" s="71">
        <f>'4C'!M5/'4C'!$C5*100</f>
        <v>21.482545137826321</v>
      </c>
      <c r="M5" s="71">
        <f>'4C'!N5/'4C'!$C5*100</f>
        <v>15.882394482239118</v>
      </c>
      <c r="O5" s="3">
        <v>2001</v>
      </c>
      <c r="P5" s="3" t="e">
        <f>((#REF!/#REF!)-1)*100</f>
        <v>#REF!</v>
      </c>
      <c r="Q5" s="3" t="e">
        <f>((B4/#REF!)-1)*100</f>
        <v>#REF!</v>
      </c>
      <c r="R5" s="3" t="e">
        <f>((C5/#REF!)-1)*100</f>
        <v>#REF!</v>
      </c>
      <c r="S5" s="3" t="e">
        <f>((H5/#REF!)-1)*100</f>
        <v>#REF!</v>
      </c>
      <c r="T5" s="3" t="e">
        <f>((L5/#REF!)-1)*100</f>
        <v>#REF!</v>
      </c>
      <c r="U5" s="3" t="e">
        <f>((M5/#REF!)-1)*100</f>
        <v>#REF!</v>
      </c>
      <c r="V5" s="3" t="e">
        <f>((#REF!/#REF!)-1)*100</f>
        <v>#REF!</v>
      </c>
    </row>
    <row r="6" spans="1:22">
      <c r="A6" s="20">
        <v>2003</v>
      </c>
      <c r="B6" s="71">
        <f>'4C'!C6/'4C'!$C6*100</f>
        <v>100</v>
      </c>
      <c r="C6" s="71">
        <f>'4C'!D6/'4C'!$C6*100</f>
        <v>16.179992055836124</v>
      </c>
      <c r="D6" s="71">
        <f>'4C'!E6/'4C'!$C6*100</f>
        <v>0.25648300516370648</v>
      </c>
      <c r="E6" s="71" t="s">
        <v>9</v>
      </c>
      <c r="F6" s="71">
        <f>'4C'!G6/'4C'!$C6*100</f>
        <v>13.865970606593656</v>
      </c>
      <c r="G6" s="71">
        <f>'4C'!H6/'4C'!$C6*100</f>
        <v>47.855643193553874</v>
      </c>
      <c r="H6" s="71">
        <f>'4C'!I6/'4C'!$C6*100</f>
        <v>20.116892697043635</v>
      </c>
      <c r="I6" s="71">
        <f>'4C'!J6/'4C'!$C6*100</f>
        <v>8.5161436758781139</v>
      </c>
      <c r="J6" s="71">
        <f>'4C'!K6/'4C'!$C6*100</f>
        <v>19.223741701185951</v>
      </c>
      <c r="K6" s="71">
        <f>'4C'!L6/'4C'!$C6*100</f>
        <v>35.964364750610002</v>
      </c>
      <c r="L6" s="71">
        <f>'4C'!M6/'4C'!$C6*100</f>
        <v>20.812574476536344</v>
      </c>
      <c r="M6" s="71">
        <f>'4C'!N6/'4C'!$C6*100</f>
        <v>15.150655393519832</v>
      </c>
      <c r="O6" s="3">
        <v>2002</v>
      </c>
      <c r="P6" s="3" t="e">
        <f>((#REF!/#REF!)-1)*100</f>
        <v>#REF!</v>
      </c>
      <c r="Q6" s="3">
        <f t="shared" ref="Q6:Q16" si="0">((B5/B4)-1)*100</f>
        <v>0</v>
      </c>
      <c r="R6" s="3">
        <f t="shared" ref="R6:R16" si="1">((C6/C5)-1)*100</f>
        <v>2.1235038294293629</v>
      </c>
      <c r="S6" s="3">
        <f t="shared" ref="S6:S16" si="2">((H6/H5)-1)*100</f>
        <v>-7.6223415130136534</v>
      </c>
      <c r="T6" s="3">
        <f t="shared" ref="T6:U16" si="3">((L6/L5)-1)*100</f>
        <v>-3.1186745192044119</v>
      </c>
      <c r="U6" s="3">
        <f t="shared" si="3"/>
        <v>-4.6072340637148272</v>
      </c>
      <c r="V6" s="3" t="e">
        <f>((#REF!/#REF!)-1)*100</f>
        <v>#REF!</v>
      </c>
    </row>
    <row r="7" spans="1:22">
      <c r="A7" s="20">
        <v>2004</v>
      </c>
      <c r="B7" s="71">
        <f>'4C'!C7/'4C'!$C7*100</f>
        <v>100</v>
      </c>
      <c r="C7" s="71">
        <f>'4C'!D7/'4C'!$C7*100</f>
        <v>15.930778850595431</v>
      </c>
      <c r="D7" s="71">
        <f>'4C'!E7/'4C'!$C7*100</f>
        <v>0.23659572550389255</v>
      </c>
      <c r="E7" s="71" t="s">
        <v>9</v>
      </c>
      <c r="F7" s="71">
        <f>'4C'!G7/'4C'!$C7*100</f>
        <v>13.362025259410313</v>
      </c>
      <c r="G7" s="71">
        <f>'4C'!H7/'4C'!$C7*100</f>
        <v>50.029856127265973</v>
      </c>
      <c r="H7" s="71">
        <f>'4C'!I7/'4C'!$C7*100</f>
        <v>20.823803783278315</v>
      </c>
      <c r="I7" s="71">
        <f>'4C'!J7/'4C'!$C7*100</f>
        <v>9.3297581090368293</v>
      </c>
      <c r="J7" s="71">
        <f>'4C'!K7/'4C'!$C7*100</f>
        <v>19.876294234950823</v>
      </c>
      <c r="K7" s="71">
        <f>'4C'!L7/'4C'!$C7*100</f>
        <v>34.039365022138604</v>
      </c>
      <c r="L7" s="71">
        <f>'4C'!M7/'4C'!$C7*100</f>
        <v>20.164715690803188</v>
      </c>
      <c r="M7" s="71">
        <f>'4C'!N7/'4C'!$C7*100</f>
        <v>13.874649331335414</v>
      </c>
      <c r="O7" s="3">
        <v>2003</v>
      </c>
      <c r="P7" s="3" t="e">
        <f>((#REF!/#REF!)-1)*100</f>
        <v>#REF!</v>
      </c>
      <c r="Q7" s="3">
        <f t="shared" si="0"/>
        <v>0</v>
      </c>
      <c r="R7" s="3">
        <f t="shared" si="1"/>
        <v>-1.5402554239870692</v>
      </c>
      <c r="S7" s="3">
        <f t="shared" si="2"/>
        <v>3.5140172832883287</v>
      </c>
      <c r="T7" s="3">
        <f t="shared" si="3"/>
        <v>-3.1128238674342668</v>
      </c>
      <c r="U7" s="3">
        <f t="shared" si="3"/>
        <v>-8.4221179153093679</v>
      </c>
      <c r="V7" s="3" t="e">
        <f>((#REF!/#REF!)-1)*100</f>
        <v>#REF!</v>
      </c>
    </row>
    <row r="8" spans="1:22">
      <c r="A8" s="20">
        <v>2005</v>
      </c>
      <c r="B8" s="71">
        <f>'4C'!C8/'4C'!$C8*100</f>
        <v>100</v>
      </c>
      <c r="C8" s="71">
        <f>'4C'!D8/'4C'!$C8*100</f>
        <v>15.746650201391855</v>
      </c>
      <c r="D8" s="71">
        <f>'4C'!E8/'4C'!$C8*100</f>
        <v>0.25159555437580067</v>
      </c>
      <c r="E8" s="71" t="s">
        <v>9</v>
      </c>
      <c r="F8" s="71">
        <f>'4C'!G8/'4C'!$C8*100</f>
        <v>13.133749581635835</v>
      </c>
      <c r="G8" s="71">
        <f>'4C'!H8/'4C'!$C8*100</f>
        <v>49.969416136738722</v>
      </c>
      <c r="H8" s="71">
        <f>'4C'!I8/'4C'!$C8*100</f>
        <v>20.637760107101226</v>
      </c>
      <c r="I8" s="71">
        <f>'4C'!J8/'4C'!$C8*100</f>
        <v>9.4798435029487447</v>
      </c>
      <c r="J8" s="71">
        <f>'4C'!K8/'4C'!$C8*100</f>
        <v>19.851812526688747</v>
      </c>
      <c r="K8" s="71">
        <f>'4C'!L8/'4C'!$C8*100</f>
        <v>34.283933661869426</v>
      </c>
      <c r="L8" s="71">
        <f>'4C'!M8/'4C'!$C8*100</f>
        <v>19.857583066926725</v>
      </c>
      <c r="M8" s="71">
        <f>'4C'!N8/'4C'!$C8*100</f>
        <v>14.426350594942699</v>
      </c>
      <c r="O8" s="3">
        <v>2004</v>
      </c>
      <c r="P8" s="3" t="e">
        <f>((#REF!/#REF!)-1)*100</f>
        <v>#REF!</v>
      </c>
      <c r="Q8" s="3">
        <f t="shared" si="0"/>
        <v>0</v>
      </c>
      <c r="R8" s="3">
        <f t="shared" si="1"/>
        <v>-1.1558044395092004</v>
      </c>
      <c r="S8" s="3">
        <f t="shared" si="2"/>
        <v>-0.89341831162702556</v>
      </c>
      <c r="T8" s="3">
        <f t="shared" si="3"/>
        <v>-1.5231190391468807</v>
      </c>
      <c r="U8" s="3">
        <f t="shared" si="3"/>
        <v>3.9763258186373607</v>
      </c>
      <c r="V8" s="3" t="e">
        <f>((#REF!/#REF!)-1)*100</f>
        <v>#REF!</v>
      </c>
    </row>
    <row r="9" spans="1:22">
      <c r="A9" s="20">
        <v>2006</v>
      </c>
      <c r="B9" s="71">
        <f>'4C'!C9/'4C'!$C9*100</f>
        <v>100</v>
      </c>
      <c r="C9" s="71">
        <f>'4C'!D9/'4C'!$C9*100</f>
        <v>16.031247346522886</v>
      </c>
      <c r="D9" s="71">
        <f>'4C'!E9/'4C'!$C9*100</f>
        <v>0.26079889372748338</v>
      </c>
      <c r="E9" s="71" t="s">
        <v>9</v>
      </c>
      <c r="F9" s="71">
        <f>'4C'!G9/'4C'!$C9*100</f>
        <v>12.872548187144433</v>
      </c>
      <c r="G9" s="71">
        <f>'4C'!H9/'4C'!$C9*100</f>
        <v>50.050340251579961</v>
      </c>
      <c r="H9" s="71">
        <f>'4C'!I9/'4C'!$C9*100</f>
        <v>20.073023690243698</v>
      </c>
      <c r="I9" s="71">
        <f>'4C'!J9/'4C'!$C9*100</f>
        <v>9.8254466939191403</v>
      </c>
      <c r="J9" s="71">
        <f>'4C'!K9/'4C'!$C9*100</f>
        <v>20.153082885527482</v>
      </c>
      <c r="K9" s="71">
        <f>'4C'!L9/'4C'!$C9*100</f>
        <v>33.918412401897157</v>
      </c>
      <c r="L9" s="71">
        <f>'4C'!M9/'4C'!$C9*100</f>
        <v>19.983260350077025</v>
      </c>
      <c r="M9" s="71">
        <f>'4C'!N9/'4C'!$C9*100</f>
        <v>13.935152051820134</v>
      </c>
      <c r="O9" s="3">
        <v>2005</v>
      </c>
      <c r="P9" s="3" t="e">
        <f>((#REF!/#REF!)-1)*100</f>
        <v>#REF!</v>
      </c>
      <c r="Q9" s="3">
        <f t="shared" si="0"/>
        <v>0</v>
      </c>
      <c r="R9" s="3">
        <f t="shared" si="1"/>
        <v>1.8073503982826367</v>
      </c>
      <c r="S9" s="3">
        <f t="shared" si="2"/>
        <v>-2.7364230126078914</v>
      </c>
      <c r="T9" s="3">
        <f t="shared" si="3"/>
        <v>0.63289315082668551</v>
      </c>
      <c r="U9" s="3">
        <f t="shared" si="3"/>
        <v>-3.4048704132752627</v>
      </c>
      <c r="V9" s="3" t="e">
        <f>((#REF!/#REF!)-1)*100</f>
        <v>#REF!</v>
      </c>
    </row>
    <row r="10" spans="1:22">
      <c r="A10" s="20">
        <v>2007</v>
      </c>
      <c r="B10" s="71">
        <f>'4C'!C10/'4C'!$C10*100</f>
        <v>100</v>
      </c>
      <c r="C10" s="71">
        <f>'4C'!D10/'4C'!$C10*100</f>
        <v>15.655255081207109</v>
      </c>
      <c r="D10" s="71">
        <f>'4C'!E10/'4C'!$C10*100</f>
        <v>0.2450044127138849</v>
      </c>
      <c r="E10" s="71" t="s">
        <v>9</v>
      </c>
      <c r="F10" s="71">
        <f>'4C'!G10/'4C'!$C10*100</f>
        <v>12.567672589802021</v>
      </c>
      <c r="G10" s="71">
        <f>'4C'!H10/'4C'!$C10*100</f>
        <v>48.292213865142195</v>
      </c>
      <c r="H10" s="71">
        <f>'4C'!I10/'4C'!$C10*100</f>
        <v>17.941962933203367</v>
      </c>
      <c r="I10" s="71">
        <f>'4C'!J10/'4C'!$C10*100</f>
        <v>9.3022643149755648</v>
      </c>
      <c r="J10" s="71">
        <f>'4C'!K10/'4C'!$C10*100</f>
        <v>21.047986616963264</v>
      </c>
      <c r="K10" s="71">
        <f>'4C'!L10/'4C'!$C10*100</f>
        <v>36.052531053650696</v>
      </c>
      <c r="L10" s="71">
        <f>'4C'!M10/'4C'!$C10*100</f>
        <v>21.374659167248442</v>
      </c>
      <c r="M10" s="71">
        <f>'4C'!N10/'4C'!$C10*100</f>
        <v>14.676554658376912</v>
      </c>
      <c r="O10" s="3">
        <v>2006</v>
      </c>
      <c r="P10" s="3" t="e">
        <f>((#REF!/#REF!)-1)*100</f>
        <v>#REF!</v>
      </c>
      <c r="Q10" s="3">
        <f t="shared" si="0"/>
        <v>0</v>
      </c>
      <c r="R10" s="3">
        <f t="shared" si="1"/>
        <v>-2.3453712439745256</v>
      </c>
      <c r="S10" s="3">
        <f t="shared" si="2"/>
        <v>-10.616540835729261</v>
      </c>
      <c r="T10" s="3">
        <f t="shared" si="3"/>
        <v>6.9628218458658742</v>
      </c>
      <c r="U10" s="3">
        <f t="shared" si="3"/>
        <v>5.3203768699455312</v>
      </c>
      <c r="V10" s="3" t="e">
        <f>((#REF!/#REF!)-1)*100</f>
        <v>#REF!</v>
      </c>
    </row>
    <row r="11" spans="1:22">
      <c r="A11" s="20">
        <v>2008</v>
      </c>
      <c r="B11" s="71">
        <f>'4C'!C11/'4C'!$C11*100</f>
        <v>100</v>
      </c>
      <c r="C11" s="71">
        <f>'4C'!D11/'4C'!$C11*100</f>
        <v>14.632809118453324</v>
      </c>
      <c r="D11" s="71">
        <f>'4C'!E11/'4C'!$C11*100</f>
        <v>0.24671764536141971</v>
      </c>
      <c r="E11" s="71" t="s">
        <v>9</v>
      </c>
      <c r="F11" s="71">
        <f>'4C'!G11/'4C'!$C11*100</f>
        <v>12.383494445245995</v>
      </c>
      <c r="G11" s="71">
        <f>'4C'!H11/'4C'!$C11*100</f>
        <v>47.198095512913</v>
      </c>
      <c r="H11" s="71">
        <f>'4C'!I11/'4C'!$C11*100</f>
        <v>16.784013850815178</v>
      </c>
      <c r="I11" s="71">
        <f>'4C'!J11/'4C'!$C11*100</f>
        <v>8.5716346847496752</v>
      </c>
      <c r="J11" s="71">
        <f>'4C'!K11/'4C'!$C11*100</f>
        <v>21.842446977348146</v>
      </c>
      <c r="K11" s="71">
        <f>'4C'!L11/'4C'!$C11*100</f>
        <v>38.169095368633677</v>
      </c>
      <c r="L11" s="71">
        <f>'4C'!M11/'4C'!$C11*100</f>
        <v>22.598470639157409</v>
      </c>
      <c r="M11" s="71">
        <f>'4C'!N11/'4C'!$C11*100</f>
        <v>15.570624729476265</v>
      </c>
      <c r="O11" s="3">
        <v>2007</v>
      </c>
      <c r="P11" s="3" t="e">
        <f>((#REF!/#REF!)-1)*100</f>
        <v>#REF!</v>
      </c>
      <c r="Q11" s="3">
        <f t="shared" si="0"/>
        <v>0</v>
      </c>
      <c r="R11" s="3">
        <f t="shared" si="1"/>
        <v>-6.5310080062582321</v>
      </c>
      <c r="S11" s="3">
        <f t="shared" si="2"/>
        <v>-6.4538595174850721</v>
      </c>
      <c r="T11" s="3">
        <f t="shared" si="3"/>
        <v>5.7255250824498116</v>
      </c>
      <c r="U11" s="3">
        <f t="shared" si="3"/>
        <v>6.0918253085307406</v>
      </c>
      <c r="V11" s="3" t="e">
        <f>((#REF!/#REF!)-1)*100</f>
        <v>#REF!</v>
      </c>
    </row>
    <row r="12" spans="1:22">
      <c r="A12" s="20">
        <v>2009</v>
      </c>
      <c r="B12" s="71">
        <f>'4C'!C12/'4C'!$C12*100</f>
        <v>100</v>
      </c>
      <c r="C12" s="71">
        <f>'4C'!D12/'4C'!$C12*100</f>
        <v>13.939104146100693</v>
      </c>
      <c r="D12" s="71">
        <f>'4C'!E12/'4C'!$C12*100</f>
        <v>0.28535291214215203</v>
      </c>
      <c r="E12" s="71" t="s">
        <v>9</v>
      </c>
      <c r="F12" s="71">
        <f>'4C'!G12/'4C'!$C12*100</f>
        <v>11.704096742349456</v>
      </c>
      <c r="G12" s="71">
        <f>'4C'!H12/'4C'!$C12*100</f>
        <v>43.868768509378086</v>
      </c>
      <c r="H12" s="71">
        <f>'4C'!I12/'4C'!$C12*100</f>
        <v>15.385920533070088</v>
      </c>
      <c r="I12" s="71">
        <f>'4C'!J12/'4C'!$C12*100</f>
        <v>7.6752221125370186</v>
      </c>
      <c r="J12" s="71">
        <f>'4C'!K12/'4C'!$C12*100</f>
        <v>20.807625863770976</v>
      </c>
      <c r="K12" s="71">
        <f>'4C'!L12/'4C'!$C12*100</f>
        <v>42.192127344521225</v>
      </c>
      <c r="L12" s="71">
        <f>'4C'!M12/'4C'!$C12*100</f>
        <v>21.2857847976308</v>
      </c>
      <c r="M12" s="71">
        <f>'4C'!N12/'4C'!$C12*100</f>
        <v>20.904800098716684</v>
      </c>
      <c r="O12" s="3">
        <v>2008</v>
      </c>
      <c r="P12" s="3" t="e">
        <f>((#REF!/#REF!)-1)*100</f>
        <v>#REF!</v>
      </c>
      <c r="Q12" s="3">
        <f t="shared" si="0"/>
        <v>0</v>
      </c>
      <c r="R12" s="3">
        <f t="shared" si="1"/>
        <v>-4.7407505061882071</v>
      </c>
      <c r="S12" s="3">
        <f t="shared" si="2"/>
        <v>-8.3299104145888592</v>
      </c>
      <c r="T12" s="3">
        <f t="shared" si="3"/>
        <v>-5.8087375136442132</v>
      </c>
      <c r="U12" s="3">
        <f t="shared" si="3"/>
        <v>34.257940589515698</v>
      </c>
      <c r="V12" s="3" t="e">
        <f>((#REF!/#REF!)-1)*100</f>
        <v>#REF!</v>
      </c>
    </row>
    <row r="13" spans="1:22">
      <c r="A13" s="20">
        <v>2010</v>
      </c>
      <c r="B13" s="71">
        <f>'4C'!C13/'4C'!$C13*100</f>
        <v>100</v>
      </c>
      <c r="C13" s="71">
        <f>'4C'!D13/'4C'!$C13*100</f>
        <v>13.209989839729932</v>
      </c>
      <c r="D13" s="71">
        <f>'4C'!E13/'4C'!$C13*100</f>
        <v>0.28514306315754973</v>
      </c>
      <c r="E13" s="71" t="s">
        <v>9</v>
      </c>
      <c r="F13" s="71">
        <f>'4C'!G13/'4C'!$C13*100</f>
        <v>12.46927337681492</v>
      </c>
      <c r="G13" s="71">
        <f>'4C'!H13/'4C'!$C13*100</f>
        <v>46.420962931401789</v>
      </c>
      <c r="H13" s="71">
        <f>'4C'!I13/'4C'!$C13*100</f>
        <v>15.976205303005472</v>
      </c>
      <c r="I13" s="71">
        <f>'4C'!J13/'4C'!$C13*100</f>
        <v>8.3346989610304476</v>
      </c>
      <c r="J13" s="71">
        <f>'4C'!K13/'4C'!$C13*100</f>
        <v>22.110058667365866</v>
      </c>
      <c r="K13" s="71">
        <f>'4C'!L13/'4C'!$C13*100</f>
        <v>40.369047228868276</v>
      </c>
      <c r="L13" s="71">
        <f>'4C'!M13/'4C'!$C13*100</f>
        <v>18.771918324538692</v>
      </c>
      <c r="M13" s="71">
        <f>'4C'!N13/'4C'!$C13*100</f>
        <v>21.597128904329583</v>
      </c>
      <c r="O13" s="3">
        <v>2009</v>
      </c>
      <c r="P13" s="3" t="e">
        <f>((#REF!/#REF!)-1)*100</f>
        <v>#REF!</v>
      </c>
      <c r="Q13" s="3">
        <f t="shared" si="0"/>
        <v>0</v>
      </c>
      <c r="R13" s="3">
        <f t="shared" si="1"/>
        <v>-5.2307113766326356</v>
      </c>
      <c r="S13" s="3">
        <f t="shared" si="2"/>
        <v>3.8365255342807769</v>
      </c>
      <c r="T13" s="3">
        <f t="shared" si="3"/>
        <v>-11.810071824891855</v>
      </c>
      <c r="U13" s="3">
        <f t="shared" si="3"/>
        <v>3.3118173928647021</v>
      </c>
      <c r="V13" s="3" t="e">
        <f>((#REF!/#REF!)-1)*100</f>
        <v>#REF!</v>
      </c>
    </row>
    <row r="14" spans="1:22">
      <c r="A14" s="20">
        <v>2011</v>
      </c>
      <c r="B14" s="71">
        <f>'4C'!C14/'4C'!$C14*100</f>
        <v>100</v>
      </c>
      <c r="C14" s="71">
        <f>'4C'!D14/'4C'!$C14*100</f>
        <v>13.037029630370297</v>
      </c>
      <c r="D14" s="71">
        <f>'4C'!E14/'4C'!$C14*100</f>
        <v>0.26497350264973502</v>
      </c>
      <c r="E14" s="71" t="s">
        <v>9</v>
      </c>
      <c r="F14" s="71">
        <f>'4C'!G14/'4C'!$C14*100</f>
        <v>12.308769123087691</v>
      </c>
      <c r="G14" s="71">
        <f>'4C'!H14/'4C'!$C14*100</f>
        <v>45.175482451754824</v>
      </c>
      <c r="H14" s="71">
        <f>'4C'!I14/'4C'!$C14*100</f>
        <v>15.605106156051063</v>
      </c>
      <c r="I14" s="71">
        <f>'4C'!J14/'4C'!$C14*100</f>
        <v>7.6875645768756451</v>
      </c>
      <c r="J14" s="71">
        <f>'4C'!K14/'4C'!$C14*100</f>
        <v>21.882811718828119</v>
      </c>
      <c r="K14" s="71">
        <f>'4C'!L14/'4C'!$C14*100</f>
        <v>41.787487917874877</v>
      </c>
      <c r="L14" s="71">
        <f>'4C'!M14/'4C'!$C14*100</f>
        <v>19.216411692164119</v>
      </c>
      <c r="M14" s="71">
        <f>'4C'!N14/'4C'!$C14*100</f>
        <v>22.571076225710762</v>
      </c>
      <c r="O14" s="3">
        <v>2010</v>
      </c>
      <c r="P14" s="3" t="e">
        <f>((#REF!/#REF!)-1)*100</f>
        <v>#REF!</v>
      </c>
      <c r="Q14" s="3">
        <f t="shared" si="0"/>
        <v>0</v>
      </c>
      <c r="R14" s="3">
        <f t="shared" si="1"/>
        <v>-1.3093137198292637</v>
      </c>
      <c r="S14" s="3">
        <f t="shared" si="2"/>
        <v>-2.3228240994411675</v>
      </c>
      <c r="T14" s="3">
        <f t="shared" si="3"/>
        <v>2.3678633155162609</v>
      </c>
      <c r="U14" s="3">
        <f t="shared" si="3"/>
        <v>4.5096147997057745</v>
      </c>
      <c r="V14" s="3" t="e">
        <f>((#REF!/#REF!)-1)*100</f>
        <v>#REF!</v>
      </c>
    </row>
    <row r="15" spans="1:22">
      <c r="A15" s="20">
        <v>2012</v>
      </c>
      <c r="B15" s="71">
        <f>'4C'!C15/'4C'!$C15*100</f>
        <v>100</v>
      </c>
      <c r="C15" s="71">
        <f>'4C'!D15/'4C'!$C15*100</f>
        <v>12.915350816971028</v>
      </c>
      <c r="D15" s="71">
        <f>'4C'!E15/'4C'!$C15*100</f>
        <v>0.23170396814499519</v>
      </c>
      <c r="E15" s="71" t="s">
        <v>9</v>
      </c>
      <c r="F15" s="71">
        <f>'4C'!G15/'4C'!$C15*100</f>
        <v>12.328367431003707</v>
      </c>
      <c r="G15" s="71">
        <f>'4C'!H15/'4C'!$C15*100</f>
        <v>46.351091583138817</v>
      </c>
      <c r="H15" s="71">
        <f>'4C'!I15/'4C'!$C15*100</f>
        <v>15.894892214746669</v>
      </c>
      <c r="I15" s="71">
        <f>'4C'!J15/'4C'!$C15*100</f>
        <v>7.9877797610874639</v>
      </c>
      <c r="J15" s="71">
        <f>'4C'!K15/'4C'!$C15*100</f>
        <v>22.468419607304682</v>
      </c>
      <c r="K15" s="71">
        <f>'4C'!L15/'4C'!$C15*100</f>
        <v>40.733557599890155</v>
      </c>
      <c r="L15" s="71">
        <f>'4C'!M15/'4C'!$C15*100</f>
        <v>18.04029932720033</v>
      </c>
      <c r="M15" s="71">
        <f>'4C'!N15/'4C'!$C15*100</f>
        <v>22.694974598379787</v>
      </c>
      <c r="O15" s="3">
        <v>2011</v>
      </c>
      <c r="P15" s="3" t="e">
        <f>((#REF!/#REF!)-1)*100</f>
        <v>#REF!</v>
      </c>
      <c r="Q15" s="3">
        <f t="shared" si="0"/>
        <v>0</v>
      </c>
      <c r="R15" s="3">
        <f t="shared" si="1"/>
        <v>-0.93333233757337819</v>
      </c>
      <c r="S15" s="3">
        <f t="shared" si="2"/>
        <v>1.8569951129953521</v>
      </c>
      <c r="T15" s="3">
        <f t="shared" si="3"/>
        <v>-6.1203537049706931</v>
      </c>
      <c r="U15" s="3">
        <f t="shared" si="3"/>
        <v>0.54892540980342464</v>
      </c>
      <c r="V15" s="3" t="e">
        <f>((#REF!/#REF!)-1)*100</f>
        <v>#REF!</v>
      </c>
    </row>
    <row r="16" spans="1:22">
      <c r="A16" s="20">
        <v>2013</v>
      </c>
      <c r="B16" s="71">
        <f>'4C'!C16/'4C'!$C16*100</f>
        <v>100</v>
      </c>
      <c r="C16" s="71">
        <f>'4C'!D16/'4C'!$C16*100</f>
        <v>11.485398137124449</v>
      </c>
      <c r="D16" s="71">
        <f>'4C'!E16/'4C'!$C16*100</f>
        <v>0.18208558022270466</v>
      </c>
      <c r="E16" s="71" t="s">
        <v>9</v>
      </c>
      <c r="F16" s="71">
        <f>'4C'!G16/'4C'!$C16*100</f>
        <v>11.182505777715527</v>
      </c>
      <c r="G16" s="71">
        <f>'4C'!H16/'4C'!$C16*100</f>
        <v>46.549128090202395</v>
      </c>
      <c r="H16" s="71">
        <f>'4C'!I16/'4C'!$C16*100</f>
        <v>15.529799005532599</v>
      </c>
      <c r="I16" s="71">
        <f>'4C'!J16/'4C'!$C16*100</f>
        <v>8.4319630226206304</v>
      </c>
      <c r="J16" s="71">
        <f>'4C'!K16/'4C'!$C16*100</f>
        <v>22.587366062049163</v>
      </c>
      <c r="K16" s="71">
        <f>'4C'!L16/'4C'!$C16*100</f>
        <v>41.965473772673157</v>
      </c>
      <c r="L16" s="71">
        <f>'4C'!M16/'4C'!$C16*100</f>
        <v>15.543805588626656</v>
      </c>
      <c r="M16" s="71">
        <f>'4C'!N16/'4C'!$C16*100</f>
        <v>26.421668184046503</v>
      </c>
      <c r="O16" s="3">
        <v>2012</v>
      </c>
      <c r="P16" s="3" t="e">
        <f>((#REF!/#REF!)-1)*100</f>
        <v>#REF!</v>
      </c>
      <c r="Q16" s="3">
        <f t="shared" si="0"/>
        <v>0</v>
      </c>
      <c r="R16" s="3">
        <f t="shared" si="1"/>
        <v>-11.071729294163601</v>
      </c>
      <c r="S16" s="3">
        <f t="shared" si="2"/>
        <v>-2.2969215788412267</v>
      </c>
      <c r="T16" s="3">
        <f t="shared" si="3"/>
        <v>-13.838427474479742</v>
      </c>
      <c r="U16" s="3">
        <f t="shared" si="3"/>
        <v>16.420787648437241</v>
      </c>
      <c r="V16" s="3" t="e">
        <f>((#REF!/#REF!)-1)*100</f>
        <v>#REF!</v>
      </c>
    </row>
    <row r="17" spans="1:22">
      <c r="A17" s="13"/>
      <c r="B17" s="13"/>
      <c r="C17" s="14"/>
      <c r="D17" s="14"/>
      <c r="E17" s="14"/>
      <c r="F17" s="14"/>
      <c r="G17" s="13"/>
      <c r="H17" s="13"/>
      <c r="I17" s="13"/>
      <c r="J17" s="13"/>
      <c r="K17" s="13"/>
      <c r="L17" s="13"/>
      <c r="M17" s="13"/>
    </row>
    <row r="18" spans="1:2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22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P19" s="3" t="s">
        <v>27</v>
      </c>
    </row>
    <row r="20" spans="1:22" ht="30">
      <c r="A20" s="243" t="s">
        <v>71</v>
      </c>
      <c r="B20" s="13">
        <f t="shared" ref="B20:M20" si="4">((B10/B4)^(1/6)-1)*100</f>
        <v>0</v>
      </c>
      <c r="C20" s="13">
        <f t="shared" si="4"/>
        <v>-0.413364816808659</v>
      </c>
      <c r="D20" s="62" t="s">
        <v>10</v>
      </c>
      <c r="E20" s="62" t="s">
        <v>10</v>
      </c>
      <c r="F20" s="13">
        <f t="shared" si="4"/>
        <v>-2.6380481992053673</v>
      </c>
      <c r="G20" s="13">
        <f t="shared" si="4"/>
        <v>0.94486215550786401</v>
      </c>
      <c r="H20" s="13">
        <f t="shared" si="4"/>
        <v>-3.8495036157672025</v>
      </c>
      <c r="I20" s="13">
        <f t="shared" si="4"/>
        <v>3.8936844887583977</v>
      </c>
      <c r="J20" s="13">
        <f t="shared" si="4"/>
        <v>5.1879155917978315</v>
      </c>
      <c r="K20" s="13">
        <f t="shared" si="4"/>
        <v>-1.0062795160142413</v>
      </c>
      <c r="L20" s="13">
        <f t="shared" si="4"/>
        <v>-1.0364446254795046</v>
      </c>
      <c r="M20" s="13">
        <f t="shared" si="4"/>
        <v>-0.96371753873888411</v>
      </c>
      <c r="O20" s="3">
        <v>1999</v>
      </c>
      <c r="P20" s="3" t="e">
        <f>#REF!/#REF!</f>
        <v>#REF!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</row>
    <row r="21" spans="1:22" ht="30">
      <c r="A21" s="243" t="s">
        <v>69</v>
      </c>
      <c r="B21" s="13">
        <f t="shared" ref="B21:M21" si="5">((B16/B10)^(1/6)-1)*100</f>
        <v>0</v>
      </c>
      <c r="C21" s="13">
        <f t="shared" si="5"/>
        <v>-5.0311925748546704</v>
      </c>
      <c r="D21" s="13">
        <f t="shared" si="5"/>
        <v>-4.8263026446642048</v>
      </c>
      <c r="E21" s="62" t="s">
        <v>10</v>
      </c>
      <c r="F21" s="13">
        <f t="shared" si="5"/>
        <v>-1.9274700394520616</v>
      </c>
      <c r="G21" s="13">
        <f t="shared" si="5"/>
        <v>-0.61082799898313223</v>
      </c>
      <c r="H21" s="13">
        <f t="shared" si="5"/>
        <v>-2.377637555952905</v>
      </c>
      <c r="I21" s="13">
        <f t="shared" si="5"/>
        <v>-1.6238090539394845</v>
      </c>
      <c r="J21" s="13">
        <f t="shared" si="5"/>
        <v>1.1833774617206361</v>
      </c>
      <c r="K21" s="13">
        <f t="shared" si="5"/>
        <v>2.5634753604845795</v>
      </c>
      <c r="L21" s="13">
        <f t="shared" si="5"/>
        <v>-5.1705948654154117</v>
      </c>
      <c r="M21" s="13">
        <f t="shared" si="5"/>
        <v>10.295049425814561</v>
      </c>
      <c r="O21" s="3">
        <v>2000</v>
      </c>
      <c r="P21" s="3" t="e">
        <f>#REF!/#REF!</f>
        <v>#REF!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</row>
    <row r="22" spans="1:22" ht="30">
      <c r="A22" s="243" t="s">
        <v>72</v>
      </c>
      <c r="B22" s="13">
        <f t="shared" ref="B22:M22" si="6">((B16/B4)^(1/12)-1)*100</f>
        <v>0</v>
      </c>
      <c r="C22" s="13">
        <f t="shared" si="6"/>
        <v>-2.7496839139805163</v>
      </c>
      <c r="D22" s="62" t="s">
        <v>10</v>
      </c>
      <c r="E22" s="62" t="s">
        <v>10</v>
      </c>
      <c r="F22" s="13">
        <f t="shared" si="6"/>
        <v>-2.2834050173622944</v>
      </c>
      <c r="G22" s="13">
        <f t="shared" si="6"/>
        <v>0.16399686210963882</v>
      </c>
      <c r="H22" s="13">
        <f t="shared" si="6"/>
        <v>-3.1163656379643578</v>
      </c>
      <c r="I22" s="13">
        <f t="shared" si="6"/>
        <v>1.0973043327855647</v>
      </c>
      <c r="J22" s="13">
        <f t="shared" si="6"/>
        <v>3.166218151759792</v>
      </c>
      <c r="K22" s="13">
        <f t="shared" si="6"/>
        <v>0.76279080941521471</v>
      </c>
      <c r="L22" s="13">
        <f t="shared" si="6"/>
        <v>-3.125570524677157</v>
      </c>
      <c r="M22" s="13">
        <f t="shared" si="6"/>
        <v>4.5141697044650764</v>
      </c>
      <c r="O22" s="3">
        <v>2001</v>
      </c>
      <c r="P22" s="3" t="e">
        <f>#REF!/#REF!</f>
        <v>#REF!</v>
      </c>
      <c r="Q22" s="3" t="e">
        <f>B4/#REF!</f>
        <v>#REF!</v>
      </c>
      <c r="R22" s="3" t="e">
        <f>C5/#REF!</f>
        <v>#REF!</v>
      </c>
      <c r="S22" s="3" t="e">
        <f>H5/#REF!</f>
        <v>#REF!</v>
      </c>
      <c r="T22" s="3" t="e">
        <f>L5/#REF!</f>
        <v>#REF!</v>
      </c>
      <c r="U22" s="3" t="e">
        <f>M5/#REF!</f>
        <v>#REF!</v>
      </c>
      <c r="V22" s="3" t="e">
        <f>#REF!/#REF!</f>
        <v>#REF!</v>
      </c>
    </row>
    <row r="23" spans="1:22">
      <c r="O23" s="3">
        <v>2002</v>
      </c>
      <c r="P23" s="3" t="e">
        <f>#REF!/#REF!</f>
        <v>#REF!</v>
      </c>
      <c r="Q23" s="3" t="e">
        <f>B5/#REF!</f>
        <v>#REF!</v>
      </c>
      <c r="R23" s="3" t="e">
        <f>C6/#REF!</f>
        <v>#REF!</v>
      </c>
      <c r="S23" s="3" t="e">
        <f>H6/#REF!</f>
        <v>#REF!</v>
      </c>
      <c r="T23" s="3" t="e">
        <f>L6/#REF!</f>
        <v>#REF!</v>
      </c>
      <c r="U23" s="3" t="e">
        <f>M6/#REF!</f>
        <v>#REF!</v>
      </c>
      <c r="V23" s="3" t="e">
        <f>#REF!/#REF!</f>
        <v>#REF!</v>
      </c>
    </row>
    <row r="24" spans="1:22">
      <c r="A24" s="239" t="s">
        <v>316</v>
      </c>
      <c r="K24" s="58"/>
      <c r="O24" s="3">
        <v>2003</v>
      </c>
      <c r="P24" s="3" t="e">
        <f>#REF!/#REF!</f>
        <v>#REF!</v>
      </c>
      <c r="Q24" s="3" t="e">
        <f>B6/#REF!</f>
        <v>#REF!</v>
      </c>
      <c r="R24" s="3" t="e">
        <f>C7/#REF!</f>
        <v>#REF!</v>
      </c>
      <c r="S24" s="3" t="e">
        <f>H7/#REF!</f>
        <v>#REF!</v>
      </c>
      <c r="T24" s="3" t="e">
        <f>L7/#REF!</f>
        <v>#REF!</v>
      </c>
      <c r="U24" s="3" t="e">
        <f>M7/#REF!</f>
        <v>#REF!</v>
      </c>
      <c r="V24" s="3" t="e">
        <f>#REF!/#REF!</f>
        <v>#REF!</v>
      </c>
    </row>
    <row r="25" spans="1:22">
      <c r="A25" s="59"/>
      <c r="B25" s="57"/>
      <c r="C25" s="57"/>
      <c r="D25" s="57"/>
      <c r="E25" s="57"/>
      <c r="F25" s="57"/>
      <c r="G25" s="57"/>
      <c r="H25" s="57"/>
      <c r="I25" s="57"/>
      <c r="J25" s="57"/>
      <c r="K25" s="57"/>
      <c r="O25" s="3">
        <v>2004</v>
      </c>
      <c r="P25" s="3" t="e">
        <f>#REF!/#REF!</f>
        <v>#REF!</v>
      </c>
      <c r="Q25" s="3" t="e">
        <f>B7/#REF!</f>
        <v>#REF!</v>
      </c>
      <c r="R25" s="3" t="e">
        <f>C8/#REF!</f>
        <v>#REF!</v>
      </c>
      <c r="S25" s="3" t="e">
        <f>H8/#REF!</f>
        <v>#REF!</v>
      </c>
      <c r="T25" s="3" t="e">
        <f>L8/#REF!</f>
        <v>#REF!</v>
      </c>
      <c r="U25" s="3" t="e">
        <f>M8/#REF!</f>
        <v>#REF!</v>
      </c>
      <c r="V25" s="3" t="e">
        <f>#REF!/#REF!</f>
        <v>#REF!</v>
      </c>
    </row>
    <row r="26" spans="1:22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O26" s="3">
        <v>2005</v>
      </c>
      <c r="P26" s="3" t="e">
        <f>#REF!/#REF!</f>
        <v>#REF!</v>
      </c>
      <c r="Q26" s="3" t="e">
        <f>B8/#REF!</f>
        <v>#REF!</v>
      </c>
      <c r="R26" s="3" t="e">
        <f>C9/#REF!</f>
        <v>#REF!</v>
      </c>
      <c r="S26" s="3" t="e">
        <f>H9/#REF!</f>
        <v>#REF!</v>
      </c>
      <c r="T26" s="3" t="e">
        <f>L9/#REF!</f>
        <v>#REF!</v>
      </c>
      <c r="U26" s="3" t="e">
        <f>M9/#REF!</f>
        <v>#REF!</v>
      </c>
      <c r="V26" s="3" t="e">
        <f>#REF!/#REF!</f>
        <v>#REF!</v>
      </c>
    </row>
    <row r="27" spans="1:22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O27" s="3">
        <v>2006</v>
      </c>
      <c r="P27" s="3" t="e">
        <f>#REF!/#REF!</f>
        <v>#REF!</v>
      </c>
      <c r="Q27" s="3" t="e">
        <f>B9/#REF!</f>
        <v>#REF!</v>
      </c>
      <c r="R27" s="3" t="e">
        <f>C10/#REF!</f>
        <v>#REF!</v>
      </c>
      <c r="S27" s="3" t="e">
        <f>H10/#REF!</f>
        <v>#REF!</v>
      </c>
      <c r="T27" s="3" t="e">
        <f>L10/#REF!</f>
        <v>#REF!</v>
      </c>
      <c r="U27" s="3" t="e">
        <f>M10/#REF!</f>
        <v>#REF!</v>
      </c>
      <c r="V27" s="3" t="e">
        <f>#REF!/#REF!</f>
        <v>#REF!</v>
      </c>
    </row>
    <row r="28" spans="1:22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O28" s="3">
        <v>2007</v>
      </c>
      <c r="P28" s="3" t="e">
        <f>#REF!/#REF!</f>
        <v>#REF!</v>
      </c>
      <c r="Q28" s="3" t="e">
        <f>B10/#REF!</f>
        <v>#REF!</v>
      </c>
      <c r="R28" s="3" t="e">
        <f>C11/#REF!</f>
        <v>#REF!</v>
      </c>
      <c r="S28" s="3" t="e">
        <f>H11/#REF!</f>
        <v>#REF!</v>
      </c>
      <c r="T28" s="3" t="e">
        <f>L11/#REF!</f>
        <v>#REF!</v>
      </c>
      <c r="U28" s="3" t="e">
        <f>M11/#REF!</f>
        <v>#REF!</v>
      </c>
      <c r="V28" s="3" t="e">
        <f>#REF!/#REF!</f>
        <v>#REF!</v>
      </c>
    </row>
    <row r="29" spans="1:22">
      <c r="O29" s="3">
        <v>2008</v>
      </c>
      <c r="P29" s="3" t="e">
        <f>#REF!/#REF!</f>
        <v>#REF!</v>
      </c>
      <c r="Q29" s="3" t="e">
        <f>B11/#REF!</f>
        <v>#REF!</v>
      </c>
      <c r="R29" s="3" t="e">
        <f>C12/#REF!</f>
        <v>#REF!</v>
      </c>
      <c r="S29" s="3" t="e">
        <f>H12/#REF!</f>
        <v>#REF!</v>
      </c>
      <c r="T29" s="3" t="e">
        <f>L12/#REF!</f>
        <v>#REF!</v>
      </c>
      <c r="U29" s="3" t="e">
        <f>M12/#REF!</f>
        <v>#REF!</v>
      </c>
      <c r="V29" s="3" t="e">
        <f>#REF!/#REF!</f>
        <v>#REF!</v>
      </c>
    </row>
    <row r="30" spans="1:22">
      <c r="O30" s="3">
        <v>2009</v>
      </c>
      <c r="P30" s="3" t="e">
        <f>#REF!/#REF!</f>
        <v>#REF!</v>
      </c>
      <c r="Q30" s="3" t="e">
        <f>B12/#REF!</f>
        <v>#REF!</v>
      </c>
      <c r="R30" s="3" t="e">
        <f>C13/#REF!</f>
        <v>#REF!</v>
      </c>
      <c r="S30" s="3" t="e">
        <f>H13/#REF!</f>
        <v>#REF!</v>
      </c>
      <c r="T30" s="3" t="e">
        <f>L13/#REF!</f>
        <v>#REF!</v>
      </c>
      <c r="U30" s="3" t="e">
        <f>M13/#REF!</f>
        <v>#REF!</v>
      </c>
      <c r="V30" s="3" t="e">
        <f>#REF!/#REF!</f>
        <v>#REF!</v>
      </c>
    </row>
    <row r="31" spans="1:22">
      <c r="O31" s="3">
        <v>2010</v>
      </c>
      <c r="P31" s="3" t="e">
        <f>#REF!/#REF!</f>
        <v>#REF!</v>
      </c>
      <c r="Q31" s="3" t="e">
        <f>B13/#REF!</f>
        <v>#REF!</v>
      </c>
      <c r="R31" s="3" t="e">
        <f>C14/#REF!</f>
        <v>#REF!</v>
      </c>
      <c r="S31" s="3" t="e">
        <f>H14/#REF!</f>
        <v>#REF!</v>
      </c>
      <c r="T31" s="3" t="e">
        <f>L14/#REF!</f>
        <v>#REF!</v>
      </c>
      <c r="U31" s="3" t="e">
        <f>M14/#REF!</f>
        <v>#REF!</v>
      </c>
      <c r="V31" s="3" t="e">
        <f>#REF!/#REF!</f>
        <v>#REF!</v>
      </c>
    </row>
    <row r="32" spans="1:22">
      <c r="O32" s="3">
        <v>2011</v>
      </c>
      <c r="P32" s="3" t="e">
        <f>#REF!/#REF!</f>
        <v>#REF!</v>
      </c>
      <c r="Q32" s="3" t="e">
        <f>B14/#REF!</f>
        <v>#REF!</v>
      </c>
      <c r="R32" s="3" t="e">
        <f>C15/#REF!</f>
        <v>#REF!</v>
      </c>
      <c r="S32" s="3" t="e">
        <f>H15/#REF!</f>
        <v>#REF!</v>
      </c>
      <c r="T32" s="3" t="e">
        <f>L15/#REF!</f>
        <v>#REF!</v>
      </c>
      <c r="U32" s="3" t="e">
        <f>M15/#REF!</f>
        <v>#REF!</v>
      </c>
      <c r="V32" s="3" t="e">
        <f>#REF!/#REF!</f>
        <v>#REF!</v>
      </c>
    </row>
    <row r="33" spans="15:22">
      <c r="O33" s="3">
        <v>2012</v>
      </c>
      <c r="P33" s="3" t="e">
        <f>#REF!/#REF!</f>
        <v>#REF!</v>
      </c>
      <c r="Q33" s="3" t="e">
        <f>B15/#REF!</f>
        <v>#REF!</v>
      </c>
      <c r="R33" s="3" t="e">
        <f>C16/#REF!</f>
        <v>#REF!</v>
      </c>
      <c r="S33" s="3" t="e">
        <f>H16/#REF!</f>
        <v>#REF!</v>
      </c>
      <c r="T33" s="3" t="e">
        <f>L16/#REF!</f>
        <v>#REF!</v>
      </c>
      <c r="U33" s="3" t="e">
        <f>M16/#REF!</f>
        <v>#REF!</v>
      </c>
      <c r="V33" s="3" t="e">
        <f>#REF!/#REF!</f>
        <v>#REF!</v>
      </c>
    </row>
  </sheetData>
  <mergeCells count="2">
    <mergeCell ref="A1:M1"/>
    <mergeCell ref="A19:M19"/>
  </mergeCells>
  <printOptions gridLines="1"/>
  <pageMargins left="0.7" right="0.7" top="0.75" bottom="0.75" header="0.3" footer="0.3"/>
  <pageSetup scale="72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3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3"/>
    <col min="2" max="2" width="11.5703125" style="3" customWidth="1"/>
    <col min="3" max="14" width="9.140625" style="3"/>
    <col min="15" max="24" width="0" style="3" hidden="1" customWidth="1"/>
    <col min="25" max="16384" width="9.140625" style="3"/>
  </cols>
  <sheetData>
    <row r="1" spans="1:22">
      <c r="A1" s="454" t="s">
        <v>352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</row>
    <row r="2" spans="1:22" ht="135">
      <c r="A2" s="240"/>
      <c r="B2" s="240" t="s">
        <v>8</v>
      </c>
      <c r="C2" s="240" t="s">
        <v>20</v>
      </c>
      <c r="D2" s="54" t="s">
        <v>63</v>
      </c>
      <c r="E2" s="54" t="s">
        <v>64</v>
      </c>
      <c r="F2" s="54" t="s">
        <v>65</v>
      </c>
      <c r="G2" s="240" t="s">
        <v>4</v>
      </c>
      <c r="H2" s="240" t="s">
        <v>36</v>
      </c>
      <c r="I2" s="240" t="s">
        <v>37</v>
      </c>
      <c r="J2" s="240" t="s">
        <v>38</v>
      </c>
      <c r="K2" s="240" t="s">
        <v>5</v>
      </c>
      <c r="L2" s="240" t="s">
        <v>6</v>
      </c>
      <c r="M2" s="240" t="s">
        <v>7</v>
      </c>
    </row>
    <row r="3" spans="1:22">
      <c r="A3" s="240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22">
      <c r="A4" s="240">
        <v>2001</v>
      </c>
      <c r="B4" s="71">
        <f>'4D'!C4/'4D'!$C4*100</f>
        <v>100</v>
      </c>
      <c r="C4" s="71">
        <f>'4D'!D4/'4D'!$C4*100</f>
        <v>10.043887147335424</v>
      </c>
      <c r="D4" s="71" t="s">
        <v>9</v>
      </c>
      <c r="E4" s="71">
        <f>'4D'!F4/'4D'!$C4*100</f>
        <v>0.10309996516893068</v>
      </c>
      <c r="F4" s="71">
        <f>'4D'!G4/'4D'!$C4*100</f>
        <v>9.8669453152211783</v>
      </c>
      <c r="G4" s="71">
        <f>'4D'!H4/'4D'!$C4*100</f>
        <v>40.058516196447229</v>
      </c>
      <c r="H4" s="71">
        <f>'4D'!I4/'4D'!$C4*100</f>
        <v>12.4695228143504</v>
      </c>
      <c r="I4" s="71">
        <f>'4D'!J4/'4D'!$C4*100</f>
        <v>8.0125391849529777</v>
      </c>
      <c r="J4" s="71">
        <f>'4D'!K4/'4D'!$C4*100</f>
        <v>19.576454197143853</v>
      </c>
      <c r="K4" s="71">
        <f>'4D'!L4/'4D'!$C4*100</f>
        <v>49.897596656217345</v>
      </c>
      <c r="L4" s="71">
        <f>'4D'!M4/'4D'!$C4*100</f>
        <v>21.331940090560781</v>
      </c>
      <c r="M4" s="71">
        <f>'4D'!N4/'4D'!$C4*100</f>
        <v>28.565656565656568</v>
      </c>
      <c r="O4" s="3">
        <v>2000</v>
      </c>
      <c r="P4" s="3" t="e">
        <f>((#REF!/#REF!)-1)*100</f>
        <v>#REF!</v>
      </c>
      <c r="Q4" s="3" t="e">
        <f>((#REF!/#REF!)-1)*100</f>
        <v>#REF!</v>
      </c>
      <c r="R4" s="3" t="e">
        <f>((#REF!/#REF!)-1)*100</f>
        <v>#REF!</v>
      </c>
      <c r="S4" s="3" t="e">
        <f>((#REF!/#REF!)-1)*100</f>
        <v>#REF!</v>
      </c>
      <c r="T4" s="3" t="e">
        <f>((#REF!/#REF!)-1)*100</f>
        <v>#REF!</v>
      </c>
      <c r="U4" s="3" t="e">
        <f>((#REF!/#REF!)-1)*100</f>
        <v>#REF!</v>
      </c>
      <c r="V4" s="3" t="e">
        <f>((#REF!/#REF!)-1)*100</f>
        <v>#REF!</v>
      </c>
    </row>
    <row r="5" spans="1:22">
      <c r="A5" s="240">
        <v>2002</v>
      </c>
      <c r="B5" s="71">
        <f>'4D'!C5/'4D'!$C5*100</f>
        <v>100</v>
      </c>
      <c r="C5" s="71">
        <f>'4D'!D5/'4D'!$C5*100</f>
        <v>9.6927011277407455</v>
      </c>
      <c r="D5" s="71" t="s">
        <v>9</v>
      </c>
      <c r="E5" s="71">
        <f>'4D'!F5/'4D'!$C5*100</f>
        <v>0.20262999762433795</v>
      </c>
      <c r="F5" s="71">
        <f>'4D'!G5/'4D'!$C5*100</f>
        <v>9.3517237524280663</v>
      </c>
      <c r="G5" s="71">
        <f>'4D'!H5/'4D'!$C5*100</f>
        <v>40.938246761413659</v>
      </c>
      <c r="H5" s="71">
        <f>'4D'!I5/'4D'!$C5*100</f>
        <v>11.857348481672467</v>
      </c>
      <c r="I5" s="71">
        <f>'4D'!J5/'4D'!$C5*100</f>
        <v>8.4783185902541955</v>
      </c>
      <c r="J5" s="71">
        <f>'4D'!K5/'4D'!$C5*100</f>
        <v>20.602579689486998</v>
      </c>
      <c r="K5" s="71">
        <f>'4D'!L5/'4D'!$C5*100</f>
        <v>49.369052110845594</v>
      </c>
      <c r="L5" s="71">
        <f>'4D'!M5/'4D'!$C5*100</f>
        <v>19.885688732374685</v>
      </c>
      <c r="M5" s="71">
        <f>'4D'!N5/'4D'!$C5*100</f>
        <v>29.483363378470912</v>
      </c>
      <c r="O5" s="3">
        <v>2001</v>
      </c>
      <c r="P5" s="3" t="e">
        <f>((#REF!/#REF!)-1)*100</f>
        <v>#REF!</v>
      </c>
      <c r="Q5" s="3" t="e">
        <f>((B4/#REF!)-1)*100</f>
        <v>#REF!</v>
      </c>
      <c r="R5" s="3" t="e">
        <f>((C4/#REF!)-1)*100</f>
        <v>#REF!</v>
      </c>
      <c r="S5" s="3" t="e">
        <f>((G4/#REF!)-1)*100</f>
        <v>#REF!</v>
      </c>
      <c r="T5" s="3" t="e">
        <f>((K4/#REF!)-1)*100</f>
        <v>#REF!</v>
      </c>
      <c r="U5" s="3" t="e">
        <f>((L4/#REF!)-1)*100</f>
        <v>#REF!</v>
      </c>
      <c r="V5" s="3" t="e">
        <f>((M4/#REF!)-1)*100</f>
        <v>#REF!</v>
      </c>
    </row>
    <row r="6" spans="1:22">
      <c r="A6" s="240">
        <v>2003</v>
      </c>
      <c r="B6" s="71">
        <f>'4D'!C6/'4D'!$C6*100</f>
        <v>100</v>
      </c>
      <c r="C6" s="71">
        <f>'4D'!D6/'4D'!$C6*100</f>
        <v>9.7464533227511723</v>
      </c>
      <c r="D6" s="71" t="s">
        <v>9</v>
      </c>
      <c r="E6" s="71" t="s">
        <v>9</v>
      </c>
      <c r="F6" s="71">
        <f>'4D'!G6/'4D'!$C6*100</f>
        <v>9.3637948383622209</v>
      </c>
      <c r="G6" s="71">
        <f>'4D'!H6/'4D'!$C6*100</f>
        <v>40.305276435323627</v>
      </c>
      <c r="H6" s="71">
        <f>'4D'!I6/'4D'!$C6*100</f>
        <v>11.109851330092546</v>
      </c>
      <c r="I6" s="71">
        <f>'4D'!J6/'4D'!$C6*100</f>
        <v>8.77421732167406</v>
      </c>
      <c r="J6" s="71">
        <f>'4D'!K6/'4D'!$C6*100</f>
        <v>20.422625037202906</v>
      </c>
      <c r="K6" s="71">
        <f>'4D'!L6/'4D'!$C6*100</f>
        <v>49.948270241925194</v>
      </c>
      <c r="L6" s="71">
        <f>'4D'!M6/'4D'!$C6*100</f>
        <v>19.03229921058972</v>
      </c>
      <c r="M6" s="71">
        <f>'4D'!N6/'4D'!$C6*100</f>
        <v>30.915971031335477</v>
      </c>
      <c r="O6" s="3">
        <v>2002</v>
      </c>
      <c r="P6" s="3" t="e">
        <f>((#REF!/#REF!)-1)*100</f>
        <v>#REF!</v>
      </c>
      <c r="Q6" s="3">
        <f t="shared" ref="Q6:R16" si="0">((B5/B4)-1)*100</f>
        <v>0</v>
      </c>
      <c r="R6" s="3">
        <f t="shared" si="0"/>
        <v>-3.4965149890980762</v>
      </c>
      <c r="S6" s="3">
        <f t="shared" ref="S6:S16" si="1">((G5/G4)-1)*100</f>
        <v>2.1961137068887471</v>
      </c>
      <c r="T6" s="3">
        <f t="shared" ref="T6:V16" si="2">((K5/K4)-1)*100</f>
        <v>-1.0592585230372875</v>
      </c>
      <c r="U6" s="3">
        <f t="shared" si="2"/>
        <v>-6.7797460148786515</v>
      </c>
      <c r="V6" s="3">
        <f t="shared" si="2"/>
        <v>3.212622859569314</v>
      </c>
    </row>
    <row r="7" spans="1:22">
      <c r="A7" s="240">
        <v>2004</v>
      </c>
      <c r="B7" s="71">
        <f>'4D'!C7/'4D'!$C7*100</f>
        <v>100</v>
      </c>
      <c r="C7" s="71">
        <f>'4D'!D7/'4D'!$C7*100</f>
        <v>9.9052415539802912</v>
      </c>
      <c r="D7" s="71" t="s">
        <v>9</v>
      </c>
      <c r="E7" s="71">
        <f>'4D'!F7/'4D'!$C7*100</f>
        <v>0.28383866319267548</v>
      </c>
      <c r="F7" s="71">
        <f>'4D'!G7/'4D'!$C7*100</f>
        <v>9.5297011688330588</v>
      </c>
      <c r="G7" s="71">
        <f>'4D'!H7/'4D'!$C7*100</f>
        <v>40.586017670776265</v>
      </c>
      <c r="H7" s="71">
        <f>'4D'!I7/'4D'!$C7*100</f>
        <v>10.867381843059052</v>
      </c>
      <c r="I7" s="71">
        <f>'4D'!J7/'4D'!$C7*100</f>
        <v>9.8688519817761033</v>
      </c>
      <c r="J7" s="71">
        <f>'4D'!K7/'4D'!$C7*100</f>
        <v>19.849783845941108</v>
      </c>
      <c r="K7" s="71">
        <f>'4D'!L7/'4D'!$C7*100</f>
        <v>49.508740775243446</v>
      </c>
      <c r="L7" s="71">
        <f>'4D'!M7/'4D'!$C7*100</f>
        <v>19.049213257448947</v>
      </c>
      <c r="M7" s="71">
        <f>'4D'!N7/'4D'!$C7*100</f>
        <v>30.459527517794498</v>
      </c>
      <c r="O7" s="3">
        <v>2003</v>
      </c>
      <c r="P7" s="3" t="e">
        <f>((#REF!/#REF!)-1)*100</f>
        <v>#REF!</v>
      </c>
      <c r="Q7" s="3">
        <f t="shared" si="0"/>
        <v>0</v>
      </c>
      <c r="R7" s="3">
        <f t="shared" si="0"/>
        <v>0.55456362784762625</v>
      </c>
      <c r="S7" s="3">
        <f t="shared" si="1"/>
        <v>-1.5461588518408065</v>
      </c>
      <c r="T7" s="3">
        <f t="shared" si="2"/>
        <v>1.1732413451631896</v>
      </c>
      <c r="U7" s="3">
        <f t="shared" si="2"/>
        <v>-4.2914758109213196</v>
      </c>
      <c r="V7" s="3">
        <f t="shared" si="2"/>
        <v>4.8590373983948831</v>
      </c>
    </row>
    <row r="8" spans="1:22">
      <c r="A8" s="240">
        <v>2005</v>
      </c>
      <c r="B8" s="71">
        <f>'4D'!C8/'4D'!$C8*100</f>
        <v>100</v>
      </c>
      <c r="C8" s="71">
        <f>'4D'!D8/'4D'!$C8*100</f>
        <v>9.9148054340317753</v>
      </c>
      <c r="D8" s="71" t="s">
        <v>9</v>
      </c>
      <c r="E8" s="71">
        <f>'4D'!F8/'4D'!$C8*100</f>
        <v>0.32235781717706652</v>
      </c>
      <c r="F8" s="71">
        <f>'4D'!G8/'4D'!$C8*100</f>
        <v>9.4880650855783255</v>
      </c>
      <c r="G8" s="71">
        <f>'4D'!H8/'4D'!$C8*100</f>
        <v>42.130631667817944</v>
      </c>
      <c r="H8" s="71">
        <f>'4D'!I8/'4D'!$C8*100</f>
        <v>11.348530201857395</v>
      </c>
      <c r="I8" s="71">
        <f>'4D'!J8/'4D'!$C8*100</f>
        <v>10.017652928083507</v>
      </c>
      <c r="J8" s="71">
        <f>'4D'!K8/'4D'!$C8*100</f>
        <v>20.76444853787704</v>
      </c>
      <c r="K8" s="71">
        <f>'4D'!L8/'4D'!$C8*100</f>
        <v>47.954562898150286</v>
      </c>
      <c r="L8" s="71">
        <f>'4D'!M8/'4D'!$C8*100</f>
        <v>17.41653235090951</v>
      </c>
      <c r="M8" s="71">
        <f>'4D'!N8/'4D'!$C8*100</f>
        <v>30.538030547240769</v>
      </c>
      <c r="O8" s="3">
        <v>2004</v>
      </c>
      <c r="P8" s="3" t="e">
        <f>((#REF!/#REF!)-1)*100</f>
        <v>#REF!</v>
      </c>
      <c r="Q8" s="3">
        <f t="shared" si="0"/>
        <v>0</v>
      </c>
      <c r="R8" s="3">
        <f t="shared" si="0"/>
        <v>1.6291898803686866</v>
      </c>
      <c r="S8" s="3">
        <f t="shared" si="1"/>
        <v>0.69653717895505896</v>
      </c>
      <c r="T8" s="3">
        <f t="shared" si="2"/>
        <v>-0.87996934539049665</v>
      </c>
      <c r="U8" s="3">
        <f t="shared" si="2"/>
        <v>8.8870223571402285E-2</v>
      </c>
      <c r="V8" s="3">
        <f t="shared" si="2"/>
        <v>-1.4764003792031688</v>
      </c>
    </row>
    <row r="9" spans="1:22">
      <c r="A9" s="240">
        <v>2006</v>
      </c>
      <c r="B9" s="71">
        <f>'4D'!C9/'4D'!$C9*100</f>
        <v>100</v>
      </c>
      <c r="C9" s="71">
        <f>'4D'!D9/'4D'!$C9*100</f>
        <v>9.6565598505532417</v>
      </c>
      <c r="D9" s="71" t="s">
        <v>9</v>
      </c>
      <c r="E9" s="71">
        <f>'4D'!F9/'4D'!$C9*100</f>
        <v>0.40395331385416172</v>
      </c>
      <c r="F9" s="71">
        <f>'4D'!G9/'4D'!$C9*100</f>
        <v>9.0514282064792209</v>
      </c>
      <c r="G9" s="71">
        <f>'4D'!H9/'4D'!$C9*100</f>
        <v>42.102153885456083</v>
      </c>
      <c r="H9" s="71">
        <f>'4D'!I9/'4D'!$C9*100</f>
        <v>10.756654053104693</v>
      </c>
      <c r="I9" s="71">
        <f>'4D'!J9/'4D'!$C9*100</f>
        <v>10.026983442704092</v>
      </c>
      <c r="J9" s="71">
        <f>'4D'!K9/'4D'!$C9*100</f>
        <v>21.316919736232855</v>
      </c>
      <c r="K9" s="71">
        <f>'4D'!L9/'4D'!$C9*100</f>
        <v>48.241286263990673</v>
      </c>
      <c r="L9" s="71">
        <f>'4D'!M9/'4D'!$C9*100</f>
        <v>17.46898500742444</v>
      </c>
      <c r="M9" s="71">
        <f>'4D'!N9/'4D'!$C9*100</f>
        <v>30.772301256566237</v>
      </c>
      <c r="O9" s="3">
        <v>2005</v>
      </c>
      <c r="P9" s="3" t="e">
        <f>((#REF!/#REF!)-1)*100</f>
        <v>#REF!</v>
      </c>
      <c r="Q9" s="3">
        <f t="shared" si="0"/>
        <v>0</v>
      </c>
      <c r="R9" s="3">
        <f t="shared" si="0"/>
        <v>9.6553728643211656E-2</v>
      </c>
      <c r="S9" s="3">
        <f t="shared" si="1"/>
        <v>3.8057786540458549</v>
      </c>
      <c r="T9" s="3">
        <f t="shared" si="2"/>
        <v>-3.1391989631663564</v>
      </c>
      <c r="U9" s="3">
        <f t="shared" si="2"/>
        <v>-8.5708574127123072</v>
      </c>
      <c r="V9" s="3">
        <f t="shared" si="2"/>
        <v>0.25772897954641216</v>
      </c>
    </row>
    <row r="10" spans="1:22">
      <c r="A10" s="240">
        <v>2007</v>
      </c>
      <c r="B10" s="71">
        <f>'4D'!C10/'4D'!$C10*100</f>
        <v>100</v>
      </c>
      <c r="C10" s="71">
        <f>'4D'!D10/'4D'!$C10*100</f>
        <v>9.287445298742961</v>
      </c>
      <c r="D10" s="71" t="s">
        <v>9</v>
      </c>
      <c r="E10" s="71">
        <f>'4D'!F10/'4D'!$C10*100</f>
        <v>0.2859284830099203</v>
      </c>
      <c r="F10" s="71">
        <f>'4D'!G10/'4D'!$C10*100</f>
        <v>8.8271701797513806</v>
      </c>
      <c r="G10" s="71">
        <f>'4D'!H10/'4D'!$C10*100</f>
        <v>42.840455393413187</v>
      </c>
      <c r="H10" s="71">
        <f>'4D'!I10/'4D'!$C10*100</f>
        <v>10.251582195721534</v>
      </c>
      <c r="I10" s="71">
        <f>'4D'!J10/'4D'!$C10*100</f>
        <v>10.019701169865927</v>
      </c>
      <c r="J10" s="71">
        <f>'4D'!K10/'4D'!$C10*100</f>
        <v>22.567428561465906</v>
      </c>
      <c r="K10" s="71">
        <f>'4D'!L10/'4D'!$C10*100</f>
        <v>47.872099307843854</v>
      </c>
      <c r="L10" s="71">
        <f>'4D'!M10/'4D'!$C10*100</f>
        <v>15.759192426382132</v>
      </c>
      <c r="M10" s="71">
        <f>'4D'!N10/'4D'!$C10*100</f>
        <v>32.112906881461726</v>
      </c>
      <c r="O10" s="3">
        <v>2006</v>
      </c>
      <c r="P10" s="3" t="e">
        <f>((#REF!/#REF!)-1)*100</f>
        <v>#REF!</v>
      </c>
      <c r="Q10" s="3">
        <f t="shared" si="0"/>
        <v>0</v>
      </c>
      <c r="R10" s="3">
        <f t="shared" si="0"/>
        <v>-2.6046460033610552</v>
      </c>
      <c r="S10" s="3">
        <f t="shared" si="1"/>
        <v>-6.7594007577187476E-2</v>
      </c>
      <c r="T10" s="3">
        <f t="shared" si="2"/>
        <v>0.59790632739027405</v>
      </c>
      <c r="U10" s="3">
        <f t="shared" si="2"/>
        <v>0.30116590064033222</v>
      </c>
      <c r="V10" s="3">
        <f t="shared" si="2"/>
        <v>0.76714413184917341</v>
      </c>
    </row>
    <row r="11" spans="1:22">
      <c r="A11" s="240">
        <v>2008</v>
      </c>
      <c r="B11" s="71">
        <f>'4D'!C11/'4D'!$C11*100</f>
        <v>100</v>
      </c>
      <c r="C11" s="71">
        <f>'4D'!D11/'4D'!$C11*100</f>
        <v>8.9531871131064218</v>
      </c>
      <c r="D11" s="71" t="s">
        <v>9</v>
      </c>
      <c r="E11" s="71">
        <f>'4D'!F11/'4D'!$C11*100</f>
        <v>0.28281549749817059</v>
      </c>
      <c r="F11" s="71">
        <f>'4D'!G11/'4D'!$C11*100</f>
        <v>8.4805094634416474</v>
      </c>
      <c r="G11" s="71">
        <f>'4D'!H11/'4D'!$C11*100</f>
        <v>41.706386092597356</v>
      </c>
      <c r="H11" s="71">
        <f>'4D'!I11/'4D'!$C11*100</f>
        <v>8.3559124260823125</v>
      </c>
      <c r="I11" s="71">
        <f>'4D'!J11/'4D'!$C11*100</f>
        <v>10.04687221881613</v>
      </c>
      <c r="J11" s="71">
        <f>'4D'!K11/'4D'!$C11*100</f>
        <v>23.30360144769891</v>
      </c>
      <c r="K11" s="71">
        <f>'4D'!L11/'4D'!$C11*100</f>
        <v>49.340426794296228</v>
      </c>
      <c r="L11" s="71">
        <f>'4D'!M11/'4D'!$C11*100</f>
        <v>15.097996558748491</v>
      </c>
      <c r="M11" s="71">
        <f>'4D'!N11/'4D'!$C11*100</f>
        <v>34.240452504795996</v>
      </c>
      <c r="O11" s="3">
        <v>2007</v>
      </c>
      <c r="P11" s="3" t="e">
        <f>((#REF!/#REF!)-1)*100</f>
        <v>#REF!</v>
      </c>
      <c r="Q11" s="3">
        <f t="shared" si="0"/>
        <v>0</v>
      </c>
      <c r="R11" s="3">
        <f t="shared" si="0"/>
        <v>-3.822422866142472</v>
      </c>
      <c r="S11" s="3">
        <f t="shared" si="1"/>
        <v>1.7535955760499489</v>
      </c>
      <c r="T11" s="3">
        <f t="shared" si="2"/>
        <v>-0.7652925216929729</v>
      </c>
      <c r="U11" s="3">
        <f t="shared" si="2"/>
        <v>-9.7875897215300984</v>
      </c>
      <c r="V11" s="3">
        <f t="shared" si="2"/>
        <v>4.3565335387759641</v>
      </c>
    </row>
    <row r="12" spans="1:22">
      <c r="A12" s="240">
        <v>2009</v>
      </c>
      <c r="B12" s="71">
        <f>'4D'!C12/'4D'!$C12*100</f>
        <v>100</v>
      </c>
      <c r="C12" s="71">
        <f>'4D'!D12/'4D'!$C12*100</f>
        <v>8.606206931240882</v>
      </c>
      <c r="D12" s="71" t="s">
        <v>9</v>
      </c>
      <c r="E12" s="71">
        <f>'4D'!F12/'4D'!$C12*100</f>
        <v>0.25904129570947138</v>
      </c>
      <c r="F12" s="71">
        <f>'4D'!G12/'4D'!$C12*100</f>
        <v>8.1032141240380255</v>
      </c>
      <c r="G12" s="71">
        <f>'4D'!H12/'4D'!$C12*100</f>
        <v>40.063377093707558</v>
      </c>
      <c r="H12" s="71">
        <f>'4D'!I12/'4D'!$C12*100</f>
        <v>7.9648911020572406</v>
      </c>
      <c r="I12" s="71">
        <f>'4D'!J12/'4D'!$C12*100</f>
        <v>8.918062471706655</v>
      </c>
      <c r="J12" s="71">
        <f>'4D'!K12/'4D'!$C12*100</f>
        <v>23.182938483979679</v>
      </c>
      <c r="K12" s="71">
        <f>'4D'!L12/'4D'!$C12*100</f>
        <v>51.330415975051558</v>
      </c>
      <c r="L12" s="71">
        <f>'4D'!M12/'4D'!$C12*100</f>
        <v>14.996730546753181</v>
      </c>
      <c r="M12" s="71">
        <f>'4D'!N12/'4D'!$C12*100</f>
        <v>36.333685428298374</v>
      </c>
      <c r="O12" s="3">
        <v>2008</v>
      </c>
      <c r="P12" s="3" t="e">
        <f>((#REF!/#REF!)-1)*100</f>
        <v>#REF!</v>
      </c>
      <c r="Q12" s="3">
        <f t="shared" si="0"/>
        <v>0</v>
      </c>
      <c r="R12" s="3">
        <f t="shared" si="0"/>
        <v>-3.5990326175248666</v>
      </c>
      <c r="S12" s="3">
        <f t="shared" si="1"/>
        <v>-2.6471924502235678</v>
      </c>
      <c r="T12" s="3">
        <f t="shared" si="2"/>
        <v>3.067188420148903</v>
      </c>
      <c r="U12" s="3">
        <f t="shared" si="2"/>
        <v>-4.1956202433745649</v>
      </c>
      <c r="V12" s="3">
        <f t="shared" si="2"/>
        <v>6.6252040999828399</v>
      </c>
    </row>
    <row r="13" spans="1:22">
      <c r="A13" s="240">
        <v>2010</v>
      </c>
      <c r="B13" s="71">
        <f>'4D'!C13/'4D'!$C13*100</f>
        <v>100</v>
      </c>
      <c r="C13" s="71">
        <f>'4D'!D13/'4D'!$C13*100</f>
        <v>8.7116470377845339</v>
      </c>
      <c r="D13" s="71" t="s">
        <v>9</v>
      </c>
      <c r="E13" s="71">
        <f>'4D'!F13/'4D'!$C13*100</f>
        <v>0.32445137061543572</v>
      </c>
      <c r="F13" s="71">
        <f>'4D'!G13/'4D'!$C13*100</f>
        <v>8.13427688220116</v>
      </c>
      <c r="G13" s="71">
        <f>'4D'!H13/'4D'!$C13*100</f>
        <v>40.357151981197148</v>
      </c>
      <c r="H13" s="71">
        <f>'4D'!I13/'4D'!$C13*100</f>
        <v>8.6631070689523035</v>
      </c>
      <c r="I13" s="71">
        <f>'4D'!J13/'4D'!$C13*100</f>
        <v>7.9554454180824159</v>
      </c>
      <c r="J13" s="71">
        <f>'4D'!K13/'4D'!$C13*100</f>
        <v>23.738599494162429</v>
      </c>
      <c r="K13" s="71">
        <f>'4D'!L13/'4D'!$C13*100</f>
        <v>50.931200981018321</v>
      </c>
      <c r="L13" s="71">
        <f>'4D'!M13/'4D'!$C13*100</f>
        <v>14.275860307079173</v>
      </c>
      <c r="M13" s="71">
        <f>'4D'!N13/'4D'!$C13*100</f>
        <v>36.652785938737445</v>
      </c>
      <c r="O13" s="3">
        <v>2009</v>
      </c>
      <c r="P13" s="3" t="e">
        <f>((#REF!/#REF!)-1)*100</f>
        <v>#REF!</v>
      </c>
      <c r="Q13" s="3">
        <f t="shared" si="0"/>
        <v>0</v>
      </c>
      <c r="R13" s="3">
        <f t="shared" si="0"/>
        <v>-3.8754934693322918</v>
      </c>
      <c r="S13" s="3">
        <f t="shared" si="1"/>
        <v>-3.9394662372375211</v>
      </c>
      <c r="T13" s="3">
        <f t="shared" si="2"/>
        <v>4.0331819362887433</v>
      </c>
      <c r="U13" s="3">
        <f t="shared" si="2"/>
        <v>-0.67072483161106922</v>
      </c>
      <c r="V13" s="3">
        <f t="shared" si="2"/>
        <v>6.1133331202593899</v>
      </c>
    </row>
    <row r="14" spans="1:22">
      <c r="A14" s="240">
        <v>2011</v>
      </c>
      <c r="B14" s="71">
        <f>'4D'!C14/'4D'!$C14*100</f>
        <v>100</v>
      </c>
      <c r="C14" s="71">
        <f>'4D'!D14/'4D'!$C14*100</f>
        <v>9.0641614618283182</v>
      </c>
      <c r="D14" s="71" t="s">
        <v>9</v>
      </c>
      <c r="E14" s="71">
        <f>'4D'!F14/'4D'!$C14*100</f>
        <v>0.4387549682547876</v>
      </c>
      <c r="F14" s="71">
        <f>'4D'!G14/'4D'!$C14*100</f>
        <v>8.3518298663087798</v>
      </c>
      <c r="G14" s="71">
        <f>'4D'!H14/'4D'!$C14*100</f>
        <v>39.926702111185669</v>
      </c>
      <c r="H14" s="71">
        <f>'4D'!I14/'4D'!$C14*100</f>
        <v>8.4034480978681678</v>
      </c>
      <c r="I14" s="71">
        <f>'4D'!J14/'4D'!$C14*100</f>
        <v>7.5027099571568678</v>
      </c>
      <c r="J14" s="71">
        <f>'4D'!K14/'4D'!$C14*100</f>
        <v>24.017963144582666</v>
      </c>
      <c r="K14" s="71">
        <f>'4D'!L14/'4D'!$C14*100</f>
        <v>51.009136426986011</v>
      </c>
      <c r="L14" s="71">
        <f>'4D'!M14/'4D'!$C14*100</f>
        <v>14.176947297785578</v>
      </c>
      <c r="M14" s="71">
        <f>'4D'!N14/'4D'!$C14*100</f>
        <v>36.83218912920043</v>
      </c>
      <c r="O14" s="3">
        <v>2010</v>
      </c>
      <c r="P14" s="3" t="e">
        <f>((#REF!/#REF!)-1)*100</f>
        <v>#REF!</v>
      </c>
      <c r="Q14" s="3">
        <f t="shared" si="0"/>
        <v>0</v>
      </c>
      <c r="R14" s="3">
        <f t="shared" si="0"/>
        <v>1.2251635056658827</v>
      </c>
      <c r="S14" s="3">
        <f t="shared" si="1"/>
        <v>0.73327539713503587</v>
      </c>
      <c r="T14" s="3">
        <f t="shared" si="2"/>
        <v>-0.77773574682751256</v>
      </c>
      <c r="U14" s="3">
        <f t="shared" si="2"/>
        <v>-4.8068493157668808</v>
      </c>
      <c r="V14" s="3">
        <f t="shared" si="2"/>
        <v>0.87824977476835819</v>
      </c>
    </row>
    <row r="15" spans="1:22">
      <c r="A15" s="240">
        <v>2012</v>
      </c>
      <c r="B15" s="71">
        <f>'4D'!C15/'4D'!$C15*100</f>
        <v>100</v>
      </c>
      <c r="C15" s="71">
        <f>'4D'!D15/'4D'!$C15*100</f>
        <v>9.0633048664768872</v>
      </c>
      <c r="D15" s="71" t="s">
        <v>9</v>
      </c>
      <c r="E15" s="71">
        <f>'4D'!F15/'4D'!$C15*100</f>
        <v>0.25484614341873391</v>
      </c>
      <c r="F15" s="71">
        <f>'4D'!G15/'4D'!$C15*100</f>
        <v>8.6078351633455323</v>
      </c>
      <c r="G15" s="71">
        <f>'4D'!H15/'4D'!$C15*100</f>
        <v>42.133658668835572</v>
      </c>
      <c r="H15" s="71">
        <f>'4D'!I15/'4D'!$C15*100</f>
        <v>7.7700962450860782</v>
      </c>
      <c r="I15" s="71">
        <f>'4D'!J15/'4D'!$C15*100</f>
        <v>8.3882336993357729</v>
      </c>
      <c r="J15" s="71">
        <f>'4D'!K15/'4D'!$C15*100</f>
        <v>25.972617595228414</v>
      </c>
      <c r="K15" s="71">
        <f>'4D'!L15/'4D'!$C15*100</f>
        <v>48.803036464687544</v>
      </c>
      <c r="L15" s="71">
        <f>'4D'!M15/'4D'!$C15*100</f>
        <v>12.47661651077674</v>
      </c>
      <c r="M15" s="71">
        <f>'4D'!N15/'4D'!$C15*100</f>
        <v>36.329131083096108</v>
      </c>
      <c r="O15" s="3">
        <v>2011</v>
      </c>
      <c r="P15" s="3" t="e">
        <f>((#REF!/#REF!)-1)*100</f>
        <v>#REF!</v>
      </c>
      <c r="Q15" s="3">
        <f t="shared" si="0"/>
        <v>0</v>
      </c>
      <c r="R15" s="3">
        <f t="shared" si="0"/>
        <v>4.0464727566996705</v>
      </c>
      <c r="S15" s="3">
        <f t="shared" si="1"/>
        <v>-1.0666012066759101</v>
      </c>
      <c r="T15" s="3">
        <f t="shared" si="2"/>
        <v>0.15302102535681428</v>
      </c>
      <c r="U15" s="3">
        <f t="shared" si="2"/>
        <v>-0.69286899119169743</v>
      </c>
      <c r="V15" s="3">
        <f t="shared" si="2"/>
        <v>0.48946672365599575</v>
      </c>
    </row>
    <row r="16" spans="1:22">
      <c r="A16" s="20">
        <v>2013</v>
      </c>
      <c r="B16" s="71">
        <f>'4D'!C16/'4D'!$C16*100</f>
        <v>100</v>
      </c>
      <c r="C16" s="71">
        <f>'4D'!D16/'4D'!$C16*100</f>
        <v>9.4289800858180222</v>
      </c>
      <c r="D16" s="71" t="s">
        <v>9</v>
      </c>
      <c r="E16" s="71">
        <f>'4D'!F16/'4D'!$C16*100</f>
        <v>9.3519639124216083E-2</v>
      </c>
      <c r="F16" s="71">
        <f>'4D'!G16/'4D'!$C16*100</f>
        <v>9.1731763670370778</v>
      </c>
      <c r="G16" s="71">
        <f>'4D'!H16/'4D'!$C16*100</f>
        <v>42.262625151281767</v>
      </c>
      <c r="H16" s="71">
        <f>'4D'!I16/'4D'!$C16*100</f>
        <v>8.0316866541973813</v>
      </c>
      <c r="I16" s="71">
        <f>'4D'!J16/'4D'!$C16*100</f>
        <v>7.4155572670260756</v>
      </c>
      <c r="J16" s="71">
        <f>'4D'!K16/'4D'!$C16*100</f>
        <v>26.815381230058311</v>
      </c>
      <c r="K16" s="71">
        <f>'4D'!L16/'4D'!$C16*100</f>
        <v>48.308394762900207</v>
      </c>
      <c r="L16" s="71">
        <f>'4D'!M16/'4D'!$C16*100</f>
        <v>13.670370777863353</v>
      </c>
      <c r="M16" s="71">
        <f>'4D'!N16/'4D'!$C16*100</f>
        <v>34.63802398503686</v>
      </c>
      <c r="O16" s="3">
        <v>2012</v>
      </c>
      <c r="P16" s="3" t="e">
        <f>((#REF!/#REF!)-1)*100</f>
        <v>#REF!</v>
      </c>
      <c r="Q16" s="3">
        <f t="shared" si="0"/>
        <v>0</v>
      </c>
      <c r="R16" s="3">
        <f t="shared" si="0"/>
        <v>-9.4503540679191644E-3</v>
      </c>
      <c r="S16" s="3">
        <f t="shared" si="1"/>
        <v>5.5275202833033665</v>
      </c>
      <c r="T16" s="3">
        <f t="shared" si="2"/>
        <v>-4.324911411617915</v>
      </c>
      <c r="U16" s="3">
        <f t="shared" si="2"/>
        <v>-11.993631289540218</v>
      </c>
      <c r="V16" s="3">
        <f t="shared" si="2"/>
        <v>-1.3658108790104428</v>
      </c>
    </row>
    <row r="17" spans="1:22">
      <c r="A17" s="146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22">
      <c r="A18" s="146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22">
      <c r="A19" s="460" t="s">
        <v>32</v>
      </c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P19" s="3" t="s">
        <v>27</v>
      </c>
    </row>
    <row r="20" spans="1:22" ht="30">
      <c r="A20" s="243" t="s">
        <v>71</v>
      </c>
      <c r="B20" s="13">
        <f t="shared" ref="B20:M20" si="3">((B10/B4)^(1/6)-1)*100</f>
        <v>0</v>
      </c>
      <c r="C20" s="13">
        <f t="shared" si="3"/>
        <v>-1.2965330663576413</v>
      </c>
      <c r="D20" s="62" t="s">
        <v>10</v>
      </c>
      <c r="E20" s="13">
        <f t="shared" si="3"/>
        <v>18.531328024254059</v>
      </c>
      <c r="F20" s="13">
        <f t="shared" si="3"/>
        <v>-1.8388141357923216</v>
      </c>
      <c r="G20" s="13">
        <f t="shared" si="3"/>
        <v>1.1253109473109202</v>
      </c>
      <c r="H20" s="13">
        <f t="shared" si="3"/>
        <v>-3.2115554201421537</v>
      </c>
      <c r="I20" s="13">
        <f t="shared" si="3"/>
        <v>3.7960357923007448</v>
      </c>
      <c r="J20" s="13">
        <f t="shared" si="3"/>
        <v>2.3979684950621971</v>
      </c>
      <c r="K20" s="13">
        <f t="shared" si="3"/>
        <v>-0.68828674146244051</v>
      </c>
      <c r="L20" s="13">
        <f t="shared" si="3"/>
        <v>-4.9211470095402277</v>
      </c>
      <c r="M20" s="13">
        <f t="shared" si="3"/>
        <v>1.9700349697091113</v>
      </c>
      <c r="O20" s="3">
        <v>1999</v>
      </c>
      <c r="P20" s="3" t="e">
        <f>#REF!/#REF!</f>
        <v>#REF!</v>
      </c>
      <c r="Q20" s="3" t="e">
        <f>#REF!/#REF!</f>
        <v>#REF!</v>
      </c>
      <c r="R20" s="3" t="e">
        <f>#REF!/#REF!</f>
        <v>#REF!</v>
      </c>
      <c r="S20" s="3" t="e">
        <f>#REF!/#REF!</f>
        <v>#REF!</v>
      </c>
      <c r="T20" s="3" t="e">
        <f>#REF!/#REF!</f>
        <v>#REF!</v>
      </c>
      <c r="U20" s="3" t="e">
        <f>#REF!/#REF!</f>
        <v>#REF!</v>
      </c>
      <c r="V20" s="3" t="e">
        <f>#REF!/#REF!</f>
        <v>#REF!</v>
      </c>
    </row>
    <row r="21" spans="1:22" ht="30">
      <c r="A21" s="243" t="s">
        <v>69</v>
      </c>
      <c r="B21" s="13">
        <f t="shared" ref="B21:M21" si="4">((B16/B10)^(1/6)-1)*100</f>
        <v>0</v>
      </c>
      <c r="C21" s="13">
        <f t="shared" si="4"/>
        <v>0.25239154275149556</v>
      </c>
      <c r="D21" s="62" t="s">
        <v>10</v>
      </c>
      <c r="E21" s="13">
        <f t="shared" si="4"/>
        <v>-16.994366773797832</v>
      </c>
      <c r="F21" s="13">
        <f t="shared" si="4"/>
        <v>0.64287643307014974</v>
      </c>
      <c r="G21" s="13">
        <f t="shared" si="4"/>
        <v>-0.22607317392255855</v>
      </c>
      <c r="H21" s="13">
        <f t="shared" si="4"/>
        <v>-3.9856875267465286</v>
      </c>
      <c r="I21" s="13">
        <f t="shared" si="4"/>
        <v>-4.8924843691652171</v>
      </c>
      <c r="J21" s="13">
        <f t="shared" si="4"/>
        <v>2.9161781057188918</v>
      </c>
      <c r="K21" s="13">
        <f t="shared" si="4"/>
        <v>0.15132260020940258</v>
      </c>
      <c r="L21" s="13">
        <f t="shared" si="4"/>
        <v>-2.3420232202801983</v>
      </c>
      <c r="M21" s="13">
        <f t="shared" si="4"/>
        <v>1.2695580715452515</v>
      </c>
      <c r="O21" s="3">
        <v>2000</v>
      </c>
      <c r="P21" s="3" t="e">
        <f>#REF!/#REF!</f>
        <v>#REF!</v>
      </c>
      <c r="Q21" s="3" t="e">
        <f>#REF!/#REF!</f>
        <v>#REF!</v>
      </c>
      <c r="R21" s="3" t="e">
        <f>#REF!/#REF!</f>
        <v>#REF!</v>
      </c>
      <c r="S21" s="3" t="e">
        <f>#REF!/#REF!</f>
        <v>#REF!</v>
      </c>
      <c r="T21" s="3" t="e">
        <f>#REF!/#REF!</f>
        <v>#REF!</v>
      </c>
      <c r="U21" s="3" t="e">
        <f>#REF!/#REF!</f>
        <v>#REF!</v>
      </c>
      <c r="V21" s="3" t="e">
        <f>#REF!/#REF!</f>
        <v>#REF!</v>
      </c>
    </row>
    <row r="22" spans="1:22" ht="30">
      <c r="A22" s="243" t="s">
        <v>72</v>
      </c>
      <c r="B22" s="13">
        <f t="shared" ref="B22:M22" si="5">((B16/B4)^(1/12)-1)*100</f>
        <v>0</v>
      </c>
      <c r="C22" s="13">
        <f t="shared" si="5"/>
        <v>-0.52508550564851486</v>
      </c>
      <c r="D22" s="62" t="s">
        <v>10</v>
      </c>
      <c r="E22" s="13">
        <f t="shared" si="5"/>
        <v>-0.8094362361222851</v>
      </c>
      <c r="F22" s="13">
        <f t="shared" si="5"/>
        <v>-0.60571394966868475</v>
      </c>
      <c r="G22" s="13">
        <f t="shared" si="5"/>
        <v>0.44734628013487487</v>
      </c>
      <c r="H22" s="13">
        <f t="shared" si="5"/>
        <v>-3.5993985408252382</v>
      </c>
      <c r="I22" s="13">
        <f t="shared" si="5"/>
        <v>-0.6431527445897145</v>
      </c>
      <c r="J22" s="13">
        <f t="shared" si="5"/>
        <v>2.6567463116847989</v>
      </c>
      <c r="K22" s="13">
        <f t="shared" si="5"/>
        <v>-0.2693656265273292</v>
      </c>
      <c r="L22" s="13">
        <f t="shared" si="5"/>
        <v>-3.6402136906442006</v>
      </c>
      <c r="M22" s="13">
        <f t="shared" si="5"/>
        <v>1.6191929603972754</v>
      </c>
      <c r="O22" s="3">
        <v>2001</v>
      </c>
      <c r="P22" s="3" t="e">
        <f>#REF!/#REF!</f>
        <v>#REF!</v>
      </c>
      <c r="Q22" s="3" t="e">
        <f>B4/#REF!</f>
        <v>#REF!</v>
      </c>
      <c r="R22" s="3" t="e">
        <f>C4/#REF!</f>
        <v>#REF!</v>
      </c>
      <c r="S22" s="3" t="e">
        <f>G4/#REF!</f>
        <v>#REF!</v>
      </c>
      <c r="T22" s="3" t="e">
        <f>K4/#REF!</f>
        <v>#REF!</v>
      </c>
      <c r="U22" s="3" t="e">
        <f>L4/#REF!</f>
        <v>#REF!</v>
      </c>
      <c r="V22" s="3" t="e">
        <f>M4/#REF!</f>
        <v>#REF!</v>
      </c>
    </row>
    <row r="23" spans="1:22">
      <c r="O23" s="3">
        <v>2002</v>
      </c>
      <c r="P23" s="3" t="e">
        <f>#REF!/#REF!</f>
        <v>#REF!</v>
      </c>
      <c r="Q23" s="3" t="e">
        <f>B5/#REF!</f>
        <v>#REF!</v>
      </c>
      <c r="R23" s="3" t="e">
        <f>C5/#REF!</f>
        <v>#REF!</v>
      </c>
      <c r="S23" s="3" t="e">
        <f>G5/#REF!</f>
        <v>#REF!</v>
      </c>
      <c r="T23" s="3" t="e">
        <f>K5/#REF!</f>
        <v>#REF!</v>
      </c>
      <c r="U23" s="3" t="e">
        <f>L5/#REF!</f>
        <v>#REF!</v>
      </c>
      <c r="V23" s="3" t="e">
        <f>M5/#REF!</f>
        <v>#REF!</v>
      </c>
    </row>
    <row r="24" spans="1:22">
      <c r="A24" s="239" t="s">
        <v>317</v>
      </c>
      <c r="O24" s="3">
        <v>2003</v>
      </c>
      <c r="P24" s="3" t="e">
        <f>#REF!/#REF!</f>
        <v>#REF!</v>
      </c>
      <c r="Q24" s="3" t="e">
        <f>B6/#REF!</f>
        <v>#REF!</v>
      </c>
      <c r="R24" s="3" t="e">
        <f>C6/#REF!</f>
        <v>#REF!</v>
      </c>
      <c r="S24" s="3" t="e">
        <f>G6/#REF!</f>
        <v>#REF!</v>
      </c>
      <c r="T24" s="3" t="e">
        <f>K6/#REF!</f>
        <v>#REF!</v>
      </c>
      <c r="U24" s="3" t="e">
        <f>L6/#REF!</f>
        <v>#REF!</v>
      </c>
      <c r="V24" s="3" t="e">
        <f>M6/#REF!</f>
        <v>#REF!</v>
      </c>
    </row>
    <row r="25" spans="1:22">
      <c r="A25" s="59"/>
      <c r="O25" s="3">
        <v>2004</v>
      </c>
      <c r="P25" s="3" t="e">
        <f>#REF!/#REF!</f>
        <v>#REF!</v>
      </c>
      <c r="Q25" s="3" t="e">
        <f>B7/#REF!</f>
        <v>#REF!</v>
      </c>
      <c r="R25" s="3" t="e">
        <f>C7/#REF!</f>
        <v>#REF!</v>
      </c>
      <c r="S25" s="3" t="e">
        <f>G7/#REF!</f>
        <v>#REF!</v>
      </c>
      <c r="T25" s="3" t="e">
        <f>K7/#REF!</f>
        <v>#REF!</v>
      </c>
      <c r="U25" s="3" t="e">
        <f>L7/#REF!</f>
        <v>#REF!</v>
      </c>
      <c r="V25" s="3" t="e">
        <f>M7/#REF!</f>
        <v>#REF!</v>
      </c>
    </row>
    <row r="26" spans="1:22">
      <c r="O26" s="3">
        <v>2005</v>
      </c>
      <c r="P26" s="3" t="e">
        <f>#REF!/#REF!</f>
        <v>#REF!</v>
      </c>
      <c r="Q26" s="3" t="e">
        <f>B8/#REF!</f>
        <v>#REF!</v>
      </c>
      <c r="R26" s="3" t="e">
        <f>C8/#REF!</f>
        <v>#REF!</v>
      </c>
      <c r="S26" s="3" t="e">
        <f>G8/#REF!</f>
        <v>#REF!</v>
      </c>
      <c r="T26" s="3" t="e">
        <f>K8/#REF!</f>
        <v>#REF!</v>
      </c>
      <c r="U26" s="3" t="e">
        <f>L8/#REF!</f>
        <v>#REF!</v>
      </c>
      <c r="V26" s="3" t="e">
        <f>M8/#REF!</f>
        <v>#REF!</v>
      </c>
    </row>
    <row r="27" spans="1:22">
      <c r="O27" s="3">
        <v>2006</v>
      </c>
      <c r="P27" s="3" t="e">
        <f>#REF!/#REF!</f>
        <v>#REF!</v>
      </c>
      <c r="Q27" s="3" t="e">
        <f>B9/#REF!</f>
        <v>#REF!</v>
      </c>
      <c r="R27" s="3" t="e">
        <f>C9/#REF!</f>
        <v>#REF!</v>
      </c>
      <c r="S27" s="3" t="e">
        <f>G9/#REF!</f>
        <v>#REF!</v>
      </c>
      <c r="T27" s="3" t="e">
        <f>K9/#REF!</f>
        <v>#REF!</v>
      </c>
      <c r="U27" s="3" t="e">
        <f>L9/#REF!</f>
        <v>#REF!</v>
      </c>
      <c r="V27" s="3" t="e">
        <f>M9/#REF!</f>
        <v>#REF!</v>
      </c>
    </row>
    <row r="28" spans="1:22">
      <c r="O28" s="3">
        <v>2007</v>
      </c>
      <c r="P28" s="3" t="e">
        <f>#REF!/#REF!</f>
        <v>#REF!</v>
      </c>
      <c r="Q28" s="3" t="e">
        <f>B10/#REF!</f>
        <v>#REF!</v>
      </c>
      <c r="R28" s="3" t="e">
        <f>C10/#REF!</f>
        <v>#REF!</v>
      </c>
      <c r="S28" s="3" t="e">
        <f>G10/#REF!</f>
        <v>#REF!</v>
      </c>
      <c r="T28" s="3" t="e">
        <f>K10/#REF!</f>
        <v>#REF!</v>
      </c>
      <c r="U28" s="3" t="e">
        <f>L10/#REF!</f>
        <v>#REF!</v>
      </c>
      <c r="V28" s="3" t="e">
        <f>M10/#REF!</f>
        <v>#REF!</v>
      </c>
    </row>
    <row r="29" spans="1:22">
      <c r="O29" s="3">
        <v>2008</v>
      </c>
      <c r="P29" s="3" t="e">
        <f>#REF!/#REF!</f>
        <v>#REF!</v>
      </c>
      <c r="Q29" s="3" t="e">
        <f>B11/#REF!</f>
        <v>#REF!</v>
      </c>
      <c r="R29" s="3" t="e">
        <f>C11/#REF!</f>
        <v>#REF!</v>
      </c>
      <c r="S29" s="3" t="e">
        <f>G11/#REF!</f>
        <v>#REF!</v>
      </c>
      <c r="T29" s="3" t="e">
        <f>K11/#REF!</f>
        <v>#REF!</v>
      </c>
      <c r="U29" s="3" t="e">
        <f>L11/#REF!</f>
        <v>#REF!</v>
      </c>
      <c r="V29" s="3" t="e">
        <f>M11/#REF!</f>
        <v>#REF!</v>
      </c>
    </row>
    <row r="30" spans="1:22">
      <c r="O30" s="3">
        <v>2009</v>
      </c>
      <c r="P30" s="3" t="e">
        <f>#REF!/#REF!</f>
        <v>#REF!</v>
      </c>
      <c r="Q30" s="3" t="e">
        <f>B12/#REF!</f>
        <v>#REF!</v>
      </c>
      <c r="R30" s="3" t="e">
        <f>C12/#REF!</f>
        <v>#REF!</v>
      </c>
      <c r="S30" s="3" t="e">
        <f>G12/#REF!</f>
        <v>#REF!</v>
      </c>
      <c r="T30" s="3" t="e">
        <f>K12/#REF!</f>
        <v>#REF!</v>
      </c>
      <c r="U30" s="3" t="e">
        <f>L12/#REF!</f>
        <v>#REF!</v>
      </c>
      <c r="V30" s="3" t="e">
        <f>M12/#REF!</f>
        <v>#REF!</v>
      </c>
    </row>
    <row r="31" spans="1:22">
      <c r="O31" s="3">
        <v>2010</v>
      </c>
      <c r="P31" s="3" t="e">
        <f>#REF!/#REF!</f>
        <v>#REF!</v>
      </c>
      <c r="Q31" s="3" t="e">
        <f>B13/#REF!</f>
        <v>#REF!</v>
      </c>
      <c r="R31" s="3" t="e">
        <f>C13/#REF!</f>
        <v>#REF!</v>
      </c>
      <c r="S31" s="3" t="e">
        <f>G13/#REF!</f>
        <v>#REF!</v>
      </c>
      <c r="T31" s="3" t="e">
        <f>K13/#REF!</f>
        <v>#REF!</v>
      </c>
      <c r="U31" s="3" t="e">
        <f>L13/#REF!</f>
        <v>#REF!</v>
      </c>
      <c r="V31" s="3" t="e">
        <f>M13/#REF!</f>
        <v>#REF!</v>
      </c>
    </row>
    <row r="32" spans="1:22">
      <c r="O32" s="3">
        <v>2011</v>
      </c>
      <c r="P32" s="3" t="e">
        <f>#REF!/#REF!</f>
        <v>#REF!</v>
      </c>
      <c r="Q32" s="3" t="e">
        <f>B14/#REF!</f>
        <v>#REF!</v>
      </c>
      <c r="R32" s="3" t="e">
        <f>C14/#REF!</f>
        <v>#REF!</v>
      </c>
      <c r="S32" s="3" t="e">
        <f>G14/#REF!</f>
        <v>#REF!</v>
      </c>
      <c r="T32" s="3" t="e">
        <f>K14/#REF!</f>
        <v>#REF!</v>
      </c>
      <c r="U32" s="3" t="e">
        <f>L14/#REF!</f>
        <v>#REF!</v>
      </c>
      <c r="V32" s="3" t="e">
        <f>M14/#REF!</f>
        <v>#REF!</v>
      </c>
    </row>
    <row r="33" spans="15:22">
      <c r="O33" s="3">
        <v>2012</v>
      </c>
      <c r="P33" s="3" t="e">
        <f>#REF!/#REF!</f>
        <v>#REF!</v>
      </c>
      <c r="Q33" s="3" t="e">
        <f>B15/#REF!</f>
        <v>#REF!</v>
      </c>
      <c r="R33" s="3" t="e">
        <f>C15/#REF!</f>
        <v>#REF!</v>
      </c>
      <c r="S33" s="3" t="e">
        <f>G15/#REF!</f>
        <v>#REF!</v>
      </c>
      <c r="T33" s="3" t="e">
        <f>K15/#REF!</f>
        <v>#REF!</v>
      </c>
      <c r="U33" s="3" t="e">
        <f>L15/#REF!</f>
        <v>#REF!</v>
      </c>
      <c r="V33" s="3" t="e">
        <f>M15/#REF!</f>
        <v>#REF!</v>
      </c>
    </row>
  </sheetData>
  <mergeCells count="2">
    <mergeCell ref="A1:M1"/>
    <mergeCell ref="A19:M19"/>
  </mergeCells>
  <printOptions gridLines="1"/>
  <pageMargins left="0.7" right="0.7" top="0.75" bottom="0.75" header="0.3" footer="0.3"/>
  <pageSetup scale="74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zoomScaleNormal="100" zoomScaleSheetLayoutView="100" workbookViewId="0">
      <selection activeCell="D4" sqref="D4"/>
    </sheetView>
  </sheetViews>
  <sheetFormatPr defaultRowHeight="15"/>
  <cols>
    <col min="1" max="12" width="9.140625" style="3"/>
    <col min="13" max="21" width="0" style="3" hidden="1" customWidth="1"/>
    <col min="22" max="16384" width="9.140625" style="3"/>
  </cols>
  <sheetData>
    <row r="1" spans="1:20">
      <c r="A1" s="454" t="s">
        <v>190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8"/>
      <c r="B2" s="18" t="s">
        <v>2</v>
      </c>
      <c r="C2" s="18" t="s">
        <v>8</v>
      </c>
      <c r="D2" s="18" t="s">
        <v>20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5</v>
      </c>
      <c r="J2" s="18" t="s">
        <v>6</v>
      </c>
      <c r="K2" s="18" t="s">
        <v>7</v>
      </c>
    </row>
    <row r="3" spans="1:20">
      <c r="A3" s="18"/>
      <c r="B3" s="6"/>
      <c r="C3" s="6"/>
      <c r="D3" s="6"/>
      <c r="E3" s="6"/>
      <c r="F3" s="52"/>
      <c r="G3" s="52"/>
      <c r="H3" s="52"/>
      <c r="I3" s="6"/>
      <c r="J3" s="6"/>
      <c r="K3" s="6"/>
    </row>
    <row r="4" spans="1:20">
      <c r="A4" s="18">
        <v>1997</v>
      </c>
      <c r="B4" s="17">
        <f>'2A'!B17/'4A'!B4/52</f>
        <v>33.692568181542825</v>
      </c>
      <c r="C4" s="17" t="s">
        <v>10</v>
      </c>
      <c r="D4" s="17">
        <f>'2A'!D17/'4A'!D4/52</f>
        <v>26.141381766381762</v>
      </c>
      <c r="E4" s="17">
        <f>'2A'!E17/'4A'!H4/52</f>
        <v>31.768404626399857</v>
      </c>
      <c r="F4" s="17">
        <f>'2A'!F17/'4A'!I4/52</f>
        <v>29.639727361246347</v>
      </c>
      <c r="G4" s="17">
        <f>'2A'!G17/'4A'!J4/52</f>
        <v>45.597381342062185</v>
      </c>
      <c r="H4" s="17">
        <f>'2A'!H17/'4A'!K4/52</f>
        <v>30.690883190883191</v>
      </c>
      <c r="I4" s="17" t="s">
        <v>10</v>
      </c>
      <c r="J4" s="17" t="s">
        <v>10</v>
      </c>
      <c r="K4" s="17" t="s">
        <v>10</v>
      </c>
      <c r="N4" s="3" t="s">
        <v>24</v>
      </c>
    </row>
    <row r="5" spans="1:20">
      <c r="A5" s="18">
        <v>1998</v>
      </c>
      <c r="B5" s="17">
        <f>'2A'!B18/'4A'!B5/52</f>
        <v>33.553421361460778</v>
      </c>
      <c r="C5" s="17">
        <f>'2A'!C18/'4A'!C5/52</f>
        <v>30.841905187835422</v>
      </c>
      <c r="D5" s="17">
        <f>'2A'!D18/'4A'!D5/52</f>
        <v>30.358851674641151</v>
      </c>
      <c r="E5" s="17">
        <f>'2A'!E18/'4A'!H5/52</f>
        <v>29.534547311095984</v>
      </c>
      <c r="F5" s="17">
        <f>'2A'!F18/'4A'!I5/52</f>
        <v>28.798467792370232</v>
      </c>
      <c r="G5" s="17">
        <f>'2A'!G18/'4A'!J5/52</f>
        <v>38.047082228116714</v>
      </c>
      <c r="H5" s="17">
        <f>'2A'!H18/'4A'!K5/52</f>
        <v>27.237996902426435</v>
      </c>
      <c r="I5" s="17">
        <f>'2A'!I18/'4A'!L5/52</f>
        <v>32.70682148040639</v>
      </c>
      <c r="J5" s="17">
        <f>'2A'!J18/'4A'!M5/52</f>
        <v>28.391671278361926</v>
      </c>
      <c r="K5" s="17">
        <f>'2A'!K18/'4A'!N5/52</f>
        <v>46.101588628762549</v>
      </c>
      <c r="N5" s="3" t="s">
        <v>2</v>
      </c>
      <c r="O5" s="3" t="s">
        <v>8</v>
      </c>
      <c r="P5" s="3" t="s">
        <v>20</v>
      </c>
      <c r="Q5" s="3" t="s">
        <v>4</v>
      </c>
      <c r="R5" s="3" t="s">
        <v>5</v>
      </c>
      <c r="S5" s="3" t="s">
        <v>6</v>
      </c>
      <c r="T5" s="3" t="s">
        <v>7</v>
      </c>
    </row>
    <row r="6" spans="1:20">
      <c r="A6" s="18">
        <v>1999</v>
      </c>
      <c r="B6" s="17">
        <f>'2A'!B19/'4A'!B6/52</f>
        <v>33.914877282880653</v>
      </c>
      <c r="C6" s="17">
        <f>'2A'!C19/'4A'!C6/52</f>
        <v>30.323183760683762</v>
      </c>
      <c r="D6" s="17">
        <f>'2A'!D19/'4A'!D6/52</f>
        <v>31.615566037735849</v>
      </c>
      <c r="E6" s="17">
        <f>'2A'!E19/'4A'!H6/52</f>
        <v>28.796224059915744</v>
      </c>
      <c r="F6" s="17">
        <f>'2A'!F19/'4A'!I6/52</f>
        <v>29.766272189349113</v>
      </c>
      <c r="G6" s="17">
        <f>'2A'!G19/'4A'!J6/52</f>
        <v>31.669453734671126</v>
      </c>
      <c r="H6" s="17">
        <f>'2A'!H19/'4A'!K6/52</f>
        <v>26.049484052532836</v>
      </c>
      <c r="I6" s="17">
        <f>'2A'!I19/'4A'!L6/52</f>
        <v>31.6</v>
      </c>
      <c r="J6" s="17">
        <f>'2A'!J19/'4A'!M6/52</f>
        <v>27.235490141627324</v>
      </c>
      <c r="K6" s="17">
        <f>'2A'!K19/'4A'!N6/52</f>
        <v>43.936420722135004</v>
      </c>
      <c r="M6" s="3">
        <v>1998</v>
      </c>
      <c r="N6" s="3">
        <f>((B5/B4)-1)*100</f>
        <v>-0.41298965199771942</v>
      </c>
      <c r="O6" s="3" t="e">
        <f>((C5/C4)-1)*100</f>
        <v>#VALUE!</v>
      </c>
      <c r="P6" s="3">
        <f>((D5/D4)-1)*100</f>
        <v>16.133309042152931</v>
      </c>
      <c r="Q6" s="3">
        <f>((E5/E4)-1)*100</f>
        <v>-7.0316949861798044</v>
      </c>
      <c r="R6" s="3" t="e">
        <f t="shared" ref="R6:T20" si="0">((I5/I4)-1)*100</f>
        <v>#VALUE!</v>
      </c>
      <c r="S6" s="3" t="e">
        <f t="shared" si="0"/>
        <v>#VALUE!</v>
      </c>
      <c r="T6" s="3" t="e">
        <f t="shared" si="0"/>
        <v>#VALUE!</v>
      </c>
    </row>
    <row r="7" spans="1:20">
      <c r="A7" s="18">
        <v>2000</v>
      </c>
      <c r="B7" s="17">
        <f>'2A'!B20/'4A'!B7/52</f>
        <v>33.555897285134385</v>
      </c>
      <c r="C7" s="17">
        <f>'2A'!C20/'4A'!C7/52</f>
        <v>32.301080008816399</v>
      </c>
      <c r="D7" s="17">
        <f>'2A'!D20/'4A'!D7/52</f>
        <v>34.26858254105445</v>
      </c>
      <c r="E7" s="17">
        <f>'2A'!E20/'4A'!H7/52</f>
        <v>30.441484585453455</v>
      </c>
      <c r="F7" s="17">
        <f>'2A'!F20/'4A'!I7/52</f>
        <v>31.539236972704714</v>
      </c>
      <c r="G7" s="17">
        <f>'2A'!G20/'4A'!J7/52</f>
        <v>27.912757973733584</v>
      </c>
      <c r="H7" s="17">
        <f>'2A'!H20/'4A'!K7/52</f>
        <v>30.088837792642146</v>
      </c>
      <c r="I7" s="17">
        <f>'2A'!I20/'4A'!L7/52</f>
        <v>34.007042253521128</v>
      </c>
      <c r="J7" s="17">
        <f>'2A'!J20/'4A'!M7/52</f>
        <v>29.342525399129173</v>
      </c>
      <c r="K7" s="17">
        <f>'2A'!K20/'4A'!N7/52</f>
        <v>47.741452991452995</v>
      </c>
      <c r="M7" s="3">
        <v>1999</v>
      </c>
      <c r="N7" s="3">
        <f t="shared" ref="N7:O20" si="1">((B6/B5)-1)*100</f>
        <v>1.0772550361586752</v>
      </c>
      <c r="O7" s="3">
        <f t="shared" si="1"/>
        <v>-1.6818721930195624</v>
      </c>
      <c r="P7" s="3">
        <f t="shared" ref="P7:P20" si="2">((D6/D5)-1)*100</f>
        <v>4.1395319446302814</v>
      </c>
      <c r="Q7" s="3">
        <f t="shared" ref="Q7:Q20" si="3">((E6/E5)-1)*100</f>
        <v>-2.4998631040566432</v>
      </c>
      <c r="R7" s="3">
        <f t="shared" si="0"/>
        <v>-3.3840692256490001</v>
      </c>
      <c r="S7" s="3">
        <f t="shared" si="0"/>
        <v>-4.0722545897316049</v>
      </c>
      <c r="T7" s="3">
        <f t="shared" si="0"/>
        <v>-4.6965147428275511</v>
      </c>
    </row>
    <row r="8" spans="1:20">
      <c r="A8" s="18">
        <v>2001</v>
      </c>
      <c r="B8" s="17">
        <f>'2A'!B21/'4A'!B8/52</f>
        <v>33.039175900834429</v>
      </c>
      <c r="C8" s="17">
        <f>'2A'!C21/'4A'!C8/52</f>
        <v>30.411479175930044</v>
      </c>
      <c r="D8" s="17">
        <f>'2A'!D21/'4A'!D8/52</f>
        <v>29.009197324414718</v>
      </c>
      <c r="E8" s="17">
        <f>'2A'!E21/'4A'!H8/52</f>
        <v>28.699792500370538</v>
      </c>
      <c r="F8" s="17">
        <f>'2A'!F21/'4A'!I8/52</f>
        <v>28.47737556561086</v>
      </c>
      <c r="G8" s="17">
        <f>'2A'!G21/'4A'!J8/52</f>
        <v>32.572115384615387</v>
      </c>
      <c r="H8" s="17">
        <f>'2A'!H21/'4A'!K8/52</f>
        <v>27.400358708648863</v>
      </c>
      <c r="I8" s="17">
        <f>'2A'!I21/'4A'!L8/52</f>
        <v>33.833524684270955</v>
      </c>
      <c r="J8" s="17">
        <f>'2A'!J21/'4A'!M8/52</f>
        <v>30.754563233376793</v>
      </c>
      <c r="K8" s="17">
        <f>'2A'!K21/'4A'!N8/52</f>
        <v>41.173271173271175</v>
      </c>
      <c r="M8" s="3">
        <v>2000</v>
      </c>
      <c r="N8" s="3">
        <f t="shared" si="1"/>
        <v>-1.0584735269777101</v>
      </c>
      <c r="O8" s="3">
        <f t="shared" si="1"/>
        <v>6.5227195921858439</v>
      </c>
      <c r="P8" s="3">
        <f t="shared" si="2"/>
        <v>8.3914882313098627</v>
      </c>
      <c r="Q8" s="3">
        <f t="shared" si="3"/>
        <v>5.7134592442205312</v>
      </c>
      <c r="R8" s="3">
        <f t="shared" si="0"/>
        <v>7.617222321269379</v>
      </c>
      <c r="S8" s="3">
        <f t="shared" si="0"/>
        <v>7.736358870521709</v>
      </c>
      <c r="T8" s="3">
        <f t="shared" si="0"/>
        <v>8.6603146245844087</v>
      </c>
    </row>
    <row r="9" spans="1:20">
      <c r="A9" s="18">
        <v>2002</v>
      </c>
      <c r="B9" s="17">
        <f>'2A'!B22/'4A'!B9/52</f>
        <v>32.818631840849704</v>
      </c>
      <c r="C9" s="17">
        <f>'2A'!C22/'4A'!C9/52</f>
        <v>26.21571194762684</v>
      </c>
      <c r="D9" s="17">
        <f>'2A'!D22/'4A'!D9/52</f>
        <v>26.248037676609101</v>
      </c>
      <c r="E9" s="17">
        <f>'2A'!E22/'4A'!H9/52</f>
        <v>22.889298676969908</v>
      </c>
      <c r="F9" s="17">
        <f>'2A'!F22/'4A'!I9/52</f>
        <v>24.15437302423604</v>
      </c>
      <c r="G9" s="17">
        <f>'2A'!G22/'4A'!J9/52</f>
        <v>26.559364548494987</v>
      </c>
      <c r="H9" s="17">
        <f>'2A'!H22/'4A'!K9/52</f>
        <v>20.299380107072412</v>
      </c>
      <c r="I9" s="17">
        <f>'2A'!I22/'4A'!L9/52</f>
        <v>32.983158146201625</v>
      </c>
      <c r="J9" s="17">
        <f>'2A'!J22/'4A'!M9/52</f>
        <v>27.778846153846153</v>
      </c>
      <c r="K9" s="17">
        <f>'2A'!K22/'4A'!N9/52</f>
        <v>48.810541310541311</v>
      </c>
      <c r="M9" s="3">
        <v>2001</v>
      </c>
      <c r="N9" s="3">
        <f t="shared" si="1"/>
        <v>-1.5398824829782387</v>
      </c>
      <c r="O9" s="3">
        <f t="shared" si="1"/>
        <v>-5.8499617733233649</v>
      </c>
      <c r="P9" s="3">
        <f t="shared" si="2"/>
        <v>-15.34754234535054</v>
      </c>
      <c r="Q9" s="3">
        <f t="shared" si="3"/>
        <v>-5.7214426589273115</v>
      </c>
      <c r="R9" s="3">
        <f t="shared" si="0"/>
        <v>-0.51024010837698031</v>
      </c>
      <c r="S9" s="3">
        <f t="shared" si="0"/>
        <v>4.8122573467705987</v>
      </c>
      <c r="T9" s="3">
        <f t="shared" si="0"/>
        <v>-13.757817172756981</v>
      </c>
    </row>
    <row r="10" spans="1:20">
      <c r="A10" s="18">
        <v>2003</v>
      </c>
      <c r="B10" s="17">
        <f>'2A'!B23/'4A'!B10/52</f>
        <v>32.261861249885776</v>
      </c>
      <c r="C10" s="17">
        <f>'2A'!C23/'4A'!C10/52</f>
        <v>27.196527825430589</v>
      </c>
      <c r="D10" s="17">
        <f>'2A'!D23/'4A'!D10/52</f>
        <v>29.841373315949589</v>
      </c>
      <c r="E10" s="17">
        <f>'2A'!E23/'4A'!H10/52</f>
        <v>24.973995120071915</v>
      </c>
      <c r="F10" s="17">
        <f>'2A'!F23/'4A'!I10/52</f>
        <v>25.749775516312482</v>
      </c>
      <c r="G10" s="17">
        <f>'2A'!G23/'4A'!J10/52</f>
        <v>27.481006647673318</v>
      </c>
      <c r="H10" s="17">
        <f>'2A'!H23/'4A'!K10/52</f>
        <v>23.432066018272913</v>
      </c>
      <c r="I10" s="17">
        <f>'2A'!I23/'4A'!L10/52</f>
        <v>29.698439241917505</v>
      </c>
      <c r="J10" s="17">
        <f>'2A'!J23/'4A'!M10/52</f>
        <v>23.421966120522079</v>
      </c>
      <c r="K10" s="17">
        <f>'2A'!K23/'4A'!N10/52</f>
        <v>55.263009049773764</v>
      </c>
      <c r="M10" s="3">
        <v>2002</v>
      </c>
      <c r="N10" s="3">
        <f t="shared" si="1"/>
        <v>-0.66752288448924668</v>
      </c>
      <c r="O10" s="3">
        <f t="shared" si="1"/>
        <v>-13.796656203503755</v>
      </c>
      <c r="P10" s="3">
        <f t="shared" si="2"/>
        <v>-9.5182214693054217</v>
      </c>
      <c r="Q10" s="3">
        <f t="shared" si="3"/>
        <v>-20.245769453997308</v>
      </c>
      <c r="R10" s="3">
        <f t="shared" si="0"/>
        <v>-2.5133844197576694</v>
      </c>
      <c r="S10" s="3">
        <f t="shared" si="0"/>
        <v>-9.6756928620634888</v>
      </c>
      <c r="T10" s="3">
        <f t="shared" si="0"/>
        <v>18.549097313958598</v>
      </c>
    </row>
    <row r="11" spans="1:20">
      <c r="A11" s="18">
        <v>2004</v>
      </c>
      <c r="B11" s="17">
        <f>'2A'!B24/'4A'!B11/52</f>
        <v>32.472959757417875</v>
      </c>
      <c r="C11" s="17">
        <f>'2A'!C24/'4A'!C11/52</f>
        <v>26.52101043610477</v>
      </c>
      <c r="D11" s="17">
        <f>'2A'!D24/'4A'!D11/52</f>
        <v>33.892699657030867</v>
      </c>
      <c r="E11" s="17">
        <f>'2A'!E24/'4A'!H11/52</f>
        <v>23.265687411416057</v>
      </c>
      <c r="F11" s="17">
        <f>'2A'!F24/'4A'!I11/52</f>
        <v>23.890477552187591</v>
      </c>
      <c r="G11" s="17">
        <f>'2A'!G24/'4A'!J11/52</f>
        <v>21.277777777777775</v>
      </c>
      <c r="H11" s="17">
        <f>'2A'!H24/'4A'!K11/52</f>
        <v>23.310439560439558</v>
      </c>
      <c r="I11" s="17">
        <f>'2A'!I24/'4A'!L11/52</f>
        <v>28.710627812299119</v>
      </c>
      <c r="J11" s="17">
        <f>'2A'!J24/'4A'!M11/52</f>
        <v>23.734671125975471</v>
      </c>
      <c r="K11" s="17">
        <f>'2A'!K24/'4A'!N11/52</f>
        <v>45.259499536607969</v>
      </c>
      <c r="M11" s="3">
        <v>2003</v>
      </c>
      <c r="N11" s="3">
        <f t="shared" si="1"/>
        <v>-1.6965076230597509</v>
      </c>
      <c r="O11" s="3">
        <f t="shared" si="1"/>
        <v>3.7413284055119345</v>
      </c>
      <c r="P11" s="3">
        <f t="shared" si="2"/>
        <v>13.689921066147681</v>
      </c>
      <c r="Q11" s="3">
        <f t="shared" si="3"/>
        <v>9.1077340224474668</v>
      </c>
      <c r="R11" s="3">
        <f t="shared" si="0"/>
        <v>-9.9587762024613511</v>
      </c>
      <c r="S11" s="3">
        <f t="shared" si="0"/>
        <v>-15.684164882855789</v>
      </c>
      <c r="T11" s="3">
        <f t="shared" si="0"/>
        <v>13.219414425627264</v>
      </c>
    </row>
    <row r="12" spans="1:20">
      <c r="A12" s="18">
        <v>2005</v>
      </c>
      <c r="B12" s="17">
        <f>'2A'!B25/'4A'!B12/52</f>
        <v>32.243631307904288</v>
      </c>
      <c r="C12" s="17">
        <f>'2A'!C25/'4A'!C12/52</f>
        <v>27.231228367592003</v>
      </c>
      <c r="D12" s="17">
        <f>'2A'!D25/'4A'!D12/52</f>
        <v>35.509355509355508</v>
      </c>
      <c r="E12" s="17">
        <f>'2A'!E25/'4A'!H12/52</f>
        <v>24.638092534771502</v>
      </c>
      <c r="F12" s="17">
        <f>'2A'!F25/'4A'!I12/52</f>
        <v>27.484683458134782</v>
      </c>
      <c r="G12" s="17">
        <f>'2A'!G25/'4A'!J12/52</f>
        <v>22.014423076923077</v>
      </c>
      <c r="H12" s="17">
        <f>'2A'!H25/'4A'!K12/52</f>
        <v>22.800684485006517</v>
      </c>
      <c r="I12" s="17">
        <f>'2A'!I25/'4A'!L12/52</f>
        <v>27.683150183150186</v>
      </c>
      <c r="J12" s="17">
        <f>'2A'!J25/'4A'!M12/52</f>
        <v>27.702391241717084</v>
      </c>
      <c r="K12" s="17">
        <f>'2A'!K25/'4A'!N12/52</f>
        <v>27.64423076923077</v>
      </c>
      <c r="M12" s="3">
        <v>2004</v>
      </c>
      <c r="N12" s="3">
        <f t="shared" si="1"/>
        <v>0.65432835972178971</v>
      </c>
      <c r="O12" s="3">
        <f t="shared" si="1"/>
        <v>-2.4838368841119673</v>
      </c>
      <c r="P12" s="3">
        <f t="shared" si="2"/>
        <v>13.57620608873229</v>
      </c>
      <c r="Q12" s="3">
        <f t="shared" si="3"/>
        <v>-6.8403461298143338</v>
      </c>
      <c r="R12" s="3">
        <f t="shared" si="0"/>
        <v>-3.3261392006895485</v>
      </c>
      <c r="S12" s="3">
        <f t="shared" si="0"/>
        <v>1.3350928946114449</v>
      </c>
      <c r="T12" s="3">
        <f t="shared" si="0"/>
        <v>-18.101637397550917</v>
      </c>
    </row>
    <row r="13" spans="1:20">
      <c r="A13" s="18">
        <v>2006</v>
      </c>
      <c r="B13" s="361">
        <f>'2A'!B26/'4A'!B13/52</f>
        <v>32.054452494733056</v>
      </c>
      <c r="C13" s="361">
        <f>'2A'!C26/'4A'!C13/52</f>
        <v>28.065735668544093</v>
      </c>
      <c r="D13" s="361">
        <f>'2A'!D26/'4A'!D13/52</f>
        <v>38.387464387464384</v>
      </c>
      <c r="E13" s="361">
        <f>'2A'!E26/'4A'!H13/52</f>
        <v>23.085680922493069</v>
      </c>
      <c r="F13" s="361">
        <f>'2A'!F26/'4A'!I13/52</f>
        <v>27.681232380185257</v>
      </c>
      <c r="G13" s="361">
        <f>'2A'!G26/'4A'!J13/52</f>
        <v>30.032594524119947</v>
      </c>
      <c r="H13" s="361">
        <f>'2A'!H26/'4A'!K13/52</f>
        <v>18.436545404054428</v>
      </c>
      <c r="I13" s="361">
        <f>'2A'!I26/'4A'!L13/52</f>
        <v>31.74052812858783</v>
      </c>
      <c r="J13" s="361">
        <f>'2A'!J26/'4A'!M13/52</f>
        <v>29.259576455932731</v>
      </c>
      <c r="K13" s="361">
        <f>'2A'!K26/'4A'!N13/52</f>
        <v>38.704108391608386</v>
      </c>
      <c r="M13" s="3">
        <v>2005</v>
      </c>
      <c r="N13" s="3">
        <f t="shared" si="1"/>
        <v>-0.70621357346769553</v>
      </c>
      <c r="O13" s="3">
        <f t="shared" si="1"/>
        <v>2.6779444667023977</v>
      </c>
      <c r="P13" s="3">
        <f t="shared" si="2"/>
        <v>4.7699235194717637</v>
      </c>
      <c r="Q13" s="3">
        <f t="shared" si="3"/>
        <v>5.8988376276474463</v>
      </c>
      <c r="R13" s="3">
        <f t="shared" si="0"/>
        <v>-3.5787361943676488</v>
      </c>
      <c r="S13" s="3">
        <f t="shared" si="0"/>
        <v>16.716979538845589</v>
      </c>
      <c r="T13" s="3">
        <f t="shared" si="0"/>
        <v>-38.920599979522876</v>
      </c>
    </row>
    <row r="14" spans="1:20">
      <c r="A14" s="18">
        <v>2007</v>
      </c>
      <c r="B14" s="17">
        <f>'2A'!B27/'4A'!B14/52</f>
        <v>31.643540857045984</v>
      </c>
      <c r="C14" s="17">
        <f>'2A'!C27/'4A'!C14/52</f>
        <v>33.016025641025642</v>
      </c>
      <c r="D14" s="17">
        <f>'2A'!D27/'4A'!D14/52</f>
        <v>44.879807692307693</v>
      </c>
      <c r="E14" s="17">
        <f>'2A'!E27/'4A'!H14/52</f>
        <v>27.059134615384615</v>
      </c>
      <c r="F14" s="17">
        <f>'2A'!F27/'4A'!I14/52</f>
        <v>33.550724637681157</v>
      </c>
      <c r="G14" s="17">
        <f>'2A'!G27/'4A'!J14/52</f>
        <v>22.807071960297769</v>
      </c>
      <c r="H14" s="17">
        <f>'2A'!H27/'4A'!K14/52</f>
        <v>23.898076923076925</v>
      </c>
      <c r="I14" s="17">
        <f>'2A'!I27/'4A'!L14/52</f>
        <v>37.178790412486066</v>
      </c>
      <c r="J14" s="17">
        <f>'2A'!J27/'4A'!M14/52</f>
        <v>35.294305142371442</v>
      </c>
      <c r="K14" s="17">
        <f>'2A'!K27/'4A'!N14/52</f>
        <v>41.202945990180034</v>
      </c>
      <c r="M14" s="3">
        <v>2006</v>
      </c>
      <c r="N14" s="3">
        <f t="shared" si="1"/>
        <v>-0.58671683522462104</v>
      </c>
      <c r="O14" s="3">
        <f t="shared" si="1"/>
        <v>3.0645231632122849</v>
      </c>
      <c r="P14" s="3">
        <f t="shared" si="2"/>
        <v>8.1052129412785057</v>
      </c>
      <c r="Q14" s="3">
        <f t="shared" si="3"/>
        <v>-6.3008595737983004</v>
      </c>
      <c r="R14" s="3">
        <f t="shared" si="0"/>
        <v>14.656489303400289</v>
      </c>
      <c r="S14" s="3">
        <f t="shared" si="0"/>
        <v>5.6211220202199597</v>
      </c>
      <c r="T14" s="3">
        <f t="shared" si="0"/>
        <v>40.007905138339893</v>
      </c>
    </row>
    <row r="15" spans="1:20">
      <c r="A15" s="18">
        <v>2008</v>
      </c>
      <c r="B15" s="17">
        <f>'2A'!B28/'4A'!B15/52</f>
        <v>31.977472584111073</v>
      </c>
      <c r="C15" s="17">
        <f>'2A'!C28/'4A'!C15/52</f>
        <v>29.684150621265299</v>
      </c>
      <c r="D15" s="17">
        <f>'2A'!D28/'4A'!D15/52</f>
        <v>47.441553544494724</v>
      </c>
      <c r="E15" s="17">
        <f>'2A'!E28/'4A'!H15/52</f>
        <v>24.769520680324703</v>
      </c>
      <c r="F15" s="17">
        <f>'2A'!F28/'4A'!I15/52</f>
        <v>32.284280936454849</v>
      </c>
      <c r="G15" s="17">
        <f>'2A'!G28/'4A'!J15/52</f>
        <v>23.409763313609467</v>
      </c>
      <c r="H15" s="17">
        <f>'2A'!H28/'4A'!K15/52</f>
        <v>21.333666333666333</v>
      </c>
      <c r="I15" s="17">
        <f>'2A'!I28/'4A'!L15/52</f>
        <v>30.149641355429136</v>
      </c>
      <c r="J15" s="17">
        <f>'2A'!J28/'4A'!M15/52</f>
        <v>26.464906061680253</v>
      </c>
      <c r="K15" s="17">
        <f>'2A'!K28/'4A'!N15/52</f>
        <v>38.655891980360067</v>
      </c>
      <c r="M15" s="3">
        <v>2007</v>
      </c>
      <c r="N15" s="3">
        <f t="shared" si="1"/>
        <v>-1.2819175050785558</v>
      </c>
      <c r="O15" s="3">
        <f t="shared" si="1"/>
        <v>17.638197804413181</v>
      </c>
      <c r="P15" s="3">
        <f t="shared" si="2"/>
        <v>16.91266513284846</v>
      </c>
      <c r="Q15" s="3">
        <f t="shared" si="3"/>
        <v>17.211767355842177</v>
      </c>
      <c r="R15" s="3">
        <f t="shared" si="0"/>
        <v>17.133496524905457</v>
      </c>
      <c r="S15" s="3">
        <f t="shared" si="0"/>
        <v>20.624798501535025</v>
      </c>
      <c r="T15" s="3">
        <f t="shared" si="0"/>
        <v>6.4562593027293058</v>
      </c>
    </row>
    <row r="16" spans="1:20">
      <c r="A16" s="18">
        <v>2009</v>
      </c>
      <c r="B16" s="17">
        <f>'2A'!B29/'4A'!B16/52</f>
        <v>31.455889760379936</v>
      </c>
      <c r="C16" s="17">
        <f>'2A'!C29/'4A'!C16/52</f>
        <v>29.022882827663707</v>
      </c>
      <c r="D16" s="17">
        <f>'2A'!D29/'4A'!D16/52</f>
        <v>62.215384615384615</v>
      </c>
      <c r="E16" s="17">
        <f>'2A'!E29/'4A'!H16/52</f>
        <v>21.77849860982391</v>
      </c>
      <c r="F16" s="17">
        <f>'2A'!F29/'4A'!I16/52</f>
        <v>24.55010585744531</v>
      </c>
      <c r="G16" s="17">
        <f>'2A'!G29/'4A'!J16/52</f>
        <v>23.722786647314951</v>
      </c>
      <c r="H16" s="17">
        <f>'2A'!H29/'4A'!K16/52</f>
        <v>20.177105503192458</v>
      </c>
      <c r="I16" s="17">
        <f>'2A'!I29/'4A'!L16/52</f>
        <v>30.988593155893533</v>
      </c>
      <c r="J16" s="17">
        <f>'2A'!J29/'4A'!M16/52</f>
        <v>22.462257368799424</v>
      </c>
      <c r="K16" s="17">
        <f>'2A'!K29/'4A'!N16/52</f>
        <v>69.643429487179489</v>
      </c>
      <c r="M16" s="3">
        <v>2008</v>
      </c>
      <c r="N16" s="3">
        <f t="shared" si="1"/>
        <v>1.0552919111475934</v>
      </c>
      <c r="O16" s="3">
        <f t="shared" si="1"/>
        <v>-10.091690187022884</v>
      </c>
      <c r="P16" s="3">
        <f t="shared" si="2"/>
        <v>5.7080143251730275</v>
      </c>
      <c r="Q16" s="3">
        <f t="shared" si="3"/>
        <v>-8.4615194373516278</v>
      </c>
      <c r="R16" s="3">
        <f t="shared" si="0"/>
        <v>-18.906341435724261</v>
      </c>
      <c r="S16" s="3">
        <f t="shared" si="0"/>
        <v>-25.01649783180272</v>
      </c>
      <c r="T16" s="3">
        <f t="shared" si="0"/>
        <v>-6.1817279046673228</v>
      </c>
    </row>
    <row r="17" spans="1:20">
      <c r="A17" s="18">
        <v>2010</v>
      </c>
      <c r="B17" s="17">
        <f>'2A'!B30/'4A'!B17/52</f>
        <v>31.592458587362934</v>
      </c>
      <c r="C17" s="17">
        <f>'2A'!C30/'4A'!C17/52</f>
        <v>29.249794323323734</v>
      </c>
      <c r="D17" s="17">
        <f>'2A'!D30/'4A'!D17/52</f>
        <v>32.658035034272658</v>
      </c>
      <c r="E17" s="17">
        <f>'2A'!E30/'4A'!H17/52</f>
        <v>25.421315325895481</v>
      </c>
      <c r="F17" s="17">
        <f>'2A'!F30/'4A'!I17/52</f>
        <v>23.914294367050275</v>
      </c>
      <c r="G17" s="17">
        <f>'2A'!G30/'4A'!J17/52</f>
        <v>30.403225806451612</v>
      </c>
      <c r="H17" s="17">
        <f>'2A'!H30/'4A'!K17/52</f>
        <v>24.84351432880845</v>
      </c>
      <c r="I17" s="17">
        <f>'2A'!I30/'4A'!L17/52</f>
        <v>33.818140520896428</v>
      </c>
      <c r="J17" s="17">
        <f>'2A'!J30/'4A'!M17/52</f>
        <v>26.822141946451339</v>
      </c>
      <c r="K17" s="17">
        <f>'2A'!K30/'4A'!N17/52</f>
        <v>51.167017913593256</v>
      </c>
      <c r="M17" s="3">
        <v>2009</v>
      </c>
      <c r="N17" s="3">
        <f t="shared" si="1"/>
        <v>-1.6310945849744907</v>
      </c>
      <c r="O17" s="3">
        <f t="shared" si="1"/>
        <v>-2.2276796868422766</v>
      </c>
      <c r="P17" s="3">
        <f t="shared" si="2"/>
        <v>31.141119898263312</v>
      </c>
      <c r="Q17" s="3">
        <f t="shared" si="3"/>
        <v>-12.075413606516284</v>
      </c>
      <c r="R17" s="3">
        <f t="shared" si="0"/>
        <v>2.7826261366565852</v>
      </c>
      <c r="S17" s="3">
        <f t="shared" si="0"/>
        <v>-15.124363878534396</v>
      </c>
      <c r="T17" s="3">
        <f t="shared" si="0"/>
        <v>80.162520949104703</v>
      </c>
    </row>
    <row r="18" spans="1:20">
      <c r="A18" s="18">
        <v>2011</v>
      </c>
      <c r="B18" s="17">
        <f>'2A'!B31/'4A'!B18/52</f>
        <v>31.488910788220281</v>
      </c>
      <c r="C18" s="17">
        <f>'2A'!C31/'4A'!C18/52</f>
        <v>29.142259414225943</v>
      </c>
      <c r="D18" s="17">
        <f>'2A'!D31/'4A'!D18/52</f>
        <v>46.82692307692308</v>
      </c>
      <c r="E18" s="17">
        <f>'2A'!E31/'4A'!H18/52</f>
        <v>27.274150268336317</v>
      </c>
      <c r="F18" s="17">
        <f>'2A'!F31/'4A'!I18/52</f>
        <v>24.190921690921694</v>
      </c>
      <c r="G18" s="17">
        <f>'2A'!G31/'4A'!J18/52</f>
        <v>31.5625</v>
      </c>
      <c r="H18" s="17">
        <f>'2A'!H31/'4A'!K18/52</f>
        <v>27.850934376358108</v>
      </c>
      <c r="I18" s="17">
        <f>'2A'!I31/'4A'!L18/52</f>
        <v>25.639200656994248</v>
      </c>
      <c r="J18" s="17">
        <f>'2A'!J31/'4A'!M18/52</f>
        <v>21.701570680628269</v>
      </c>
      <c r="K18" s="17">
        <f>'2A'!K31/'4A'!N18/52</f>
        <v>33.995726495726494</v>
      </c>
      <c r="M18" s="3">
        <v>2010</v>
      </c>
      <c r="N18" s="3">
        <f t="shared" si="1"/>
        <v>0.43415979653835812</v>
      </c>
      <c r="O18" s="3">
        <f t="shared" si="1"/>
        <v>0.78183651502647944</v>
      </c>
      <c r="P18" s="3">
        <f t="shared" si="2"/>
        <v>-47.508103926119617</v>
      </c>
      <c r="Q18" s="3">
        <f t="shared" si="3"/>
        <v>16.726665971493372</v>
      </c>
      <c r="R18" s="3">
        <f t="shared" si="0"/>
        <v>9.1309319876780481</v>
      </c>
      <c r="S18" s="3">
        <f t="shared" si="0"/>
        <v>19.409823803852809</v>
      </c>
      <c r="T18" s="3">
        <f t="shared" si="0"/>
        <v>-26.530013972082635</v>
      </c>
    </row>
    <row r="19" spans="1:20">
      <c r="A19" s="18">
        <v>2012</v>
      </c>
      <c r="B19" s="17">
        <f>'2A'!B32/'4A'!B19/52</f>
        <v>31.544639478581853</v>
      </c>
      <c r="C19" s="17">
        <f>'2A'!C32/'4A'!C19/52</f>
        <v>26.316114150842186</v>
      </c>
      <c r="D19" s="17">
        <f>'2A'!D32/'4A'!D19/52</f>
        <v>38.42307692307692</v>
      </c>
      <c r="E19" s="17">
        <f>'2A'!E32/'4A'!H19/52</f>
        <v>22.445128205128206</v>
      </c>
      <c r="F19" s="17">
        <f>'2A'!F32/'4A'!I19/52</f>
        <v>20.342349957734577</v>
      </c>
      <c r="G19" s="17">
        <f>'2A'!G32/'4A'!J19/52</f>
        <v>32.046444121915826</v>
      </c>
      <c r="H19" s="17">
        <f>'2A'!H32/'4A'!K19/52</f>
        <v>21.163043478260871</v>
      </c>
      <c r="I19" s="17">
        <f>'2A'!I32/'4A'!L19/52</f>
        <v>27.960191559413349</v>
      </c>
      <c r="J19" s="17">
        <f>'2A'!J32/'4A'!M19/52</f>
        <v>23.791054451166811</v>
      </c>
      <c r="K19" s="17">
        <f>'2A'!K32/'4A'!N19/52</f>
        <v>37.353943524829603</v>
      </c>
      <c r="M19" s="3">
        <v>2011</v>
      </c>
      <c r="N19" s="3">
        <f t="shared" si="1"/>
        <v>-0.32776112962626947</v>
      </c>
      <c r="O19" s="3">
        <f t="shared" si="1"/>
        <v>-0.36764330001473056</v>
      </c>
      <c r="P19" s="3">
        <f t="shared" si="2"/>
        <v>43.3856110074627</v>
      </c>
      <c r="Q19" s="3">
        <f t="shared" si="3"/>
        <v>7.2885093422111025</v>
      </c>
      <c r="R19" s="3">
        <f t="shared" si="0"/>
        <v>-24.185066765715181</v>
      </c>
      <c r="S19" s="3">
        <f t="shared" si="0"/>
        <v>-19.090836503833131</v>
      </c>
      <c r="T19" s="3">
        <f t="shared" si="0"/>
        <v>-33.559296824497878</v>
      </c>
    </row>
    <row r="20" spans="1:20">
      <c r="A20" s="6"/>
      <c r="B20" s="6"/>
      <c r="C20" s="6"/>
      <c r="D20" s="6"/>
      <c r="E20" s="6"/>
      <c r="F20" s="52"/>
      <c r="G20" s="52"/>
      <c r="H20" s="52"/>
      <c r="I20" s="6"/>
      <c r="J20" s="6"/>
      <c r="K20" s="6"/>
      <c r="M20" s="3">
        <v>2012</v>
      </c>
      <c r="N20" s="3">
        <f t="shared" si="1"/>
        <v>0.1769787806773504</v>
      </c>
      <c r="O20" s="3">
        <f t="shared" si="1"/>
        <v>-9.6977561801682377</v>
      </c>
      <c r="P20" s="3">
        <f t="shared" si="2"/>
        <v>-17.946611909650933</v>
      </c>
      <c r="Q20" s="3">
        <f t="shared" si="3"/>
        <v>-17.70549042114181</v>
      </c>
      <c r="R20" s="3">
        <f t="shared" si="0"/>
        <v>9.0525088261125042</v>
      </c>
      <c r="S20" s="3">
        <f t="shared" si="0"/>
        <v>9.6282605590557679</v>
      </c>
      <c r="T20" s="3">
        <f t="shared" si="0"/>
        <v>9.8783505318683638</v>
      </c>
    </row>
    <row r="21" spans="1:20">
      <c r="A21" s="6"/>
      <c r="B21" s="6"/>
      <c r="C21" s="6"/>
      <c r="D21" s="6"/>
      <c r="E21" s="6"/>
      <c r="F21" s="52"/>
      <c r="G21" s="52"/>
      <c r="H21" s="52"/>
      <c r="I21" s="6"/>
      <c r="J21" s="6"/>
      <c r="K21" s="6"/>
    </row>
    <row r="22" spans="1:20">
      <c r="A22" s="6"/>
      <c r="B22" s="6"/>
      <c r="C22" s="6"/>
      <c r="D22" s="6"/>
      <c r="E22" s="6"/>
      <c r="F22" s="52"/>
      <c r="G22" s="52"/>
      <c r="H22" s="52"/>
      <c r="I22" s="6"/>
      <c r="J22" s="6"/>
      <c r="K22" s="6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3" t="s">
        <v>27</v>
      </c>
    </row>
    <row r="24" spans="1:20" ht="30">
      <c r="A24" s="18" t="s">
        <v>19</v>
      </c>
      <c r="B24" s="7">
        <f>((B7/B4)^(1/3)-1)*100</f>
        <v>-0.13539693285777865</v>
      </c>
      <c r="C24" s="11" t="s">
        <v>10</v>
      </c>
      <c r="D24" s="7">
        <f t="shared" ref="D24:E24" si="4">((D7/D4)^(1/3)-1)*100</f>
        <v>9.4433052413262821</v>
      </c>
      <c r="E24" s="7">
        <f t="shared" si="4"/>
        <v>-1.4121321428544387</v>
      </c>
      <c r="F24" s="7">
        <f t="shared" ref="F24:H24" si="5">((F7/F4)^(1/3)-1)*100</f>
        <v>2.0921443633641568</v>
      </c>
      <c r="G24" s="7">
        <f t="shared" si="5"/>
        <v>-15.090891178943345</v>
      </c>
      <c r="H24" s="7">
        <f t="shared" si="5"/>
        <v>-0.65820363753216204</v>
      </c>
      <c r="I24" s="11" t="s">
        <v>10</v>
      </c>
      <c r="J24" s="11" t="s">
        <v>10</v>
      </c>
      <c r="K24" s="11" t="s">
        <v>10</v>
      </c>
      <c r="M24" s="3">
        <v>1998</v>
      </c>
      <c r="N24" s="3">
        <f t="shared" ref="N24:N25" si="6">B5/$B$7</f>
        <v>0.99992621494658396</v>
      </c>
      <c r="O24" s="3">
        <f>C5/$C$7</f>
        <v>0.95482581942824507</v>
      </c>
      <c r="P24" s="3">
        <f t="shared" ref="P24:P26" si="7">D5/$D$7</f>
        <v>0.88590917462870367</v>
      </c>
      <c r="Q24" s="3">
        <f>E5/$E$7</f>
        <v>0.97020719302268021</v>
      </c>
      <c r="R24" s="3">
        <f t="shared" ref="R24:R25" si="8">I5/$I$7</f>
        <v>0.96176613174936987</v>
      </c>
      <c r="S24" s="3">
        <f t="shared" ref="S24:S25" si="9">J5/$J$7</f>
        <v>0.96759467333389559</v>
      </c>
      <c r="T24" s="3">
        <f t="shared" ref="T24:T25" si="10">K5/$K$7</f>
        <v>0.9656511425619152</v>
      </c>
    </row>
    <row r="25" spans="1:20" ht="30">
      <c r="A25" s="325" t="s">
        <v>68</v>
      </c>
      <c r="B25" s="7">
        <f>((B14/B7)^(1/7)-1)*100</f>
        <v>-0.83476173204307669</v>
      </c>
      <c r="C25" s="7">
        <f t="shared" ref="C25:K25" si="11">((C14/C7)^(1/7)-1)*100</f>
        <v>0.31323817725992242</v>
      </c>
      <c r="D25" s="7">
        <f t="shared" si="11"/>
        <v>3.9289181755096658</v>
      </c>
      <c r="E25" s="7">
        <f t="shared" si="11"/>
        <v>-1.6685185812468029</v>
      </c>
      <c r="F25" s="7">
        <f t="shared" ref="F25:H25" si="12">((F14/F7)^(1/7)-1)*100</f>
        <v>0.88714159652887314</v>
      </c>
      <c r="G25" s="7">
        <f t="shared" si="12"/>
        <v>-2.8446583606940856</v>
      </c>
      <c r="H25" s="7">
        <f t="shared" si="12"/>
        <v>-3.2372460546761905</v>
      </c>
      <c r="I25" s="7">
        <f t="shared" si="11"/>
        <v>1.2820171321423768</v>
      </c>
      <c r="J25" s="7">
        <f t="shared" si="11"/>
        <v>2.6734520236801229</v>
      </c>
      <c r="K25" s="7">
        <f t="shared" si="11"/>
        <v>-2.0821643854649796</v>
      </c>
      <c r="M25" s="3">
        <v>1999</v>
      </c>
      <c r="N25" s="3">
        <f t="shared" si="6"/>
        <v>1.0106979704549668</v>
      </c>
      <c r="O25" s="3">
        <f t="shared" ref="O25:O26" si="13">C6/$C$7</f>
        <v>0.93876686947951027</v>
      </c>
      <c r="P25" s="3">
        <f t="shared" si="7"/>
        <v>0.92258166791286933</v>
      </c>
      <c r="Q25" s="3">
        <f t="shared" ref="Q25" si="14">E6/$E$7</f>
        <v>0.94595334137140263</v>
      </c>
      <c r="R25" s="3">
        <f t="shared" si="8"/>
        <v>0.92921930006212472</v>
      </c>
      <c r="S25" s="3">
        <f t="shared" si="9"/>
        <v>0.92819175483905758</v>
      </c>
      <c r="T25" s="3">
        <f t="shared" si="10"/>
        <v>0.92029919428721207</v>
      </c>
    </row>
    <row r="26" spans="1:20" ht="30">
      <c r="A26" s="130" t="s">
        <v>70</v>
      </c>
      <c r="B26" s="7">
        <f>((B19/B14)^(1/5)-1)*100</f>
        <v>-6.2587974689398695E-2</v>
      </c>
      <c r="C26" s="7">
        <f t="shared" ref="C26:K26" si="15">((C19/C14)^(1/5)-1)*100</f>
        <v>-4.4348834757070961</v>
      </c>
      <c r="D26" s="7">
        <f t="shared" si="15"/>
        <v>-3.0588358947036043</v>
      </c>
      <c r="E26" s="7">
        <f t="shared" si="15"/>
        <v>-3.6699828867368556</v>
      </c>
      <c r="F26" s="7">
        <f t="shared" ref="F26:H26" si="16">((F19/F14)^(1/5)-1)*100</f>
        <v>-9.5226559699866939</v>
      </c>
      <c r="G26" s="7">
        <f t="shared" si="16"/>
        <v>7.0390048720386789</v>
      </c>
      <c r="H26" s="7">
        <f t="shared" si="16"/>
        <v>-2.4015245208262592</v>
      </c>
      <c r="I26" s="7">
        <f t="shared" si="15"/>
        <v>-5.5397746624143647</v>
      </c>
      <c r="J26" s="7">
        <f t="shared" si="15"/>
        <v>-7.5851397797821356</v>
      </c>
      <c r="K26" s="7">
        <f t="shared" si="15"/>
        <v>-1.9423145925080099</v>
      </c>
      <c r="M26" s="3">
        <v>2000</v>
      </c>
      <c r="N26" s="3">
        <f>B7/$B$7</f>
        <v>1</v>
      </c>
      <c r="O26" s="3">
        <f t="shared" si="13"/>
        <v>1</v>
      </c>
      <c r="P26" s="3">
        <f t="shared" si="7"/>
        <v>1</v>
      </c>
      <c r="Q26" s="3">
        <f>E7/$E$7</f>
        <v>1</v>
      </c>
      <c r="R26" s="3">
        <f>I7/$I$7</f>
        <v>1</v>
      </c>
      <c r="S26" s="3">
        <f>J7/$J$7</f>
        <v>1</v>
      </c>
      <c r="T26" s="3">
        <f>K7/$K$7</f>
        <v>1</v>
      </c>
    </row>
    <row r="27" spans="1:20" ht="30">
      <c r="A27" s="325" t="s">
        <v>523</v>
      </c>
      <c r="B27" s="7">
        <f>((B19/B7)^(1/12)-1)*100</f>
        <v>-0.51375039040161274</v>
      </c>
      <c r="C27" s="7">
        <f t="shared" ref="C27:K27" si="17">((C19/C7)^(1/12)-1)*100</f>
        <v>-1.6931622070538555</v>
      </c>
      <c r="D27" s="7">
        <f t="shared" si="17"/>
        <v>0.95813825964301547</v>
      </c>
      <c r="E27" s="7">
        <f t="shared" si="17"/>
        <v>-2.5074667733692713</v>
      </c>
      <c r="F27" s="7">
        <f t="shared" ref="F27:H27" si="18">((F19/F7)^(1/12)-1)*100</f>
        <v>-3.5884285634334767</v>
      </c>
      <c r="G27" s="7">
        <f t="shared" si="18"/>
        <v>1.157500875263473</v>
      </c>
      <c r="H27" s="7">
        <f t="shared" si="18"/>
        <v>-2.8899019562278583</v>
      </c>
      <c r="I27" s="7">
        <f t="shared" si="17"/>
        <v>-1.6183111639621828</v>
      </c>
      <c r="J27" s="7">
        <f t="shared" si="17"/>
        <v>-1.7325506680033742</v>
      </c>
      <c r="K27" s="7">
        <f t="shared" si="17"/>
        <v>-2.0239178938988078</v>
      </c>
    </row>
    <row r="28" spans="1:20">
      <c r="M28" s="3">
        <v>2002</v>
      </c>
      <c r="N28" s="3">
        <f>B9/$B$7</f>
        <v>0.97802873700500637</v>
      </c>
      <c r="O28" s="3">
        <f>C9/$C$7</f>
        <v>0.81160481137074703</v>
      </c>
      <c r="P28" s="3">
        <f>D9/$D$7</f>
        <v>0.7659504925586994</v>
      </c>
      <c r="Q28" s="3">
        <f>E9/$E$7</f>
        <v>0.75191137977244449</v>
      </c>
      <c r="R28" s="3">
        <f>I9/$I$7</f>
        <v>0.96989199767252654</v>
      </c>
      <c r="S28" s="3">
        <f>J9/$J$7</f>
        <v>0.94670945244101501</v>
      </c>
      <c r="T28" s="3">
        <f>K9/$K$7</f>
        <v>1.0223932924555044</v>
      </c>
    </row>
    <row r="29" spans="1:20">
      <c r="A29" s="231" t="s">
        <v>144</v>
      </c>
    </row>
    <row r="30" spans="1:20">
      <c r="A30" s="234" t="s">
        <v>318</v>
      </c>
      <c r="M30" s="3">
        <v>2003</v>
      </c>
      <c r="N30" s="3">
        <f t="shared" ref="N30:N39" si="19">B10/$B$7</f>
        <v>0.96143640492600146</v>
      </c>
      <c r="O30" s="3">
        <f t="shared" ref="O30:O39" si="20">C10/$C$7</f>
        <v>0.84196961271906234</v>
      </c>
      <c r="P30" s="3">
        <f t="shared" ref="P30:P39" si="21">D10/$D$7</f>
        <v>0.87080851039575458</v>
      </c>
      <c r="Q30" s="3">
        <f t="shared" ref="Q30:Q39" si="22">E10/$E$7</f>
        <v>0.82039346832663362</v>
      </c>
      <c r="R30" s="3">
        <f t="shared" ref="R30:R39" si="23">I10/$I$7</f>
        <v>0.87330262421873794</v>
      </c>
      <c r="S30" s="3">
        <f t="shared" ref="S30:S39" si="24">J10/$J$7</f>
        <v>0.79822598095858499</v>
      </c>
      <c r="T30" s="3">
        <f t="shared" ref="T30:T39" si="25">K10/$K$7</f>
        <v>1.1575476988450126</v>
      </c>
    </row>
    <row r="31" spans="1:20">
      <c r="M31" s="3">
        <v>2004</v>
      </c>
      <c r="N31" s="3">
        <f t="shared" si="19"/>
        <v>0.96772735598412196</v>
      </c>
      <c r="O31" s="3">
        <f t="shared" si="20"/>
        <v>0.82105646092533158</v>
      </c>
      <c r="P31" s="3">
        <f t="shared" si="21"/>
        <v>0.98903126840530198</v>
      </c>
      <c r="Q31" s="3">
        <f t="shared" si="22"/>
        <v>0.76427571546670325</v>
      </c>
      <c r="R31" s="3">
        <f t="shared" si="23"/>
        <v>0.84425536329394801</v>
      </c>
      <c r="S31" s="3">
        <f t="shared" si="24"/>
        <v>0.80888303931330563</v>
      </c>
      <c r="T31" s="3">
        <f t="shared" si="25"/>
        <v>0.94801261169639384</v>
      </c>
    </row>
    <row r="32" spans="1:20">
      <c r="M32" s="3">
        <v>2005</v>
      </c>
      <c r="N32" s="3">
        <f t="shared" si="19"/>
        <v>0.96089313404200205</v>
      </c>
      <c r="O32" s="3">
        <f t="shared" si="20"/>
        <v>0.84304389698918403</v>
      </c>
      <c r="P32" s="3">
        <f t="shared" si="21"/>
        <v>1.0362073034918964</v>
      </c>
      <c r="Q32" s="3">
        <f t="shared" si="22"/>
        <v>0.80935909894962488</v>
      </c>
      <c r="R32" s="3">
        <f t="shared" si="23"/>
        <v>0.81404169103485735</v>
      </c>
      <c r="S32" s="3">
        <f t="shared" si="24"/>
        <v>0.94410385148850329</v>
      </c>
      <c r="T32" s="3">
        <f t="shared" si="25"/>
        <v>0.57904041534261286</v>
      </c>
    </row>
    <row r="33" spans="13:20">
      <c r="M33" s="3">
        <v>2006</v>
      </c>
      <c r="N33" s="3">
        <f t="shared" si="19"/>
        <v>0.95525541225606014</v>
      </c>
      <c r="O33" s="3">
        <f t="shared" si="20"/>
        <v>0.86887917248846502</v>
      </c>
      <c r="P33" s="3">
        <f t="shared" si="21"/>
        <v>1.1201941119529946</v>
      </c>
      <c r="Q33" s="3">
        <f t="shared" si="22"/>
        <v>0.75836251867704974</v>
      </c>
      <c r="R33" s="3">
        <f t="shared" si="23"/>
        <v>0.93335162440660002</v>
      </c>
      <c r="S33" s="3">
        <f t="shared" si="24"/>
        <v>0.9971730809782684</v>
      </c>
      <c r="T33" s="3">
        <f t="shared" si="25"/>
        <v>0.81070235542553482</v>
      </c>
    </row>
    <row r="34" spans="13:20">
      <c r="M34" s="3">
        <v>2007</v>
      </c>
      <c r="N34" s="3">
        <f t="shared" si="19"/>
        <v>0.94300982590813942</v>
      </c>
      <c r="O34" s="3">
        <f t="shared" si="20"/>
        <v>1.0221337996133288</v>
      </c>
      <c r="P34" s="3">
        <f t="shared" si="21"/>
        <v>1.3096487909454901</v>
      </c>
      <c r="Q34" s="3">
        <f t="shared" si="22"/>
        <v>0.88889011110564875</v>
      </c>
      <c r="R34" s="3">
        <f t="shared" si="23"/>
        <v>1.0932673925394536</v>
      </c>
      <c r="S34" s="3">
        <f t="shared" si="24"/>
        <v>1.2028380196415851</v>
      </c>
      <c r="T34" s="3">
        <f t="shared" si="25"/>
        <v>0.86304340166514137</v>
      </c>
    </row>
    <row r="35" spans="13:20">
      <c r="M35" s="3">
        <v>2008</v>
      </c>
      <c r="N35" s="3">
        <f t="shared" si="19"/>
        <v>0.95296133232227498</v>
      </c>
      <c r="O35" s="3">
        <f t="shared" si="20"/>
        <v>0.91898322325950643</v>
      </c>
      <c r="P35" s="3">
        <f t="shared" si="21"/>
        <v>1.384403731542114</v>
      </c>
      <c r="Q35" s="3">
        <f t="shared" si="22"/>
        <v>0.81367650157774774</v>
      </c>
      <c r="R35" s="3">
        <f t="shared" si="23"/>
        <v>0.88657052650050472</v>
      </c>
      <c r="S35" s="3">
        <f t="shared" si="24"/>
        <v>0.90193007253784907</v>
      </c>
      <c r="T35" s="3">
        <f t="shared" si="25"/>
        <v>0.8096924068750172</v>
      </c>
    </row>
    <row r="36" spans="13:20">
      <c r="M36" s="3">
        <v>2009</v>
      </c>
      <c r="N36" s="3">
        <f t="shared" si="19"/>
        <v>0.9374176316338656</v>
      </c>
      <c r="O36" s="3">
        <f t="shared" si="20"/>
        <v>0.89851122066946598</v>
      </c>
      <c r="P36" s="3">
        <f t="shared" si="21"/>
        <v>1.8155225574576752</v>
      </c>
      <c r="Q36" s="3">
        <f t="shared" si="22"/>
        <v>0.7154216985932027</v>
      </c>
      <c r="R36" s="3">
        <f t="shared" si="23"/>
        <v>0.91124046969080175</v>
      </c>
      <c r="S36" s="3">
        <f t="shared" si="24"/>
        <v>0.76551888643729549</v>
      </c>
      <c r="T36" s="3">
        <f t="shared" si="25"/>
        <v>1.4587622521595129</v>
      </c>
    </row>
    <row r="37" spans="13:20">
      <c r="M37" s="3">
        <v>2010</v>
      </c>
      <c r="N37" s="3">
        <f t="shared" si="19"/>
        <v>0.941487522116082</v>
      </c>
      <c r="O37" s="3">
        <f t="shared" si="20"/>
        <v>0.9055361094842701</v>
      </c>
      <c r="P37" s="3">
        <f t="shared" si="21"/>
        <v>0.95300221405853824</v>
      </c>
      <c r="Q37" s="3">
        <f t="shared" si="22"/>
        <v>0.83508789640447179</v>
      </c>
      <c r="R37" s="3">
        <f t="shared" si="23"/>
        <v>0.99444521722246693</v>
      </c>
      <c r="S37" s="3">
        <f t="shared" si="24"/>
        <v>0.91410475347999076</v>
      </c>
      <c r="T37" s="3">
        <f t="shared" si="25"/>
        <v>1.0717524228421269</v>
      </c>
    </row>
    <row r="38" spans="13:20">
      <c r="M38" s="3">
        <v>2011</v>
      </c>
      <c r="N38" s="3">
        <f t="shared" si="19"/>
        <v>0.93840169197830392</v>
      </c>
      <c r="O38" s="3">
        <f t="shared" si="20"/>
        <v>0.90220696664853706</v>
      </c>
      <c r="P38" s="3">
        <f t="shared" si="21"/>
        <v>1.3664680475424826</v>
      </c>
      <c r="Q38" s="3">
        <f t="shared" si="22"/>
        <v>0.89595335574958601</v>
      </c>
      <c r="R38" s="3">
        <f t="shared" si="23"/>
        <v>0.75393797748875191</v>
      </c>
      <c r="S38" s="3">
        <f t="shared" si="24"/>
        <v>0.73959450951935879</v>
      </c>
      <c r="T38" s="3">
        <f t="shared" si="25"/>
        <v>0.71207984603678998</v>
      </c>
    </row>
    <row r="39" spans="13:20">
      <c r="M39" s="3">
        <v>2012</v>
      </c>
      <c r="N39" s="3">
        <f t="shared" si="19"/>
        <v>0.94006246385062275</v>
      </c>
      <c r="O39" s="3">
        <f t="shared" si="20"/>
        <v>0.81471313478247009</v>
      </c>
      <c r="P39" s="3">
        <f t="shared" si="21"/>
        <v>1.1212333301806487</v>
      </c>
      <c r="Q39" s="3">
        <f t="shared" si="22"/>
        <v>0.73732042016944443</v>
      </c>
      <c r="R39" s="3">
        <f t="shared" si="23"/>
        <v>0.82218827944433537</v>
      </c>
      <c r="S39" s="3">
        <f t="shared" si="24"/>
        <v>0.81080459597635324</v>
      </c>
      <c r="T39" s="3">
        <f t="shared" si="25"/>
        <v>0.78242158929509253</v>
      </c>
    </row>
  </sheetData>
  <mergeCells count="2">
    <mergeCell ref="A1:K1"/>
    <mergeCell ref="A23:K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9"/>
  <sheetViews>
    <sheetView view="pageBreakPreview" zoomScaleNormal="100" zoomScaleSheetLayoutView="100" workbookViewId="0">
      <selection activeCell="E24" sqref="E24:H28"/>
    </sheetView>
  </sheetViews>
  <sheetFormatPr defaultRowHeight="15"/>
  <cols>
    <col min="1" max="12" width="9.140625" style="3"/>
    <col min="13" max="21" width="0" style="3" hidden="1" customWidth="1"/>
    <col min="22" max="16384" width="9.140625" style="3"/>
  </cols>
  <sheetData>
    <row r="1" spans="1:20">
      <c r="A1" s="454" t="s">
        <v>191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0" ht="135">
      <c r="A2" s="18"/>
      <c r="B2" s="18" t="s">
        <v>2</v>
      </c>
      <c r="C2" s="18" t="s">
        <v>8</v>
      </c>
      <c r="D2" s="18" t="s">
        <v>20</v>
      </c>
      <c r="E2" s="18" t="s">
        <v>4</v>
      </c>
      <c r="F2" s="21" t="s">
        <v>36</v>
      </c>
      <c r="G2" s="21" t="s">
        <v>37</v>
      </c>
      <c r="H2" s="21" t="s">
        <v>38</v>
      </c>
      <c r="I2" s="18" t="s">
        <v>5</v>
      </c>
      <c r="J2" s="18" t="s">
        <v>6</v>
      </c>
      <c r="K2" s="18" t="s">
        <v>7</v>
      </c>
    </row>
    <row r="3" spans="1:20">
      <c r="A3" s="6"/>
      <c r="B3" s="6"/>
      <c r="C3" s="6"/>
      <c r="D3" s="6"/>
      <c r="E3" s="6"/>
      <c r="F3" s="52"/>
      <c r="G3" s="52"/>
      <c r="H3" s="52"/>
      <c r="I3" s="6"/>
      <c r="J3" s="6"/>
      <c r="K3" s="6"/>
    </row>
    <row r="4" spans="1:20">
      <c r="A4" s="18">
        <v>1997</v>
      </c>
      <c r="B4" s="17">
        <f>'2B'!B17/'4B'!B4/52</f>
        <v>35.195542686659174</v>
      </c>
      <c r="C4" s="17">
        <f>'2B'!C17/'4B'!C4/52</f>
        <v>38.250663129973475</v>
      </c>
      <c r="D4" s="17">
        <f>'2B'!D17/'4B'!D4/52</f>
        <v>72.517806267806264</v>
      </c>
      <c r="E4" s="17">
        <f>'2B'!E17/'4B'!H4/52</f>
        <v>41.358833474218088</v>
      </c>
      <c r="F4" s="17">
        <f>'2B'!F17/'4B'!I4/52</f>
        <v>47.568681318681314</v>
      </c>
      <c r="G4" s="17">
        <f>'2B'!G17/'4B'!J4/52</f>
        <v>58.698568872987479</v>
      </c>
      <c r="H4" s="17">
        <f>'2B'!H17/'4B'!K4/52</f>
        <v>33.98317307692308</v>
      </c>
      <c r="I4" s="17">
        <f>'2B'!I17/'4B'!L4/52</f>
        <v>31.469366061074602</v>
      </c>
      <c r="J4" s="17">
        <f>'2B'!J17/'4B'!M4/52</f>
        <v>25.654479265590375</v>
      </c>
      <c r="K4" s="17">
        <f>'2B'!K17/'4B'!N4/52</f>
        <v>40.58560794044665</v>
      </c>
      <c r="N4" s="3" t="s">
        <v>24</v>
      </c>
    </row>
    <row r="5" spans="1:20">
      <c r="A5" s="18">
        <v>1998</v>
      </c>
      <c r="B5" s="17">
        <f>'2B'!B18/'4B'!B5/52</f>
        <v>35.277246910115132</v>
      </c>
      <c r="C5" s="17">
        <f>'2B'!C18/'4B'!C5/52</f>
        <v>34.031213761113264</v>
      </c>
      <c r="D5" s="17">
        <f>'2B'!D18/'4B'!D5/52</f>
        <v>59.754641909814332</v>
      </c>
      <c r="E5" s="17">
        <f>'2B'!E18/'4B'!H5/52</f>
        <v>36.706805655403784</v>
      </c>
      <c r="F5" s="17">
        <f>'2B'!F18/'4B'!I5/52</f>
        <v>34.901883830455255</v>
      </c>
      <c r="G5" s="17">
        <f>'2B'!G18/'4B'!J5/52</f>
        <v>78.45552884615384</v>
      </c>
      <c r="H5" s="17">
        <f>'2B'!H18/'4B'!K5/52</f>
        <v>30.800607287449392</v>
      </c>
      <c r="I5" s="17">
        <f>'2B'!I18/'4B'!L5/52</f>
        <v>28.393746541228552</v>
      </c>
      <c r="J5" s="17">
        <f>'2B'!J18/'4B'!M5/52</f>
        <v>24.388736263736266</v>
      </c>
      <c r="K5" s="17">
        <f>'2B'!K18/'4B'!N5/52</f>
        <v>33.042048624950176</v>
      </c>
      <c r="N5" s="3" t="s">
        <v>2</v>
      </c>
      <c r="O5" s="3" t="s">
        <v>8</v>
      </c>
      <c r="P5" s="3" t="s">
        <v>20</v>
      </c>
      <c r="Q5" s="3" t="s">
        <v>4</v>
      </c>
      <c r="R5" s="3" t="s">
        <v>5</v>
      </c>
      <c r="S5" s="3" t="s">
        <v>6</v>
      </c>
      <c r="T5" s="3" t="s">
        <v>7</v>
      </c>
    </row>
    <row r="6" spans="1:20">
      <c r="A6" s="18">
        <v>1999</v>
      </c>
      <c r="B6" s="17">
        <f>'2B'!B19/'4B'!B6/52</f>
        <v>35.2822455701628</v>
      </c>
      <c r="C6" s="17">
        <f>'2B'!C19/'4B'!C6/52</f>
        <v>39.492617952284149</v>
      </c>
      <c r="D6" s="17">
        <f>'2B'!D19/'4B'!D6/52</f>
        <v>68.528106508875737</v>
      </c>
      <c r="E6" s="17">
        <f>'2B'!E19/'4B'!H6/52</f>
        <v>40.797530228968363</v>
      </c>
      <c r="F6" s="17">
        <f>'2B'!F19/'4B'!I6/52</f>
        <v>39.650349650349654</v>
      </c>
      <c r="G6" s="17">
        <f>'2B'!G19/'4B'!J6/52</f>
        <v>79.590080971659916</v>
      </c>
      <c r="H6" s="17">
        <f>'2B'!H19/'4B'!K6/52</f>
        <v>33.448928121059268</v>
      </c>
      <c r="I6" s="17">
        <f>'2B'!I19/'4B'!L6/52</f>
        <v>34.329535953177256</v>
      </c>
      <c r="J6" s="17">
        <f>'2B'!J19/'4B'!M6/52</f>
        <v>37.56129807692308</v>
      </c>
      <c r="K6" s="17">
        <f>'2B'!K19/'4B'!N6/52</f>
        <v>31.843565088757394</v>
      </c>
      <c r="M6" s="3">
        <v>1998</v>
      </c>
      <c r="N6" s="3">
        <f>((B5/B4)-1)*100</f>
        <v>0.23214366712103196</v>
      </c>
      <c r="O6" s="3">
        <f>((C5/C4)-1)*100</f>
        <v>-11.031048937694942</v>
      </c>
      <c r="P6" s="3">
        <f>((D5/D4)-1)*100</f>
        <v>-17.600041996386263</v>
      </c>
      <c r="Q6" s="3">
        <f>((E5/E4)-1)*100</f>
        <v>-11.247966705139889</v>
      </c>
      <c r="R6" s="3">
        <f t="shared" ref="R6:T20" si="0">((I5/I4)-1)*100</f>
        <v>-9.7733761585060197</v>
      </c>
      <c r="S6" s="3">
        <f t="shared" si="0"/>
        <v>-4.9338089802969165</v>
      </c>
      <c r="T6" s="3">
        <f t="shared" si="0"/>
        <v>-18.586784080123987</v>
      </c>
    </row>
    <row r="7" spans="1:20">
      <c r="A7" s="18">
        <v>2000</v>
      </c>
      <c r="B7" s="17">
        <f>'2B'!B20/'4B'!B7/52</f>
        <v>35.180193587560872</v>
      </c>
      <c r="C7" s="17">
        <f>'2B'!C20/'4B'!C7/52</f>
        <v>34.049430545182972</v>
      </c>
      <c r="D7" s="17">
        <f>'2B'!D20/'4B'!D7/52</f>
        <v>70.604395604395606</v>
      </c>
      <c r="E7" s="17">
        <f>'2B'!E20/'4B'!H7/52</f>
        <v>33.952867941307247</v>
      </c>
      <c r="F7" s="17">
        <f>'2B'!F20/'4B'!I7/52</f>
        <v>34.751407129455913</v>
      </c>
      <c r="G7" s="17">
        <f>'2B'!G20/'4B'!J7/52</f>
        <v>42.925407925407931</v>
      </c>
      <c r="H7" s="17">
        <f>'2B'!H20/'4B'!K7/52</f>
        <v>30.632284382284379</v>
      </c>
      <c r="I7" s="17">
        <f>'2B'!I20/'4B'!L7/52</f>
        <v>29.277706890266131</v>
      </c>
      <c r="J7" s="17">
        <f>'2B'!J20/'4B'!M7/52</f>
        <v>30.523984442523766</v>
      </c>
      <c r="K7" s="17">
        <f>'2B'!K20/'4B'!N7/52</f>
        <v>28.368537200504417</v>
      </c>
      <c r="M7" s="3">
        <v>1999</v>
      </c>
      <c r="N7" s="3">
        <f t="shared" ref="N7:N20" si="1">((B6/B5)-1)*100</f>
        <v>1.4169643284245304E-2</v>
      </c>
      <c r="O7" s="3">
        <f t="shared" ref="O7:O20" si="2">((C6/C5)-1)*100</f>
        <v>16.04822040585432</v>
      </c>
      <c r="P7" s="3">
        <f t="shared" ref="P7:P20" si="3">((D6/D5)-1)*100</f>
        <v>14.682482094534022</v>
      </c>
      <c r="Q7" s="3">
        <f t="shared" ref="Q7:Q20" si="4">((E6/E5)-1)*100</f>
        <v>11.144321878529805</v>
      </c>
      <c r="R7" s="3">
        <f t="shared" si="0"/>
        <v>20.90527012111545</v>
      </c>
      <c r="S7" s="3">
        <f t="shared" si="0"/>
        <v>54.010842016333413</v>
      </c>
      <c r="T7" s="3">
        <f t="shared" si="0"/>
        <v>-3.6271465785804868</v>
      </c>
    </row>
    <row r="8" spans="1:20">
      <c r="A8" s="18">
        <v>2001</v>
      </c>
      <c r="B8" s="17">
        <f>'2B'!B21/'4B'!B8/52</f>
        <v>35.061020054179416</v>
      </c>
      <c r="C8" s="17">
        <f>'2B'!C21/'4B'!C8/52</f>
        <v>36.590227068120434</v>
      </c>
      <c r="D8" s="17">
        <f>'2B'!D21/'4B'!D8/52</f>
        <v>62.28321678321678</v>
      </c>
      <c r="E8" s="17">
        <f>'2B'!E21/'4B'!H8/52</f>
        <v>37.25841346153846</v>
      </c>
      <c r="F8" s="17">
        <f>'2B'!F21/'4B'!I8/52</f>
        <v>45.277777777777779</v>
      </c>
      <c r="G8" s="17">
        <f>'2B'!G21/'4B'!J8/52</f>
        <v>38.958094144661302</v>
      </c>
      <c r="H8" s="17">
        <f>'2B'!H21/'4B'!K8/52</f>
        <v>33.439226519337012</v>
      </c>
      <c r="I8" s="17">
        <f>'2B'!I21/'4B'!L8/52</f>
        <v>32.460952752830927</v>
      </c>
      <c r="J8" s="17">
        <f>'2B'!J21/'4B'!M8/52</f>
        <v>24.831056793673618</v>
      </c>
      <c r="K8" s="17">
        <f>'2B'!K21/'4B'!N8/52</f>
        <v>41.532051282051277</v>
      </c>
      <c r="M8" s="3">
        <v>2000</v>
      </c>
      <c r="N8" s="3">
        <f t="shared" si="1"/>
        <v>-0.28924457883211518</v>
      </c>
      <c r="O8" s="3">
        <f t="shared" si="2"/>
        <v>-13.782797113318136</v>
      </c>
      <c r="P8" s="3">
        <f t="shared" si="3"/>
        <v>3.0298357875260251</v>
      </c>
      <c r="Q8" s="3">
        <f t="shared" si="4"/>
        <v>-16.777148639260155</v>
      </c>
      <c r="R8" s="3">
        <f t="shared" si="0"/>
        <v>-14.715692836050609</v>
      </c>
      <c r="S8" s="3">
        <f t="shared" si="0"/>
        <v>-18.73554428280768</v>
      </c>
      <c r="T8" s="3">
        <f t="shared" si="0"/>
        <v>-10.912810417323094</v>
      </c>
    </row>
    <row r="9" spans="1:20">
      <c r="A9" s="18">
        <v>2002</v>
      </c>
      <c r="B9" s="17">
        <f>'2B'!B22/'4B'!B9/52</f>
        <v>34.75022456312265</v>
      </c>
      <c r="C9" s="17">
        <f>'2B'!C22/'4B'!C9/52</f>
        <v>34.933048433048434</v>
      </c>
      <c r="D9" s="17">
        <f>'2B'!D22/'4B'!D9/52</f>
        <v>60.416083916083913</v>
      </c>
      <c r="E9" s="17">
        <f>'2B'!E22/'4B'!H9/52</f>
        <v>32.840885142255004</v>
      </c>
      <c r="F9" s="17">
        <f>'2B'!F22/'4B'!I9/52</f>
        <v>35.588369963369964</v>
      </c>
      <c r="G9" s="17">
        <f>'2B'!G22/'4B'!J9/52</f>
        <v>45.394230769230766</v>
      </c>
      <c r="H9" s="17">
        <f>'2B'!H22/'4B'!K9/52</f>
        <v>28.390184476157327</v>
      </c>
      <c r="I9" s="17">
        <f>'2B'!I22/'4B'!L9/52</f>
        <v>33.297337278106511</v>
      </c>
      <c r="J9" s="17">
        <f>'2B'!J22/'4B'!M9/52</f>
        <v>24.787735849056602</v>
      </c>
      <c r="K9" s="17">
        <f>'2B'!K22/'4B'!N9/52</f>
        <v>43.190803609798031</v>
      </c>
      <c r="M9" s="3">
        <v>2001</v>
      </c>
      <c r="N9" s="3">
        <f t="shared" si="1"/>
        <v>-0.33875178396856054</v>
      </c>
      <c r="O9" s="3">
        <f t="shared" si="2"/>
        <v>7.4620822793669772</v>
      </c>
      <c r="P9" s="3">
        <f t="shared" si="3"/>
        <v>-11.785638486027594</v>
      </c>
      <c r="Q9" s="3">
        <f t="shared" si="4"/>
        <v>9.7356886786275521</v>
      </c>
      <c r="R9" s="3">
        <f t="shared" si="0"/>
        <v>10.87259283828379</v>
      </c>
      <c r="S9" s="3">
        <f t="shared" si="0"/>
        <v>-18.650670129811697</v>
      </c>
      <c r="T9" s="3">
        <f t="shared" si="0"/>
        <v>46.401807708692154</v>
      </c>
    </row>
    <row r="10" spans="1:20">
      <c r="A10" s="18">
        <v>2003</v>
      </c>
      <c r="B10" s="17">
        <f>'2B'!B23/'4B'!B10/52</f>
        <v>34.16814741711719</v>
      </c>
      <c r="C10" s="17">
        <f>'2B'!C23/'4B'!C10/52</f>
        <v>32.211088092235634</v>
      </c>
      <c r="D10" s="17">
        <f>'2B'!D23/'4B'!D10/52</f>
        <v>59.632554945054949</v>
      </c>
      <c r="E10" s="17">
        <f>'2B'!E23/'4B'!H10/52</f>
        <v>30.398785425101213</v>
      </c>
      <c r="F10" s="17">
        <f>'2B'!F23/'4B'!I10/52</f>
        <v>43.301775147928993</v>
      </c>
      <c r="G10" s="17">
        <f>'2B'!G23/'4B'!J10/52</f>
        <v>30.700404858299596</v>
      </c>
      <c r="H10" s="17">
        <f>'2B'!H23/'4B'!K10/52</f>
        <v>26.45541958041958</v>
      </c>
      <c r="I10" s="17">
        <f>'2B'!I23/'4B'!L10/52</f>
        <v>30.184946632315057</v>
      </c>
      <c r="J10" s="17">
        <f>'2B'!J23/'4B'!M10/52</f>
        <v>20.785048285048283</v>
      </c>
      <c r="K10" s="17">
        <f>'2B'!K23/'4B'!N10/52</f>
        <v>41.796585767174001</v>
      </c>
      <c r="M10" s="3">
        <v>2002</v>
      </c>
      <c r="N10" s="3">
        <f t="shared" si="1"/>
        <v>-0.88644166820159853</v>
      </c>
      <c r="O10" s="3">
        <f t="shared" si="2"/>
        <v>-4.5290198171954792</v>
      </c>
      <c r="P10" s="3">
        <f t="shared" si="3"/>
        <v>-2.9978105877729755</v>
      </c>
      <c r="Q10" s="3">
        <f t="shared" si="4"/>
        <v>-11.856458471705011</v>
      </c>
      <c r="R10" s="3">
        <f t="shared" si="0"/>
        <v>2.5765864965335616</v>
      </c>
      <c r="S10" s="3">
        <f t="shared" si="0"/>
        <v>-0.17446275032504399</v>
      </c>
      <c r="T10" s="3">
        <f t="shared" si="0"/>
        <v>3.993908984850969</v>
      </c>
    </row>
    <row r="11" spans="1:20">
      <c r="A11" s="18">
        <v>2004</v>
      </c>
      <c r="B11" s="17">
        <f>'2B'!B24/'4B'!B11/52</f>
        <v>34.72620765096628</v>
      </c>
      <c r="C11" s="17">
        <f>'2B'!C24/'4B'!C11/52</f>
        <v>30.523931623931624</v>
      </c>
      <c r="D11" s="17">
        <f>'2B'!D24/'4B'!D11/52</f>
        <v>39.247596153846153</v>
      </c>
      <c r="E11" s="17">
        <f>'2B'!E24/'4B'!H11/52</f>
        <v>26.674182139699383</v>
      </c>
      <c r="F11" s="17">
        <f>'2B'!F24/'4B'!I11/52</f>
        <v>38.550295857988168</v>
      </c>
      <c r="G11" s="17">
        <f>'2B'!G24/'4B'!J11/52</f>
        <v>29.964846980976009</v>
      </c>
      <c r="H11" s="17">
        <f>'2B'!H24/'4B'!K11/52</f>
        <v>21.923076923076923</v>
      </c>
      <c r="I11" s="17">
        <f>'2B'!I24/'4B'!L11/52</f>
        <v>33.060939060939063</v>
      </c>
      <c r="J11" s="17">
        <f>'2B'!J24/'4B'!M11/52</f>
        <v>29.184114701866182</v>
      </c>
      <c r="K11" s="17">
        <f>'2B'!K24/'4B'!N11/52</f>
        <v>36.093304843304843</v>
      </c>
      <c r="M11" s="3">
        <v>2003</v>
      </c>
      <c r="N11" s="3">
        <f t="shared" si="1"/>
        <v>-1.6750313223102609</v>
      </c>
      <c r="O11" s="3">
        <f t="shared" si="2"/>
        <v>-7.7919347520718718</v>
      </c>
      <c r="P11" s="3">
        <f t="shared" si="3"/>
        <v>-1.2968880474233724</v>
      </c>
      <c r="Q11" s="3">
        <f t="shared" si="4"/>
        <v>-7.4361568105594138</v>
      </c>
      <c r="R11" s="3">
        <f t="shared" si="0"/>
        <v>-9.3472658783376517</v>
      </c>
      <c r="S11" s="3">
        <f t="shared" si="0"/>
        <v>-16.147854682583517</v>
      </c>
      <c r="T11" s="3">
        <f t="shared" si="0"/>
        <v>-3.2280433011154797</v>
      </c>
    </row>
    <row r="12" spans="1:20">
      <c r="A12" s="18">
        <v>2005</v>
      </c>
      <c r="B12" s="17">
        <f>'2B'!B25/'4B'!B12/52</f>
        <v>34.428854213075148</v>
      </c>
      <c r="C12" s="17">
        <f>'2B'!C25/'4B'!C12/52</f>
        <v>31.482479153002906</v>
      </c>
      <c r="D12" s="17">
        <f>'2B'!D25/'4B'!D12/52</f>
        <v>37.359287054409009</v>
      </c>
      <c r="E12" s="17">
        <f>'2B'!E25/'4B'!H12/52</f>
        <v>27.828831473869645</v>
      </c>
      <c r="F12" s="17">
        <f>'2B'!F25/'4B'!I12/52</f>
        <v>35.871320037986706</v>
      </c>
      <c r="G12" s="17">
        <f>'2B'!G25/'4B'!J12/52</f>
        <v>24.227035100821507</v>
      </c>
      <c r="H12" s="17">
        <f>'2B'!H25/'4B'!K12/52</f>
        <v>26.48601398601399</v>
      </c>
      <c r="I12" s="17">
        <f>'2B'!I25/'4B'!L12/52</f>
        <v>34.239662072032012</v>
      </c>
      <c r="J12" s="17">
        <f>'2B'!J25/'4B'!M12/52</f>
        <v>26.773360867320598</v>
      </c>
      <c r="K12" s="17">
        <f>'2B'!K25/'4B'!N12/52</f>
        <v>39.68531468531468</v>
      </c>
      <c r="M12" s="3">
        <v>2004</v>
      </c>
      <c r="N12" s="3">
        <f t="shared" si="1"/>
        <v>1.63327624127938</v>
      </c>
      <c r="O12" s="3">
        <f t="shared" si="2"/>
        <v>-5.2378127167665989</v>
      </c>
      <c r="P12" s="3">
        <f t="shared" si="3"/>
        <v>-34.184278721566372</v>
      </c>
      <c r="Q12" s="3">
        <f t="shared" si="4"/>
        <v>-12.252474016038517</v>
      </c>
      <c r="R12" s="3">
        <f t="shared" si="0"/>
        <v>9.5279029764626433</v>
      </c>
      <c r="S12" s="3">
        <f t="shared" si="0"/>
        <v>40.409174429773941</v>
      </c>
      <c r="T12" s="3">
        <f t="shared" si="0"/>
        <v>-13.645327289743303</v>
      </c>
    </row>
    <row r="13" spans="1:20">
      <c r="A13" s="18">
        <v>2006</v>
      </c>
      <c r="B13" s="361">
        <f>'2B'!B26/'4B'!B13/52</f>
        <v>34.284226636018474</v>
      </c>
      <c r="C13" s="361">
        <f>'2B'!C26/'4B'!C13/52</f>
        <v>32.455621301775153</v>
      </c>
      <c r="D13" s="361">
        <f>'2B'!D26/'4B'!D13/52</f>
        <v>45.931490384615387</v>
      </c>
      <c r="E13" s="361">
        <f>'2B'!E26/'4B'!H13/52</f>
        <v>26.902834008097166</v>
      </c>
      <c r="F13" s="361">
        <f>'2B'!F26/'4B'!I13/52</f>
        <v>34.091599190283404</v>
      </c>
      <c r="G13" s="361">
        <f>'2B'!G26/'4B'!J13/52</f>
        <v>29.73709834469328</v>
      </c>
      <c r="H13" s="361">
        <f>'2B'!H26/'4B'!K13/52</f>
        <v>23.746059268600256</v>
      </c>
      <c r="I13" s="361">
        <f>'2B'!I26/'4B'!L13/52</f>
        <v>36.906629554655872</v>
      </c>
      <c r="J13" s="361">
        <f>'2B'!J26/'4B'!M13/52</f>
        <v>27.746623605402231</v>
      </c>
      <c r="K13" s="361">
        <f>'2B'!K26/'4B'!N13/52</f>
        <v>43.842819030680296</v>
      </c>
      <c r="M13" s="3">
        <v>2005</v>
      </c>
      <c r="N13" s="3">
        <f t="shared" si="1"/>
        <v>-0.85627961705417865</v>
      </c>
      <c r="O13" s="3">
        <f t="shared" si="2"/>
        <v>3.1403147565687517</v>
      </c>
      <c r="P13" s="3">
        <f t="shared" si="3"/>
        <v>-4.8112732612595854</v>
      </c>
      <c r="Q13" s="3">
        <f t="shared" si="4"/>
        <v>4.3287150403452879</v>
      </c>
      <c r="R13" s="3">
        <f t="shared" si="0"/>
        <v>3.5653040856470808</v>
      </c>
      <c r="S13" s="3">
        <f t="shared" si="0"/>
        <v>-8.2605001356831576</v>
      </c>
      <c r="T13" s="3">
        <f t="shared" si="0"/>
        <v>9.9520114813651972</v>
      </c>
    </row>
    <row r="14" spans="1:20">
      <c r="A14" s="18">
        <v>2007</v>
      </c>
      <c r="B14" s="17">
        <f>'2B'!B27/'4B'!B14/52</f>
        <v>34.159037989872964</v>
      </c>
      <c r="C14" s="17">
        <f>'2B'!C27/'4B'!C14/52</f>
        <v>34.241552839683678</v>
      </c>
      <c r="D14" s="17">
        <f>'2B'!D27/'4B'!D14/52</f>
        <v>46.295355587808416</v>
      </c>
      <c r="E14" s="17">
        <f>'2B'!E27/'4B'!H14/52</f>
        <v>29.952539447731755</v>
      </c>
      <c r="F14" s="17">
        <f>'2B'!F27/'4B'!I14/52</f>
        <v>21.614992150706435</v>
      </c>
      <c r="G14" s="17">
        <f>'2B'!G27/'4B'!J14/52</f>
        <v>30.280312907431551</v>
      </c>
      <c r="H14" s="17">
        <f>'2B'!H27/'4B'!K14/52</f>
        <v>34.873027613412233</v>
      </c>
      <c r="I14" s="17">
        <f>'2B'!I27/'4B'!L14/52</f>
        <v>36.766176062204941</v>
      </c>
      <c r="J14" s="17">
        <f>'2B'!J27/'4B'!M14/52</f>
        <v>31.14652014652015</v>
      </c>
      <c r="K14" s="17">
        <f>'2B'!K27/'4B'!N14/52</f>
        <v>40.196779964221825</v>
      </c>
      <c r="M14" s="3">
        <v>2006</v>
      </c>
      <c r="N14" s="3">
        <f t="shared" si="1"/>
        <v>-0.4200766489689034</v>
      </c>
      <c r="O14" s="3">
        <f t="shared" si="2"/>
        <v>3.0910594557780335</v>
      </c>
      <c r="P14" s="3">
        <f t="shared" si="3"/>
        <v>22.945307595731322</v>
      </c>
      <c r="Q14" s="3">
        <f t="shared" si="4"/>
        <v>-3.3274752001066221</v>
      </c>
      <c r="R14" s="3">
        <f t="shared" si="0"/>
        <v>7.789117418896252</v>
      </c>
      <c r="S14" s="3">
        <f t="shared" si="0"/>
        <v>3.6351907513770154</v>
      </c>
      <c r="T14" s="3">
        <f t="shared" si="0"/>
        <v>10.476178350436705</v>
      </c>
    </row>
    <row r="15" spans="1:20">
      <c r="A15" s="18">
        <v>2008</v>
      </c>
      <c r="B15" s="17">
        <f>'2B'!B28/'4B'!B15/52</f>
        <v>33.815604088994128</v>
      </c>
      <c r="C15" s="17">
        <f>'2B'!C28/'4B'!C15/52</f>
        <v>33.654489323385647</v>
      </c>
      <c r="D15" s="17">
        <f>'2B'!D28/'4B'!D15/52</f>
        <v>49.268394648829435</v>
      </c>
      <c r="E15" s="17">
        <f>'2B'!E28/'4B'!H15/52</f>
        <v>33.52589950372208</v>
      </c>
      <c r="F15" s="17">
        <f>'2B'!F28/'4B'!I15/52</f>
        <v>29.713286713286713</v>
      </c>
      <c r="G15" s="17">
        <f>'2B'!G28/'4B'!J15/52</f>
        <v>41.658004158004161</v>
      </c>
      <c r="H15" s="17">
        <f>'2B'!H28/'4B'!K15/52</f>
        <v>32.94132149901381</v>
      </c>
      <c r="I15" s="17">
        <f>'2B'!I28/'4B'!L15/52</f>
        <v>31.396761133603242</v>
      </c>
      <c r="J15" s="17">
        <f>'2B'!J28/'4B'!M15/52</f>
        <v>18.355394605394604</v>
      </c>
      <c r="K15" s="17">
        <f>'2B'!K28/'4B'!N15/52</f>
        <v>44.785897435897439</v>
      </c>
      <c r="M15" s="3">
        <v>2007</v>
      </c>
      <c r="N15" s="3">
        <f t="shared" si="1"/>
        <v>-0.36514939501067767</v>
      </c>
      <c r="O15" s="3">
        <f t="shared" si="2"/>
        <v>5.5026878743216212</v>
      </c>
      <c r="P15" s="3">
        <f t="shared" si="3"/>
        <v>0.79219115283684083</v>
      </c>
      <c r="Q15" s="3">
        <f t="shared" si="4"/>
        <v>11.336000655978085</v>
      </c>
      <c r="R15" s="3">
        <f t="shared" si="0"/>
        <v>-0.38056439763194394</v>
      </c>
      <c r="S15" s="3">
        <f t="shared" si="0"/>
        <v>12.253370318023006</v>
      </c>
      <c r="T15" s="3">
        <f t="shared" si="0"/>
        <v>-8.3161601992496124</v>
      </c>
    </row>
    <row r="16" spans="1:20">
      <c r="A16" s="18">
        <v>2009</v>
      </c>
      <c r="B16" s="17">
        <f>'2B'!B29/'4B'!B16/52</f>
        <v>33.229834607103143</v>
      </c>
      <c r="C16" s="17">
        <f>'2B'!C29/'4B'!C16/52</f>
        <v>30.477930740845867</v>
      </c>
      <c r="D16" s="17">
        <f>'2B'!D29/'4B'!D16/52</f>
        <v>39.123434704830053</v>
      </c>
      <c r="E16" s="17">
        <f>'2B'!E29/'4B'!H16/52</f>
        <v>25.11192908653846</v>
      </c>
      <c r="F16" s="17">
        <f>'2B'!F29/'4B'!I16/52</f>
        <v>40.990028490028486</v>
      </c>
      <c r="G16" s="17">
        <f>'2B'!G29/'4B'!J16/52</f>
        <v>22.181697612732098</v>
      </c>
      <c r="H16" s="17">
        <f>'2B'!H29/'4B'!K16/52</f>
        <v>23.73755656108597</v>
      </c>
      <c r="I16" s="17">
        <f>'2B'!I29/'4B'!L16/52</f>
        <v>34.6011396011396</v>
      </c>
      <c r="J16" s="17">
        <f>'2B'!J29/'4B'!M16/52</f>
        <v>21.685314685314687</v>
      </c>
      <c r="K16" s="17">
        <f>'2B'!K29/'4B'!N16/52</f>
        <v>45.283400809716596</v>
      </c>
      <c r="M16" s="3">
        <v>2008</v>
      </c>
      <c r="N16" s="3">
        <f t="shared" si="1"/>
        <v>-1.0053968761668641</v>
      </c>
      <c r="O16" s="3">
        <f t="shared" si="2"/>
        <v>-1.7144769077693911</v>
      </c>
      <c r="P16" s="3">
        <f t="shared" si="3"/>
        <v>6.4218948602350778</v>
      </c>
      <c r="Q16" s="3">
        <f t="shared" si="4"/>
        <v>11.930073782979122</v>
      </c>
      <c r="R16" s="3">
        <f t="shared" si="0"/>
        <v>-14.604224599036764</v>
      </c>
      <c r="S16" s="3">
        <f t="shared" si="0"/>
        <v>-41.067591117573485</v>
      </c>
      <c r="T16" s="3">
        <f t="shared" si="0"/>
        <v>11.416629580180992</v>
      </c>
    </row>
    <row r="17" spans="1:20">
      <c r="A17" s="18">
        <v>2010</v>
      </c>
      <c r="B17" s="17">
        <f>'2B'!B30/'4B'!B17/52</f>
        <v>33.402231467473527</v>
      </c>
      <c r="C17" s="17">
        <f>'2B'!C30/'4B'!C17/52</f>
        <v>30.272883541039963</v>
      </c>
      <c r="D17" s="17">
        <f>'2B'!D30/'4B'!D17/52</f>
        <v>30.829772079772077</v>
      </c>
      <c r="E17" s="17">
        <f>'2B'!E30/'4B'!H17/52</f>
        <v>30.702797202797203</v>
      </c>
      <c r="F17" s="17">
        <f>'2B'!F30/'4B'!I17/52</f>
        <v>31.971153846153847</v>
      </c>
      <c r="G17" s="17">
        <f>'2B'!G30/'4B'!J17/52</f>
        <v>35.67567567567567</v>
      </c>
      <c r="H17" s="17">
        <f>'2B'!H30/'4B'!K17/52</f>
        <v>29.061323292092521</v>
      </c>
      <c r="I17" s="17">
        <f>'2B'!I30/'4B'!L17/52</f>
        <v>29.798917812225795</v>
      </c>
      <c r="J17" s="17">
        <f>'2B'!J30/'4B'!M17/52</f>
        <v>22.128712871287128</v>
      </c>
      <c r="K17" s="17">
        <f>'2B'!K30/'4B'!N17/52</f>
        <v>34.580959164292501</v>
      </c>
      <c r="M17" s="3">
        <v>2009</v>
      </c>
      <c r="N17" s="3">
        <f t="shared" si="1"/>
        <v>-1.7322460966522679</v>
      </c>
      <c r="O17" s="3">
        <f t="shared" si="2"/>
        <v>-9.438736544228199</v>
      </c>
      <c r="P17" s="3">
        <f t="shared" si="3"/>
        <v>-20.591212716204087</v>
      </c>
      <c r="Q17" s="3">
        <f t="shared" si="4"/>
        <v>-25.096926679773325</v>
      </c>
      <c r="R17" s="3">
        <f t="shared" si="0"/>
        <v>10.206079709625794</v>
      </c>
      <c r="S17" s="3">
        <f t="shared" si="0"/>
        <v>18.141370161235471</v>
      </c>
      <c r="T17" s="3">
        <f t="shared" si="0"/>
        <v>1.1108482855149537</v>
      </c>
    </row>
    <row r="18" spans="1:20">
      <c r="A18" s="18">
        <v>2011</v>
      </c>
      <c r="B18" s="17">
        <f>'2B'!B31/'4B'!B18/52</f>
        <v>33.3760766293858</v>
      </c>
      <c r="C18" s="17">
        <f>'2B'!C31/'4B'!C18/52</f>
        <v>32.837692307692308</v>
      </c>
      <c r="D18" s="17">
        <f>'2B'!D31/'4B'!D18/52</f>
        <v>49.181459566074949</v>
      </c>
      <c r="E18" s="17">
        <f>'2B'!E31/'4B'!H18/52</f>
        <v>28.989306657468092</v>
      </c>
      <c r="F18" s="17">
        <f>'2B'!F31/'4B'!I18/52</f>
        <v>22.857624831309042</v>
      </c>
      <c r="G18" s="17">
        <f>'2B'!G31/'4B'!J18/52</f>
        <v>57.269230769230766</v>
      </c>
      <c r="H18" s="17">
        <f>'2B'!H31/'4B'!K18/52</f>
        <v>27.509220231822972</v>
      </c>
      <c r="I18" s="17">
        <f>'2B'!I31/'4B'!L18/52</f>
        <v>33.765352294764057</v>
      </c>
      <c r="J18" s="17">
        <f>'2B'!J31/'4B'!M18/52</f>
        <v>22.376109467455624</v>
      </c>
      <c r="K18" s="17">
        <f>'2B'!K31/'4B'!N18/52</f>
        <v>42.604764638346722</v>
      </c>
      <c r="M18" s="3">
        <v>2010</v>
      </c>
      <c r="N18" s="3">
        <f t="shared" si="1"/>
        <v>0.51880143975657766</v>
      </c>
      <c r="O18" s="3">
        <f t="shared" si="2"/>
        <v>-0.6727727074040013</v>
      </c>
      <c r="P18" s="3">
        <f t="shared" si="3"/>
        <v>-21.198707852800226</v>
      </c>
      <c r="Q18" s="3">
        <f t="shared" si="4"/>
        <v>22.26379382082515</v>
      </c>
      <c r="R18" s="3">
        <f t="shared" si="0"/>
        <v>-13.878796606906096</v>
      </c>
      <c r="S18" s="3">
        <f t="shared" si="0"/>
        <v>2.0446933438909687</v>
      </c>
      <c r="T18" s="3">
        <f t="shared" si="0"/>
        <v>-23.634359288509177</v>
      </c>
    </row>
    <row r="19" spans="1:20">
      <c r="A19" s="18">
        <v>2012</v>
      </c>
      <c r="B19" s="17">
        <f>'2B'!B32/'4B'!B19/52</f>
        <v>33.494932989825159</v>
      </c>
      <c r="C19" s="17">
        <f>'2B'!C32/'4B'!C19/52</f>
        <v>29.058069381598791</v>
      </c>
      <c r="D19" s="17">
        <f>'2B'!D32/'4B'!D19/52</f>
        <v>47.307692307692307</v>
      </c>
      <c r="E19" s="17">
        <f>'2B'!E32/'4B'!H19/52</f>
        <v>22.809954751131219</v>
      </c>
      <c r="F19" s="17">
        <f>'2B'!F32/'4B'!I19/52</f>
        <v>14.960826210826211</v>
      </c>
      <c r="G19" s="17">
        <f>'2B'!G32/'4B'!J19/52</f>
        <v>39.807692307692307</v>
      </c>
      <c r="H19" s="17">
        <f>'2B'!H32/'4B'!K19/52</f>
        <v>22.539361223571749</v>
      </c>
      <c r="I19" s="17">
        <f>'2B'!I32/'4B'!L19/52</f>
        <v>33.396853146853147</v>
      </c>
      <c r="J19" s="17">
        <f>'2B'!J32/'4B'!M19/52</f>
        <v>25.334841628959278</v>
      </c>
      <c r="K19" s="17">
        <f>'2B'!K32/'4B'!N19/52</f>
        <v>38.472934472934476</v>
      </c>
      <c r="M19" s="3">
        <v>2011</v>
      </c>
      <c r="N19" s="3">
        <f t="shared" si="1"/>
        <v>-7.8302667033480766E-2</v>
      </c>
      <c r="O19" s="3">
        <f t="shared" si="2"/>
        <v>8.4722975370856712</v>
      </c>
      <c r="P19" s="3">
        <f t="shared" si="3"/>
        <v>59.525861685963342</v>
      </c>
      <c r="Q19" s="3">
        <f t="shared" si="4"/>
        <v>-5.5808939296677629</v>
      </c>
      <c r="R19" s="3">
        <f t="shared" si="0"/>
        <v>13.310666204498634</v>
      </c>
      <c r="S19" s="3">
        <f t="shared" si="0"/>
        <v>1.1179890923050495</v>
      </c>
      <c r="T19" s="3">
        <f t="shared" si="0"/>
        <v>23.202958124826733</v>
      </c>
    </row>
    <row r="20" spans="1:20">
      <c r="A20" s="6"/>
      <c r="B20" s="6"/>
      <c r="C20" s="6"/>
      <c r="D20" s="6"/>
      <c r="E20" s="6"/>
      <c r="F20" s="52"/>
      <c r="G20" s="52"/>
      <c r="H20" s="52"/>
      <c r="I20" s="6"/>
      <c r="J20" s="6"/>
      <c r="K20" s="6"/>
      <c r="M20" s="3">
        <v>2012</v>
      </c>
      <c r="N20" s="3">
        <f t="shared" si="1"/>
        <v>0.35611243873616694</v>
      </c>
      <c r="O20" s="3">
        <f t="shared" si="2"/>
        <v>-11.510013830077003</v>
      </c>
      <c r="P20" s="3">
        <f t="shared" si="3"/>
        <v>-3.8099057549629056</v>
      </c>
      <c r="Q20" s="3">
        <f t="shared" si="4"/>
        <v>-21.315969986281047</v>
      </c>
      <c r="R20" s="3">
        <f t="shared" si="0"/>
        <v>-1.0913528894767488</v>
      </c>
      <c r="S20" s="3">
        <f t="shared" si="0"/>
        <v>13.222728311223664</v>
      </c>
      <c r="T20" s="3">
        <f t="shared" si="0"/>
        <v>-9.6980471561938018</v>
      </c>
    </row>
    <row r="21" spans="1:20">
      <c r="A21" s="6"/>
      <c r="B21" s="6"/>
      <c r="C21" s="6"/>
      <c r="D21" s="6"/>
      <c r="E21" s="6"/>
      <c r="F21" s="52"/>
      <c r="G21" s="52"/>
      <c r="H21" s="52"/>
      <c r="I21" s="6"/>
      <c r="J21" s="6"/>
      <c r="K21" s="6"/>
    </row>
    <row r="22" spans="1:20">
      <c r="A22" s="6"/>
      <c r="B22" s="6"/>
      <c r="C22" s="6"/>
      <c r="D22" s="6"/>
      <c r="E22" s="6"/>
      <c r="F22" s="52"/>
      <c r="G22" s="52"/>
      <c r="H22" s="52"/>
      <c r="I22" s="6"/>
      <c r="J22" s="6"/>
      <c r="K22" s="6"/>
    </row>
    <row r="23" spans="1:20">
      <c r="A23" s="454" t="s">
        <v>32</v>
      </c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N23" s="3" t="s">
        <v>27</v>
      </c>
    </row>
    <row r="24" spans="1:20" ht="30">
      <c r="A24" s="18" t="s">
        <v>19</v>
      </c>
      <c r="B24" s="7">
        <f>((B7/B4)^(1/3)-1)*100</f>
        <v>-1.453908626067868E-2</v>
      </c>
      <c r="C24" s="7">
        <f t="shared" ref="C24:K24" si="5">((C7/C4)^(1/3)-1)*100</f>
        <v>-3.804011569406629</v>
      </c>
      <c r="D24" s="7">
        <f t="shared" si="5"/>
        <v>-0.88736388486360118</v>
      </c>
      <c r="E24" s="7">
        <f t="shared" si="5"/>
        <v>-6.3654643470957284</v>
      </c>
      <c r="F24" s="7">
        <f t="shared" ref="F24:H24" si="6">((F7/F4)^(1/3)-1)*100</f>
        <v>-9.9361667165821395</v>
      </c>
      <c r="G24" s="7">
        <f t="shared" si="6"/>
        <v>-9.9060476726192004</v>
      </c>
      <c r="H24" s="7">
        <f t="shared" si="6"/>
        <v>-3.4011804555707514</v>
      </c>
      <c r="I24" s="7">
        <f t="shared" si="5"/>
        <v>-2.3775533068808752</v>
      </c>
      <c r="J24" s="7">
        <f t="shared" si="5"/>
        <v>5.9642430020833803</v>
      </c>
      <c r="K24" s="7">
        <f t="shared" si="5"/>
        <v>-11.252738210012481</v>
      </c>
      <c r="M24" s="3">
        <v>1998</v>
      </c>
      <c r="N24" s="3">
        <f t="shared" ref="N24:N25" si="7">B5/$B$7</f>
        <v>1.0027587489623302</v>
      </c>
      <c r="O24" s="3">
        <f>C5/$C$7</f>
        <v>0.99946499005187373</v>
      </c>
      <c r="P24" s="3">
        <f t="shared" ref="P24:P26" si="8">D5/$D$7</f>
        <v>0.84633033677713687</v>
      </c>
      <c r="Q24" s="3">
        <f t="shared" ref="Q24:Q25" si="9">E5/$E$7</f>
        <v>1.0811106065872591</v>
      </c>
      <c r="R24" s="3">
        <f t="shared" ref="R24:R25" si="10">I5/$I$7</f>
        <v>0.96980773281354671</v>
      </c>
      <c r="S24" s="3">
        <f t="shared" ref="S24:S25" si="11">J5/$J$7</f>
        <v>0.79900238154228898</v>
      </c>
      <c r="T24" s="3">
        <f t="shared" ref="T24:T25" si="12">K5/$K$7</f>
        <v>1.1647427708878364</v>
      </c>
    </row>
    <row r="25" spans="1:20" ht="30">
      <c r="A25" s="325" t="s">
        <v>68</v>
      </c>
      <c r="B25" s="7">
        <f>((B14/B7)^(1/7)-1)*100</f>
        <v>-0.4199163814187501</v>
      </c>
      <c r="C25" s="7">
        <f t="shared" ref="C25:K25" si="13">((C14/C7)^(1/7)-1)*100</f>
        <v>8.0412220342340746E-2</v>
      </c>
      <c r="D25" s="7">
        <f t="shared" si="13"/>
        <v>-5.8511330517111659</v>
      </c>
      <c r="E25" s="7">
        <f t="shared" si="13"/>
        <v>-1.7749055851681295</v>
      </c>
      <c r="F25" s="7">
        <f t="shared" ref="F25:H25" si="14">((F14/F7)^(1/7)-1)*100</f>
        <v>-6.5583746743427485</v>
      </c>
      <c r="G25" s="7">
        <f t="shared" si="14"/>
        <v>-4.8630075011361518</v>
      </c>
      <c r="H25" s="7">
        <f t="shared" si="14"/>
        <v>1.8695350721315895</v>
      </c>
      <c r="I25" s="7">
        <f t="shared" si="13"/>
        <v>3.3071071866881185</v>
      </c>
      <c r="J25" s="7">
        <f t="shared" si="13"/>
        <v>0.28884172408962794</v>
      </c>
      <c r="K25" s="7">
        <f t="shared" si="13"/>
        <v>5.1046779964023736</v>
      </c>
      <c r="M25" s="3">
        <v>1999</v>
      </c>
      <c r="N25" s="3">
        <f t="shared" si="7"/>
        <v>1.0029008363000598</v>
      </c>
      <c r="O25" s="3">
        <f t="shared" ref="O25:O26" si="15">C6/$C$7</f>
        <v>1.1598613345347484</v>
      </c>
      <c r="P25" s="3">
        <f t="shared" si="8"/>
        <v>0.97059263693504938</v>
      </c>
      <c r="Q25" s="3">
        <f t="shared" si="9"/>
        <v>1.2015930524482694</v>
      </c>
      <c r="R25" s="3">
        <f t="shared" si="10"/>
        <v>1.1725486590136842</v>
      </c>
      <c r="S25" s="3">
        <f t="shared" si="11"/>
        <v>1.2305502955438363</v>
      </c>
      <c r="T25" s="3">
        <f t="shared" si="12"/>
        <v>1.1224958433243146</v>
      </c>
    </row>
    <row r="26" spans="1:20" ht="30">
      <c r="A26" s="130" t="s">
        <v>70</v>
      </c>
      <c r="B26" s="7">
        <f>((B19/B14)^(1/5)-1)*100</f>
        <v>-0.39189076162042813</v>
      </c>
      <c r="C26" s="7">
        <f t="shared" ref="C26:K26" si="16">((C19/C14)^(1/5)-1)*100</f>
        <v>-3.2295721993111592</v>
      </c>
      <c r="D26" s="7">
        <f t="shared" si="16"/>
        <v>0.43356248555155297</v>
      </c>
      <c r="E26" s="7">
        <f t="shared" si="16"/>
        <v>-5.3025782480778378</v>
      </c>
      <c r="F26" s="7">
        <f t="shared" ref="F26:H26" si="17">((F19/F14)^(1/5)-1)*100</f>
        <v>-7.0947836136700531</v>
      </c>
      <c r="G26" s="7">
        <f t="shared" si="17"/>
        <v>5.6236882917658493</v>
      </c>
      <c r="H26" s="7">
        <f t="shared" si="17"/>
        <v>-8.3588796412229485</v>
      </c>
      <c r="I26" s="7">
        <f t="shared" si="16"/>
        <v>-1.9039733286744465</v>
      </c>
      <c r="J26" s="7">
        <f t="shared" si="16"/>
        <v>-4.0462985747980245</v>
      </c>
      <c r="K26" s="7">
        <f t="shared" si="16"/>
        <v>-0.87280670602990496</v>
      </c>
      <c r="M26" s="3">
        <v>2000</v>
      </c>
      <c r="N26" s="3">
        <f>B7/$B$7</f>
        <v>1</v>
      </c>
      <c r="O26" s="3">
        <f t="shared" si="15"/>
        <v>1</v>
      </c>
      <c r="P26" s="3">
        <f t="shared" si="8"/>
        <v>1</v>
      </c>
      <c r="Q26" s="3">
        <f>E7/$E$7</f>
        <v>1</v>
      </c>
      <c r="R26" s="3">
        <f>I7/$I$7</f>
        <v>1</v>
      </c>
      <c r="S26" s="3">
        <f>J7/$J$7</f>
        <v>1</v>
      </c>
      <c r="T26" s="3">
        <f>K7/$K$7</f>
        <v>1</v>
      </c>
    </row>
    <row r="27" spans="1:20" ht="30">
      <c r="A27" s="325" t="s">
        <v>523</v>
      </c>
      <c r="B27" s="7">
        <f>((B19/B7)^(1/12)-1)*100</f>
        <v>-0.4082399982410001</v>
      </c>
      <c r="C27" s="7">
        <f t="shared" ref="C27:K27" si="18">((C19/C7)^(1/12)-1)*100</f>
        <v>-1.3122891405441428</v>
      </c>
      <c r="D27" s="7">
        <f t="shared" si="18"/>
        <v>-3.2817710617715434</v>
      </c>
      <c r="E27" s="7">
        <f t="shared" si="18"/>
        <v>-3.2604647555505739</v>
      </c>
      <c r="F27" s="7">
        <f t="shared" ref="F27:H27" si="19">((F19/F7)^(1/12)-1)*100</f>
        <v>-6.7822537572419739</v>
      </c>
      <c r="G27" s="7">
        <f t="shared" si="19"/>
        <v>-0.62639443769005876</v>
      </c>
      <c r="H27" s="7">
        <f t="shared" si="19"/>
        <v>-2.5241902718168951</v>
      </c>
      <c r="I27" s="7">
        <f t="shared" si="18"/>
        <v>1.1029995844993534</v>
      </c>
      <c r="J27" s="7">
        <f t="shared" si="18"/>
        <v>-1.540774729622385</v>
      </c>
      <c r="K27" s="7">
        <f t="shared" si="18"/>
        <v>2.5714584822143394</v>
      </c>
    </row>
    <row r="28" spans="1:20">
      <c r="M28" s="3">
        <v>2002</v>
      </c>
      <c r="N28" s="3">
        <f>B9/$B$7</f>
        <v>0.98777809384794713</v>
      </c>
      <c r="O28" s="3">
        <f>C9/$C$7</f>
        <v>1.0259510327696353</v>
      </c>
      <c r="P28" s="3">
        <f>D9/$D$7</f>
        <v>0.85569862044570211</v>
      </c>
      <c r="Q28" s="3">
        <f>E9/$E$7</f>
        <v>0.96724922321806583</v>
      </c>
      <c r="R28" s="3">
        <f>I9/$I$7</f>
        <v>1.1372932109371165</v>
      </c>
      <c r="S28" s="3">
        <f>J9/$J$7</f>
        <v>0.81207405591925785</v>
      </c>
      <c r="T28" s="3">
        <f>K9/$K$7</f>
        <v>1.5224896266075383</v>
      </c>
    </row>
    <row r="29" spans="1:20">
      <c r="A29" s="231" t="s">
        <v>144</v>
      </c>
    </row>
    <row r="30" spans="1:20">
      <c r="A30" s="234" t="s">
        <v>319</v>
      </c>
      <c r="M30" s="3">
        <v>2003</v>
      </c>
      <c r="N30" s="3">
        <f t="shared" ref="N30:N39" si="20">B10/$B$7</f>
        <v>0.97123250138107475</v>
      </c>
      <c r="O30" s="3">
        <f t="shared" ref="O30:O39" si="21">C10/$C$7</f>
        <v>0.94600959770801774</v>
      </c>
      <c r="P30" s="3">
        <f t="shared" ref="P30:P39" si="22">D10/$D$7</f>
        <v>0.84460116731517509</v>
      </c>
      <c r="Q30" s="3">
        <f t="shared" ref="Q30:Q39" si="23">E10/$E$7</f>
        <v>0.89532305423065262</v>
      </c>
      <c r="R30" s="3">
        <f t="shared" ref="R30:R39" si="24">I10/$I$7</f>
        <v>1.0309873906945408</v>
      </c>
      <c r="S30" s="3">
        <f t="shared" ref="S30:S39" si="25">J10/$J$7</f>
        <v>0.68094151745445419</v>
      </c>
      <c r="T30" s="3">
        <f t="shared" ref="T30:T39" si="26">K10/$K$7</f>
        <v>1.4733430022056555</v>
      </c>
    </row>
    <row r="31" spans="1:20">
      <c r="M31" s="3">
        <v>2004</v>
      </c>
      <c r="N31" s="3">
        <f t="shared" si="20"/>
        <v>0.98709541107371523</v>
      </c>
      <c r="O31" s="3">
        <f t="shared" si="21"/>
        <v>0.89645938669743463</v>
      </c>
      <c r="P31" s="3">
        <f t="shared" si="22"/>
        <v>0.55588035019455251</v>
      </c>
      <c r="Q31" s="3">
        <f t="shared" si="23"/>
        <v>0.7856238296514394</v>
      </c>
      <c r="R31" s="3">
        <f t="shared" si="24"/>
        <v>1.1292188689794804</v>
      </c>
      <c r="S31" s="3">
        <f t="shared" si="25"/>
        <v>0.95610436300737411</v>
      </c>
      <c r="T31" s="3">
        <f t="shared" si="26"/>
        <v>1.2723005274541641</v>
      </c>
    </row>
    <row r="32" spans="1:20">
      <c r="M32" s="3">
        <v>2005</v>
      </c>
      <c r="N32" s="3">
        <f t="shared" si="20"/>
        <v>0.97864311426781392</v>
      </c>
      <c r="O32" s="3">
        <f t="shared" si="21"/>
        <v>0.92461103310453996</v>
      </c>
      <c r="P32" s="3">
        <f t="shared" si="22"/>
        <v>0.52913542754104592</v>
      </c>
      <c r="Q32" s="3">
        <f t="shared" si="23"/>
        <v>0.81963124652609787</v>
      </c>
      <c r="R32" s="3">
        <f t="shared" si="24"/>
        <v>1.1694789554511036</v>
      </c>
      <c r="S32" s="3">
        <f t="shared" si="25"/>
        <v>0.87712536080387737</v>
      </c>
      <c r="T32" s="3">
        <f t="shared" si="26"/>
        <v>1.3989200220238722</v>
      </c>
    </row>
    <row r="33" spans="13:20">
      <c r="M33" s="3">
        <v>2006</v>
      </c>
      <c r="N33" s="3">
        <f t="shared" si="20"/>
        <v>0.97453206306803275</v>
      </c>
      <c r="O33" s="3">
        <f t="shared" si="21"/>
        <v>0.9531913098724849</v>
      </c>
      <c r="P33" s="3">
        <f t="shared" si="22"/>
        <v>0.65054717898832681</v>
      </c>
      <c r="Q33" s="3">
        <f t="shared" si="23"/>
        <v>0.79235822006561718</v>
      </c>
      <c r="R33" s="3">
        <f t="shared" si="24"/>
        <v>1.2605710444804714</v>
      </c>
      <c r="S33" s="3">
        <f t="shared" si="25"/>
        <v>0.9090105407978023</v>
      </c>
      <c r="T33" s="3">
        <f t="shared" si="26"/>
        <v>1.5454733785110617</v>
      </c>
    </row>
    <row r="34" spans="13:20">
      <c r="M34" s="3">
        <v>2007</v>
      </c>
      <c r="N34" s="3">
        <f t="shared" si="20"/>
        <v>0.97097356513555477</v>
      </c>
      <c r="O34" s="3">
        <f t="shared" si="21"/>
        <v>1.0056424524999255</v>
      </c>
      <c r="P34" s="3">
        <f t="shared" si="22"/>
        <v>0.6557007561853021</v>
      </c>
      <c r="Q34" s="3">
        <f t="shared" si="23"/>
        <v>0.88217995308995178</v>
      </c>
      <c r="R34" s="3">
        <f t="shared" si="24"/>
        <v>1.2557737598783216</v>
      </c>
      <c r="S34" s="3">
        <f t="shared" si="25"/>
        <v>1.0203949685916205</v>
      </c>
      <c r="T34" s="3">
        <f t="shared" si="26"/>
        <v>1.4169493365173265</v>
      </c>
    </row>
    <row r="35" spans="13:20">
      <c r="M35" s="3">
        <v>2008</v>
      </c>
      <c r="N35" s="3">
        <f t="shared" si="20"/>
        <v>0.96121142724327591</v>
      </c>
      <c r="O35" s="3">
        <f t="shared" si="21"/>
        <v>0.98840094487708852</v>
      </c>
      <c r="P35" s="3">
        <f t="shared" si="22"/>
        <v>0.69780916934528847</v>
      </c>
      <c r="Q35" s="3">
        <f t="shared" si="23"/>
        <v>0.98742467239223364</v>
      </c>
      <c r="R35" s="3">
        <f t="shared" si="24"/>
        <v>1.072377739529923</v>
      </c>
      <c r="S35" s="3">
        <f t="shared" si="25"/>
        <v>0.60134333510612137</v>
      </c>
      <c r="T35" s="3">
        <f t="shared" si="26"/>
        <v>1.5787171936063418</v>
      </c>
    </row>
    <row r="36" spans="13:20">
      <c r="M36" s="3">
        <v>2009</v>
      </c>
      <c r="N36" s="3">
        <f t="shared" si="20"/>
        <v>0.94456087981427872</v>
      </c>
      <c r="O36" s="3">
        <f t="shared" si="21"/>
        <v>0.89510838368947787</v>
      </c>
      <c r="P36" s="3">
        <f t="shared" si="22"/>
        <v>0.55412179893222335</v>
      </c>
      <c r="Q36" s="3">
        <f t="shared" si="23"/>
        <v>0.73961142634396282</v>
      </c>
      <c r="R36" s="3">
        <f t="shared" si="24"/>
        <v>1.1818254664146302</v>
      </c>
      <c r="S36" s="3">
        <f t="shared" si="25"/>
        <v>0.71043525546764152</v>
      </c>
      <c r="T36" s="3">
        <f t="shared" si="26"/>
        <v>1.5962543464846477</v>
      </c>
    </row>
    <row r="37" spans="13:20">
      <c r="M37" s="3">
        <v>2010</v>
      </c>
      <c r="N37" s="3">
        <f t="shared" si="20"/>
        <v>0.94946127525813262</v>
      </c>
      <c r="O37" s="3">
        <f t="shared" si="21"/>
        <v>0.88908633878233001</v>
      </c>
      <c r="P37" s="3">
        <f t="shared" si="22"/>
        <v>0.4366551376279002</v>
      </c>
      <c r="Q37" s="3">
        <f t="shared" si="23"/>
        <v>0.90427698938044676</v>
      </c>
      <c r="R37" s="3">
        <f t="shared" si="24"/>
        <v>1.0178023136823242</v>
      </c>
      <c r="S37" s="3">
        <f t="shared" si="25"/>
        <v>0.72496147784884324</v>
      </c>
      <c r="T37" s="3">
        <f t="shared" si="26"/>
        <v>1.2189898590780219</v>
      </c>
    </row>
    <row r="38" spans="13:20">
      <c r="M38" s="3">
        <v>2011</v>
      </c>
      <c r="N38" s="3">
        <f t="shared" si="20"/>
        <v>0.94871782175715547</v>
      </c>
      <c r="O38" s="3">
        <f t="shared" si="21"/>
        <v>0.96441237876555064</v>
      </c>
      <c r="P38" s="3">
        <f t="shared" si="22"/>
        <v>0.69657787089693701</v>
      </c>
      <c r="Q38" s="3">
        <f t="shared" si="23"/>
        <v>0.85381024977273101</v>
      </c>
      <c r="R38" s="3">
        <f t="shared" si="24"/>
        <v>1.1532785822782425</v>
      </c>
      <c r="S38" s="3">
        <f t="shared" si="25"/>
        <v>0.73306646809460685</v>
      </c>
      <c r="T38" s="3">
        <f t="shared" si="26"/>
        <v>1.5018315656257797</v>
      </c>
    </row>
    <row r="39" spans="13:20">
      <c r="M39" s="3">
        <v>2012</v>
      </c>
      <c r="N39" s="3">
        <f t="shared" si="20"/>
        <v>0.95209632392893961</v>
      </c>
      <c r="O39" s="3">
        <f t="shared" si="21"/>
        <v>0.85340838059066115</v>
      </c>
      <c r="P39" s="3">
        <f t="shared" si="22"/>
        <v>0.67003891050583653</v>
      </c>
      <c r="Q39" s="3">
        <f t="shared" si="23"/>
        <v>0.67181231319138435</v>
      </c>
      <c r="R39" s="3">
        <f t="shared" si="24"/>
        <v>1.1406922431468325</v>
      </c>
      <c r="S39" s="3">
        <f t="shared" si="25"/>
        <v>0.8299978555114399</v>
      </c>
      <c r="T39" s="3">
        <f t="shared" si="26"/>
        <v>1.356183232184788</v>
      </c>
    </row>
  </sheetData>
  <mergeCells count="2">
    <mergeCell ref="A23:K23"/>
    <mergeCell ref="A1:K1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70"/>
  <sheetViews>
    <sheetView view="pageBreakPreview" zoomScaleNormal="100" zoomScaleSheetLayoutView="100" workbookViewId="0">
      <selection activeCell="H21" sqref="H21"/>
    </sheetView>
  </sheetViews>
  <sheetFormatPr defaultRowHeight="15"/>
  <cols>
    <col min="2" max="2" width="12.28515625" style="181" bestFit="1" customWidth="1"/>
    <col min="3" max="11" width="9.140625" style="181"/>
    <col min="13" max="13" width="9.140625" style="181"/>
  </cols>
  <sheetData>
    <row r="1" spans="1:16">
      <c r="A1" s="454" t="s">
        <v>238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</row>
    <row r="2" spans="1:16" ht="15" customHeight="1">
      <c r="A2" s="1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</row>
    <row r="3" spans="1:16" ht="75">
      <c r="A3" s="18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  <c r="L3" s="18" t="s">
        <v>2</v>
      </c>
      <c r="M3" s="130" t="s">
        <v>223</v>
      </c>
      <c r="N3" s="18" t="s">
        <v>20</v>
      </c>
      <c r="O3" s="18" t="s">
        <v>4</v>
      </c>
      <c r="P3" s="18" t="s">
        <v>17</v>
      </c>
    </row>
    <row r="4" spans="1:16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>
      <c r="A5" s="18">
        <v>1961</v>
      </c>
      <c r="B5" s="190">
        <v>13900.1</v>
      </c>
      <c r="C5" s="8">
        <f>D5+E5+F5</f>
        <v>521.6</v>
      </c>
      <c r="D5" s="190">
        <v>109.3</v>
      </c>
      <c r="E5" s="190">
        <v>55.3</v>
      </c>
      <c r="F5" s="190">
        <v>357</v>
      </c>
      <c r="G5" s="190">
        <v>99638.9</v>
      </c>
      <c r="H5" s="8">
        <f>I5+J5+K5</f>
        <v>3737.7</v>
      </c>
      <c r="I5" s="190">
        <v>963.8</v>
      </c>
      <c r="J5" s="190">
        <v>375.4</v>
      </c>
      <c r="K5" s="190">
        <v>2398.5</v>
      </c>
      <c r="L5" s="190">
        <v>89196.7</v>
      </c>
      <c r="M5" s="8">
        <f>N5+O5+P5</f>
        <v>3625.5</v>
      </c>
      <c r="N5" s="190">
        <v>851.4</v>
      </c>
      <c r="O5" s="190">
        <v>357.3</v>
      </c>
      <c r="P5" s="190">
        <v>2416.8000000000002</v>
      </c>
    </row>
    <row r="6" spans="1:16">
      <c r="A6" s="18">
        <v>1962</v>
      </c>
      <c r="B6" s="190">
        <v>14652.6</v>
      </c>
      <c r="C6" s="8">
        <f t="shared" ref="C6:C57" si="0">D6+E6+F6</f>
        <v>534.79999999999995</v>
      </c>
      <c r="D6" s="190">
        <v>112.3</v>
      </c>
      <c r="E6" s="190">
        <v>55.7</v>
      </c>
      <c r="F6" s="190">
        <v>366.8</v>
      </c>
      <c r="G6" s="190">
        <v>104342.7</v>
      </c>
      <c r="H6" s="8">
        <f t="shared" ref="H6:H57" si="1">I6+J6+K6</f>
        <v>3826.4</v>
      </c>
      <c r="I6" s="190">
        <v>980.1</v>
      </c>
      <c r="J6" s="190">
        <v>375.8</v>
      </c>
      <c r="K6" s="190">
        <v>2470.5</v>
      </c>
      <c r="L6" s="190">
        <v>93319.8</v>
      </c>
      <c r="M6" s="8">
        <f t="shared" ref="M6:M57" si="2">N6+O6+P6</f>
        <v>3704.1000000000004</v>
      </c>
      <c r="N6" s="190">
        <v>860</v>
      </c>
      <c r="O6" s="190">
        <v>358.2</v>
      </c>
      <c r="P6" s="190">
        <v>2485.9</v>
      </c>
    </row>
    <row r="7" spans="1:16">
      <c r="A7" s="18">
        <v>1963</v>
      </c>
      <c r="B7" s="190">
        <v>15707.5</v>
      </c>
      <c r="C7" s="8">
        <f t="shared" si="0"/>
        <v>574.09999999999991</v>
      </c>
      <c r="D7" s="190">
        <v>115.6</v>
      </c>
      <c r="E7" s="190">
        <v>59.3</v>
      </c>
      <c r="F7" s="190">
        <v>399.2</v>
      </c>
      <c r="G7" s="190">
        <v>108834.1</v>
      </c>
      <c r="H7" s="8">
        <f t="shared" si="1"/>
        <v>3954.5</v>
      </c>
      <c r="I7" s="190">
        <v>972.6</v>
      </c>
      <c r="J7" s="190">
        <v>388.8</v>
      </c>
      <c r="K7" s="190">
        <v>2593.1</v>
      </c>
      <c r="L7" s="190">
        <v>97358</v>
      </c>
      <c r="M7" s="8">
        <f t="shared" si="2"/>
        <v>3829.7</v>
      </c>
      <c r="N7" s="190">
        <v>851.3</v>
      </c>
      <c r="O7" s="190">
        <v>371.7</v>
      </c>
      <c r="P7" s="190">
        <v>2606.6999999999998</v>
      </c>
    </row>
    <row r="8" spans="1:16">
      <c r="A8" s="18">
        <v>1964</v>
      </c>
      <c r="B8" s="190">
        <v>17278.400000000001</v>
      </c>
      <c r="C8" s="8">
        <f t="shared" si="0"/>
        <v>648.79999999999995</v>
      </c>
      <c r="D8" s="190">
        <v>129.80000000000001</v>
      </c>
      <c r="E8" s="190">
        <v>66.7</v>
      </c>
      <c r="F8" s="190">
        <v>452.3</v>
      </c>
      <c r="G8" s="190">
        <v>115641.1</v>
      </c>
      <c r="H8" s="8">
        <f t="shared" si="1"/>
        <v>4253.3</v>
      </c>
      <c r="I8" s="190">
        <v>997.7</v>
      </c>
      <c r="J8" s="190">
        <v>420</v>
      </c>
      <c r="K8" s="190">
        <v>2835.6</v>
      </c>
      <c r="L8" s="190">
        <v>103378.5</v>
      </c>
      <c r="M8" s="8">
        <f t="shared" si="2"/>
        <v>4131</v>
      </c>
      <c r="N8" s="190">
        <v>876.3</v>
      </c>
      <c r="O8" s="190">
        <v>402.8</v>
      </c>
      <c r="P8" s="190">
        <v>2851.9</v>
      </c>
    </row>
    <row r="9" spans="1:16">
      <c r="A9" s="18">
        <v>1965</v>
      </c>
      <c r="B9" s="190">
        <v>19210.8</v>
      </c>
      <c r="C9" s="8">
        <f t="shared" si="0"/>
        <v>721.8</v>
      </c>
      <c r="D9" s="190">
        <v>131.6</v>
      </c>
      <c r="E9" s="190">
        <v>72.3</v>
      </c>
      <c r="F9" s="190">
        <v>517.9</v>
      </c>
      <c r="G9" s="190">
        <v>123477</v>
      </c>
      <c r="H9" s="8">
        <f t="shared" si="1"/>
        <v>4545.2000000000007</v>
      </c>
      <c r="I9" s="190">
        <v>1008.3</v>
      </c>
      <c r="J9" s="190">
        <v>434.1</v>
      </c>
      <c r="K9" s="190">
        <v>3102.8</v>
      </c>
      <c r="L9" s="190">
        <v>110464.3</v>
      </c>
      <c r="M9" s="8">
        <f t="shared" si="2"/>
        <v>4420.3999999999996</v>
      </c>
      <c r="N9" s="190">
        <v>887.6</v>
      </c>
      <c r="O9" s="190">
        <v>417</v>
      </c>
      <c r="P9" s="190">
        <v>3115.8</v>
      </c>
    </row>
    <row r="10" spans="1:16">
      <c r="A10" s="18">
        <v>1966</v>
      </c>
      <c r="B10" s="190">
        <v>21556.400000000001</v>
      </c>
      <c r="C10" s="8">
        <f t="shared" si="0"/>
        <v>820.8</v>
      </c>
      <c r="D10" s="190">
        <v>140.5</v>
      </c>
      <c r="E10" s="190">
        <v>81.7</v>
      </c>
      <c r="F10" s="190">
        <v>598.6</v>
      </c>
      <c r="G10" s="190">
        <v>130941.3</v>
      </c>
      <c r="H10" s="8">
        <f t="shared" si="1"/>
        <v>4945.2</v>
      </c>
      <c r="I10" s="190">
        <v>1010.1</v>
      </c>
      <c r="J10" s="190">
        <v>471.7</v>
      </c>
      <c r="K10" s="190">
        <v>3463.4</v>
      </c>
      <c r="L10" s="190">
        <v>117680.8</v>
      </c>
      <c r="M10" s="8">
        <f t="shared" si="2"/>
        <v>4824</v>
      </c>
      <c r="N10" s="190">
        <v>895.4</v>
      </c>
      <c r="O10" s="190">
        <v>453.7</v>
      </c>
      <c r="P10" s="190">
        <v>3474.9</v>
      </c>
    </row>
    <row r="11" spans="1:16">
      <c r="A11" s="18">
        <v>1967</v>
      </c>
      <c r="B11" s="190">
        <v>23063.5</v>
      </c>
      <c r="C11" s="8">
        <f t="shared" si="0"/>
        <v>897.9</v>
      </c>
      <c r="D11" s="190">
        <v>143.80000000000001</v>
      </c>
      <c r="E11" s="190">
        <v>89.1</v>
      </c>
      <c r="F11" s="190">
        <v>665</v>
      </c>
      <c r="G11" s="190">
        <v>135989.6</v>
      </c>
      <c r="H11" s="8">
        <f t="shared" si="1"/>
        <v>5339</v>
      </c>
      <c r="I11" s="190">
        <v>1024.2</v>
      </c>
      <c r="J11" s="190">
        <v>505.5</v>
      </c>
      <c r="K11" s="190">
        <v>3809.3</v>
      </c>
      <c r="L11" s="190">
        <v>122593.60000000001</v>
      </c>
      <c r="M11" s="8">
        <f t="shared" si="2"/>
        <v>5233.3</v>
      </c>
      <c r="N11" s="190">
        <v>917.1</v>
      </c>
      <c r="O11" s="190">
        <v>487.8</v>
      </c>
      <c r="P11" s="190">
        <v>3828.4</v>
      </c>
    </row>
    <row r="12" spans="1:16">
      <c r="A12" s="18">
        <v>1968</v>
      </c>
      <c r="B12" s="190">
        <v>24032.6</v>
      </c>
      <c r="C12" s="8">
        <f t="shared" si="0"/>
        <v>920.2</v>
      </c>
      <c r="D12" s="190">
        <v>142.19999999999999</v>
      </c>
      <c r="E12" s="190">
        <v>91.5</v>
      </c>
      <c r="F12" s="190">
        <v>686.5</v>
      </c>
      <c r="G12" s="190">
        <v>140030.5</v>
      </c>
      <c r="H12" s="8">
        <f t="shared" si="1"/>
        <v>5436</v>
      </c>
      <c r="I12" s="190">
        <v>1004.1</v>
      </c>
      <c r="J12" s="190">
        <v>517.20000000000005</v>
      </c>
      <c r="K12" s="190">
        <v>3914.7</v>
      </c>
      <c r="L12" s="190">
        <v>126568.8</v>
      </c>
      <c r="M12" s="8">
        <f t="shared" si="2"/>
        <v>5338.8</v>
      </c>
      <c r="N12" s="190">
        <v>902</v>
      </c>
      <c r="O12" s="190">
        <v>499.5</v>
      </c>
      <c r="P12" s="190">
        <v>3937.3</v>
      </c>
    </row>
    <row r="13" spans="1:16">
      <c r="A13" s="18">
        <v>1969</v>
      </c>
      <c r="B13" s="190">
        <v>25932.9</v>
      </c>
      <c r="C13" s="8">
        <f t="shared" si="0"/>
        <v>984.4</v>
      </c>
      <c r="D13" s="190">
        <v>148.19999999999999</v>
      </c>
      <c r="E13" s="190">
        <v>101.7</v>
      </c>
      <c r="F13" s="190">
        <v>734.5</v>
      </c>
      <c r="G13" s="190">
        <v>143955.79999999999</v>
      </c>
      <c r="H13" s="8">
        <f t="shared" si="1"/>
        <v>5560.9</v>
      </c>
      <c r="I13" s="190">
        <v>995.2</v>
      </c>
      <c r="J13" s="190">
        <v>552.70000000000005</v>
      </c>
      <c r="K13" s="190">
        <v>4013</v>
      </c>
      <c r="L13" s="190">
        <v>130270</v>
      </c>
      <c r="M13" s="8">
        <f t="shared" si="2"/>
        <v>5464.7</v>
      </c>
      <c r="N13" s="190">
        <v>893.2</v>
      </c>
      <c r="O13" s="190">
        <v>534.29999999999995</v>
      </c>
      <c r="P13" s="190">
        <v>4037.2</v>
      </c>
    </row>
    <row r="14" spans="1:16">
      <c r="A14" s="18">
        <v>1970</v>
      </c>
      <c r="B14" s="190">
        <v>27779.1</v>
      </c>
      <c r="C14" s="8">
        <f t="shared" si="0"/>
        <v>1031.3</v>
      </c>
      <c r="D14" s="190">
        <v>145.9</v>
      </c>
      <c r="E14" s="190">
        <v>110.5</v>
      </c>
      <c r="F14" s="190">
        <v>774.9</v>
      </c>
      <c r="G14" s="190">
        <v>147180.6</v>
      </c>
      <c r="H14" s="8">
        <f t="shared" si="1"/>
        <v>5511.2000000000007</v>
      </c>
      <c r="I14" s="190">
        <v>957.1</v>
      </c>
      <c r="J14" s="190">
        <v>567.70000000000005</v>
      </c>
      <c r="K14" s="190">
        <v>3986.4</v>
      </c>
      <c r="L14" s="190">
        <v>133134.5</v>
      </c>
      <c r="M14" s="8">
        <f t="shared" si="2"/>
        <v>5412.5</v>
      </c>
      <c r="N14" s="190">
        <v>851.6</v>
      </c>
      <c r="O14" s="190">
        <v>549.5</v>
      </c>
      <c r="P14" s="190">
        <v>4011.4</v>
      </c>
    </row>
    <row r="15" spans="1:16">
      <c r="A15" s="18">
        <v>1971</v>
      </c>
      <c r="B15" s="190">
        <v>30312.5</v>
      </c>
      <c r="C15" s="8">
        <f t="shared" si="0"/>
        <v>1037</v>
      </c>
      <c r="D15" s="190">
        <v>151.1</v>
      </c>
      <c r="E15" s="190">
        <v>119.6</v>
      </c>
      <c r="F15" s="190">
        <v>766.3</v>
      </c>
      <c r="G15" s="190">
        <v>152395.79999999999</v>
      </c>
      <c r="H15" s="8">
        <f t="shared" si="1"/>
        <v>5301.5</v>
      </c>
      <c r="I15" s="190">
        <v>912</v>
      </c>
      <c r="J15" s="190">
        <v>589.29999999999995</v>
      </c>
      <c r="K15" s="190">
        <v>3800.2</v>
      </c>
      <c r="L15" s="190">
        <v>137622</v>
      </c>
      <c r="M15" s="8">
        <f t="shared" si="2"/>
        <v>5200.5</v>
      </c>
      <c r="N15" s="190">
        <v>810.2</v>
      </c>
      <c r="O15" s="190">
        <v>570.79999999999995</v>
      </c>
      <c r="P15" s="190">
        <v>3819.5</v>
      </c>
    </row>
    <row r="16" spans="1:16">
      <c r="A16" s="18">
        <v>1972</v>
      </c>
      <c r="B16" s="190">
        <v>33418.9</v>
      </c>
      <c r="C16" s="8">
        <f t="shared" si="0"/>
        <v>1087.4000000000001</v>
      </c>
      <c r="D16" s="190">
        <v>155.30000000000001</v>
      </c>
      <c r="E16" s="190">
        <v>144.4</v>
      </c>
      <c r="F16" s="190">
        <v>787.7</v>
      </c>
      <c r="G16" s="190">
        <v>158359.79999999999</v>
      </c>
      <c r="H16" s="8">
        <f t="shared" si="1"/>
        <v>5372.7</v>
      </c>
      <c r="I16" s="190">
        <v>875</v>
      </c>
      <c r="J16" s="190">
        <v>693.3</v>
      </c>
      <c r="K16" s="190">
        <v>3804.4</v>
      </c>
      <c r="L16" s="190">
        <v>143104.1</v>
      </c>
      <c r="M16" s="8">
        <f t="shared" si="2"/>
        <v>5270.4</v>
      </c>
      <c r="N16" s="190">
        <v>778.9</v>
      </c>
      <c r="O16" s="190">
        <v>672.2</v>
      </c>
      <c r="P16" s="190">
        <v>3819.3</v>
      </c>
    </row>
    <row r="17" spans="1:16">
      <c r="A17" s="18">
        <v>1973</v>
      </c>
      <c r="B17" s="190">
        <v>38163.1</v>
      </c>
      <c r="C17" s="8">
        <f t="shared" si="0"/>
        <v>1296.5</v>
      </c>
      <c r="D17" s="190">
        <v>172.1</v>
      </c>
      <c r="E17" s="190">
        <v>197.2</v>
      </c>
      <c r="F17" s="190">
        <v>927.2</v>
      </c>
      <c r="G17" s="190">
        <v>165378.5</v>
      </c>
      <c r="H17" s="8">
        <f t="shared" si="1"/>
        <v>5808.1</v>
      </c>
      <c r="I17" s="190">
        <v>878.1</v>
      </c>
      <c r="J17" s="190">
        <v>858.1</v>
      </c>
      <c r="K17" s="190">
        <v>4071.9</v>
      </c>
      <c r="L17" s="190">
        <v>149795.4</v>
      </c>
      <c r="M17" s="8">
        <f t="shared" si="2"/>
        <v>5715.9</v>
      </c>
      <c r="N17" s="190">
        <v>788.4</v>
      </c>
      <c r="O17" s="190">
        <v>832.3</v>
      </c>
      <c r="P17" s="190">
        <v>4095.2</v>
      </c>
    </row>
    <row r="18" spans="1:16">
      <c r="A18" s="18">
        <v>1974</v>
      </c>
      <c r="B18" s="190">
        <v>47646</v>
      </c>
      <c r="C18" s="8">
        <f t="shared" si="0"/>
        <v>1712.6</v>
      </c>
      <c r="D18" s="190">
        <v>227.4</v>
      </c>
      <c r="E18" s="190">
        <v>282</v>
      </c>
      <c r="F18" s="190">
        <v>1203.2</v>
      </c>
      <c r="G18" s="190">
        <v>172855.5</v>
      </c>
      <c r="H18" s="8">
        <f t="shared" si="1"/>
        <v>6324.9</v>
      </c>
      <c r="I18" s="190">
        <v>935.8</v>
      </c>
      <c r="J18" s="190">
        <v>1003.4</v>
      </c>
      <c r="K18" s="190">
        <v>4385.7</v>
      </c>
      <c r="L18" s="190">
        <v>157223</v>
      </c>
      <c r="M18" s="8">
        <f t="shared" si="2"/>
        <v>6244.7999999999993</v>
      </c>
      <c r="N18" s="190">
        <v>857.5</v>
      </c>
      <c r="O18" s="190">
        <v>975.6</v>
      </c>
      <c r="P18" s="190">
        <v>4411.7</v>
      </c>
    </row>
    <row r="19" spans="1:16">
      <c r="A19" s="18">
        <v>1975</v>
      </c>
      <c r="B19" s="190">
        <v>57385.1</v>
      </c>
      <c r="C19" s="8">
        <f t="shared" si="0"/>
        <v>2010.2</v>
      </c>
      <c r="D19" s="190">
        <v>271.8</v>
      </c>
      <c r="E19" s="190">
        <v>343.7</v>
      </c>
      <c r="F19" s="190">
        <v>1394.7</v>
      </c>
      <c r="G19" s="190">
        <v>182059.6</v>
      </c>
      <c r="H19" s="8">
        <f t="shared" si="1"/>
        <v>6495</v>
      </c>
      <c r="I19" s="190">
        <v>947.1</v>
      </c>
      <c r="J19" s="190">
        <v>1080.0999999999999</v>
      </c>
      <c r="K19" s="190">
        <v>4467.8</v>
      </c>
      <c r="L19" s="190">
        <v>166215.70000000001</v>
      </c>
      <c r="M19" s="8">
        <f t="shared" si="2"/>
        <v>6420</v>
      </c>
      <c r="N19" s="190">
        <v>872.7</v>
      </c>
      <c r="O19" s="190">
        <v>1053.3</v>
      </c>
      <c r="P19" s="190">
        <v>4494</v>
      </c>
    </row>
    <row r="20" spans="1:16">
      <c r="A20" s="18">
        <v>1976</v>
      </c>
      <c r="B20" s="190">
        <v>62953.1</v>
      </c>
      <c r="C20" s="8">
        <f t="shared" si="0"/>
        <v>2127.6</v>
      </c>
      <c r="D20" s="190">
        <v>271.39999999999998</v>
      </c>
      <c r="E20" s="190">
        <v>370</v>
      </c>
      <c r="F20" s="190">
        <v>1486.2</v>
      </c>
      <c r="G20" s="190">
        <v>188577.8</v>
      </c>
      <c r="H20" s="8">
        <f t="shared" si="1"/>
        <v>6463.5</v>
      </c>
      <c r="I20" s="190">
        <v>904.7</v>
      </c>
      <c r="J20" s="190">
        <v>1098</v>
      </c>
      <c r="K20" s="190">
        <v>4460.8</v>
      </c>
      <c r="L20" s="190">
        <v>172596.9</v>
      </c>
      <c r="M20" s="8">
        <f t="shared" si="2"/>
        <v>6397.6</v>
      </c>
      <c r="N20" s="190">
        <v>832.2</v>
      </c>
      <c r="O20" s="190">
        <v>1071.7</v>
      </c>
      <c r="P20" s="190">
        <v>4493.7</v>
      </c>
    </row>
    <row r="21" spans="1:16">
      <c r="A21" s="18">
        <v>1977</v>
      </c>
      <c r="B21" s="190">
        <v>69273.7</v>
      </c>
      <c r="C21" s="8">
        <f t="shared" si="0"/>
        <v>2291.6</v>
      </c>
      <c r="D21" s="190">
        <v>270.89999999999998</v>
      </c>
      <c r="E21" s="190">
        <v>399.1</v>
      </c>
      <c r="F21" s="190">
        <v>1621.6</v>
      </c>
      <c r="G21" s="190">
        <v>195584.1</v>
      </c>
      <c r="H21" s="8">
        <f t="shared" si="1"/>
        <v>6460.9000000000005</v>
      </c>
      <c r="I21" s="190">
        <v>860.9</v>
      </c>
      <c r="J21" s="190">
        <v>1099.9000000000001</v>
      </c>
      <c r="K21" s="190">
        <v>4500.1000000000004</v>
      </c>
      <c r="L21" s="190">
        <v>179458.5</v>
      </c>
      <c r="M21" s="8">
        <f t="shared" si="2"/>
        <v>6394.9</v>
      </c>
      <c r="N21" s="190">
        <v>787.9</v>
      </c>
      <c r="O21" s="190">
        <v>1073.8</v>
      </c>
      <c r="P21" s="190">
        <v>4533.2</v>
      </c>
    </row>
    <row r="22" spans="1:16">
      <c r="A22" s="18">
        <v>1978</v>
      </c>
      <c r="B22" s="190">
        <v>76604.399999999994</v>
      </c>
      <c r="C22" s="8">
        <f t="shared" si="0"/>
        <v>2478.3000000000002</v>
      </c>
      <c r="D22" s="190">
        <v>283.3</v>
      </c>
      <c r="E22" s="190">
        <v>423.7</v>
      </c>
      <c r="F22" s="190">
        <v>1771.3</v>
      </c>
      <c r="G22" s="190">
        <v>201169.7</v>
      </c>
      <c r="H22" s="8">
        <f t="shared" si="1"/>
        <v>6401.8</v>
      </c>
      <c r="I22" s="190">
        <v>832.4</v>
      </c>
      <c r="J22" s="190">
        <v>1080.8</v>
      </c>
      <c r="K22" s="190">
        <v>4488.6000000000004</v>
      </c>
      <c r="L22" s="190">
        <v>185335.8</v>
      </c>
      <c r="M22" s="8">
        <f t="shared" si="2"/>
        <v>6342.5999999999995</v>
      </c>
      <c r="N22" s="190">
        <v>761.2</v>
      </c>
      <c r="O22" s="190">
        <v>1054.5</v>
      </c>
      <c r="P22" s="190">
        <v>4526.8999999999996</v>
      </c>
    </row>
    <row r="23" spans="1:16">
      <c r="A23" s="18">
        <v>1979</v>
      </c>
      <c r="B23" s="190">
        <v>85843.199999999997</v>
      </c>
      <c r="C23" s="8">
        <f t="shared" si="0"/>
        <v>2710.8</v>
      </c>
      <c r="D23" s="190">
        <v>309.3</v>
      </c>
      <c r="E23" s="190">
        <v>468.4</v>
      </c>
      <c r="F23" s="190">
        <v>1933.1</v>
      </c>
      <c r="G23" s="190">
        <v>206495.9</v>
      </c>
      <c r="H23" s="8">
        <f t="shared" si="1"/>
        <v>6381.8</v>
      </c>
      <c r="I23" s="190">
        <v>834.2</v>
      </c>
      <c r="J23" s="190">
        <v>1096.0999999999999</v>
      </c>
      <c r="K23" s="190">
        <v>4451.5</v>
      </c>
      <c r="L23" s="190">
        <v>191034.2</v>
      </c>
      <c r="M23" s="8">
        <f t="shared" si="2"/>
        <v>6325.6</v>
      </c>
      <c r="N23" s="190">
        <v>761.9</v>
      </c>
      <c r="O23" s="190">
        <v>1069.7</v>
      </c>
      <c r="P23" s="190">
        <v>4494</v>
      </c>
    </row>
    <row r="24" spans="1:16">
      <c r="A24" s="18">
        <v>1980</v>
      </c>
      <c r="B24" s="190">
        <v>97536.3</v>
      </c>
      <c r="C24" s="8">
        <f t="shared" si="0"/>
        <v>3152.5</v>
      </c>
      <c r="D24" s="190">
        <v>358.2</v>
      </c>
      <c r="E24" s="190">
        <v>540.1</v>
      </c>
      <c r="F24" s="190">
        <v>2254.1999999999998</v>
      </c>
      <c r="G24" s="190">
        <v>211675.1</v>
      </c>
      <c r="H24" s="8">
        <f t="shared" si="1"/>
        <v>6547.5999999999995</v>
      </c>
      <c r="I24" s="190">
        <v>849.5</v>
      </c>
      <c r="J24" s="190">
        <v>1121.7</v>
      </c>
      <c r="K24" s="190">
        <v>4576.3999999999996</v>
      </c>
      <c r="L24" s="190">
        <v>196904.2</v>
      </c>
      <c r="M24" s="8">
        <f t="shared" si="2"/>
        <v>6518.7999999999993</v>
      </c>
      <c r="N24" s="190">
        <v>774.9</v>
      </c>
      <c r="O24" s="190">
        <v>1094</v>
      </c>
      <c r="P24" s="190">
        <v>4649.8999999999996</v>
      </c>
    </row>
    <row r="25" spans="1:16">
      <c r="A25" s="18">
        <v>1981</v>
      </c>
      <c r="B25" s="190">
        <v>111424.1</v>
      </c>
      <c r="C25" s="8">
        <f t="shared" si="0"/>
        <v>3638.1</v>
      </c>
      <c r="D25" s="190">
        <v>415.9</v>
      </c>
      <c r="E25" s="190">
        <v>597.1</v>
      </c>
      <c r="F25" s="190">
        <v>2625.1</v>
      </c>
      <c r="G25" s="190">
        <v>215620.1</v>
      </c>
      <c r="H25" s="8">
        <f t="shared" si="1"/>
        <v>6732</v>
      </c>
      <c r="I25" s="190">
        <v>843.3</v>
      </c>
      <c r="J25" s="190">
        <v>1115.4000000000001</v>
      </c>
      <c r="K25" s="190">
        <v>4773.3</v>
      </c>
      <c r="L25" s="190">
        <v>201504.5</v>
      </c>
      <c r="M25" s="8">
        <f t="shared" si="2"/>
        <v>6707.4</v>
      </c>
      <c r="N25" s="190">
        <v>766.4</v>
      </c>
      <c r="O25" s="190">
        <v>1084.3</v>
      </c>
      <c r="P25" s="190">
        <v>4856.7</v>
      </c>
    </row>
    <row r="26" spans="1:16">
      <c r="A26" s="18">
        <v>1982</v>
      </c>
      <c r="B26" s="190">
        <v>121608.3</v>
      </c>
      <c r="C26" s="8">
        <f t="shared" si="0"/>
        <v>4023.2</v>
      </c>
      <c r="D26" s="190">
        <v>417.9</v>
      </c>
      <c r="E26" s="190">
        <v>690.3</v>
      </c>
      <c r="F26" s="190">
        <v>2915</v>
      </c>
      <c r="G26" s="190">
        <v>217524</v>
      </c>
      <c r="H26" s="8">
        <f t="shared" si="1"/>
        <v>6897</v>
      </c>
      <c r="I26" s="190">
        <v>804</v>
      </c>
      <c r="J26" s="190">
        <v>1192.5999999999999</v>
      </c>
      <c r="K26" s="190">
        <v>4900.3999999999996</v>
      </c>
      <c r="L26" s="190">
        <v>203537.3</v>
      </c>
      <c r="M26" s="8">
        <f t="shared" si="2"/>
        <v>6857.3</v>
      </c>
      <c r="N26" s="190">
        <v>725.4</v>
      </c>
      <c r="O26" s="190">
        <v>1159.9000000000001</v>
      </c>
      <c r="P26" s="190">
        <v>4972</v>
      </c>
    </row>
    <row r="27" spans="1:16">
      <c r="A27" s="18">
        <v>1983</v>
      </c>
      <c r="B27" s="190">
        <v>126191.2</v>
      </c>
      <c r="C27" s="8">
        <f t="shared" si="0"/>
        <v>4057.4</v>
      </c>
      <c r="D27" s="190">
        <v>410.7</v>
      </c>
      <c r="E27" s="190">
        <v>698.7</v>
      </c>
      <c r="F27" s="190">
        <v>2948</v>
      </c>
      <c r="G27" s="190">
        <v>218005</v>
      </c>
      <c r="H27" s="8">
        <f t="shared" si="1"/>
        <v>6824.2999999999993</v>
      </c>
      <c r="I27" s="190">
        <v>763.1</v>
      </c>
      <c r="J27" s="190">
        <v>1191.5</v>
      </c>
      <c r="K27" s="190">
        <v>4869.7</v>
      </c>
      <c r="L27" s="190">
        <v>204776</v>
      </c>
      <c r="M27" s="8">
        <f t="shared" si="2"/>
        <v>6771.5</v>
      </c>
      <c r="N27" s="190">
        <v>684.6</v>
      </c>
      <c r="O27" s="190">
        <v>1155.8</v>
      </c>
      <c r="P27" s="190">
        <v>4931.1000000000004</v>
      </c>
    </row>
    <row r="28" spans="1:16">
      <c r="A28" s="18">
        <v>1984</v>
      </c>
      <c r="B28" s="190">
        <v>133161.79999999999</v>
      </c>
      <c r="C28" s="8">
        <f t="shared" si="0"/>
        <v>4244.3999999999996</v>
      </c>
      <c r="D28" s="190">
        <v>429.6</v>
      </c>
      <c r="E28" s="190">
        <v>710.8</v>
      </c>
      <c r="F28" s="190">
        <v>3104</v>
      </c>
      <c r="G28" s="190">
        <v>219646.8</v>
      </c>
      <c r="H28" s="8">
        <f t="shared" si="1"/>
        <v>6787</v>
      </c>
      <c r="I28" s="190">
        <v>725.6</v>
      </c>
      <c r="J28" s="190">
        <v>1164.7</v>
      </c>
      <c r="K28" s="190">
        <v>4896.7</v>
      </c>
      <c r="L28" s="190">
        <v>207056.4</v>
      </c>
      <c r="M28" s="8">
        <f t="shared" si="2"/>
        <v>6740</v>
      </c>
      <c r="N28" s="190">
        <v>650</v>
      </c>
      <c r="O28" s="190">
        <v>1125.8</v>
      </c>
      <c r="P28" s="190">
        <v>4964.2</v>
      </c>
    </row>
    <row r="29" spans="1:16">
      <c r="A29" s="18">
        <v>1985</v>
      </c>
      <c r="B29" s="190">
        <v>140130.79999999999</v>
      </c>
      <c r="C29" s="8">
        <f t="shared" si="0"/>
        <v>4628.3</v>
      </c>
      <c r="D29" s="190">
        <v>420.4</v>
      </c>
      <c r="E29" s="190">
        <v>760.9</v>
      </c>
      <c r="F29" s="190">
        <v>3447</v>
      </c>
      <c r="G29" s="190">
        <v>222621.5</v>
      </c>
      <c r="H29" s="8">
        <f t="shared" si="1"/>
        <v>7007.7000000000007</v>
      </c>
      <c r="I29" s="190">
        <v>691.9</v>
      </c>
      <c r="J29" s="190">
        <v>1182</v>
      </c>
      <c r="K29" s="190">
        <v>5133.8</v>
      </c>
      <c r="L29" s="190">
        <v>210606.4</v>
      </c>
      <c r="M29" s="8">
        <f t="shared" si="2"/>
        <v>6984.8</v>
      </c>
      <c r="N29" s="190">
        <v>618.20000000000005</v>
      </c>
      <c r="O29" s="190">
        <v>1144.0999999999999</v>
      </c>
      <c r="P29" s="190">
        <v>5222.5</v>
      </c>
    </row>
    <row r="30" spans="1:16">
      <c r="A30" s="18">
        <v>1986</v>
      </c>
      <c r="B30" s="190">
        <v>147259.1</v>
      </c>
      <c r="C30" s="8">
        <f t="shared" si="0"/>
        <v>5186.1000000000004</v>
      </c>
      <c r="D30" s="190">
        <v>402.4</v>
      </c>
      <c r="E30" s="190">
        <v>802.2</v>
      </c>
      <c r="F30" s="190">
        <v>3981.5</v>
      </c>
      <c r="G30" s="190">
        <v>225069.5</v>
      </c>
      <c r="H30" s="8">
        <f t="shared" si="1"/>
        <v>7532.0999999999995</v>
      </c>
      <c r="I30" s="190">
        <v>661.3</v>
      </c>
      <c r="J30" s="190">
        <v>1197.0999999999999</v>
      </c>
      <c r="K30" s="190">
        <v>5673.7</v>
      </c>
      <c r="L30" s="190">
        <v>213734.8</v>
      </c>
      <c r="M30" s="8">
        <f t="shared" si="2"/>
        <v>7547.4</v>
      </c>
      <c r="N30" s="190">
        <v>589.9</v>
      </c>
      <c r="O30" s="190">
        <v>1158.0999999999999</v>
      </c>
      <c r="P30" s="190">
        <v>5799.4</v>
      </c>
    </row>
    <row r="31" spans="1:16">
      <c r="A31" s="18">
        <v>1987</v>
      </c>
      <c r="B31" s="190">
        <v>155382.9</v>
      </c>
      <c r="C31" s="8">
        <f t="shared" si="0"/>
        <v>5717.5</v>
      </c>
      <c r="D31" s="190">
        <v>394.1</v>
      </c>
      <c r="E31" s="190">
        <v>843.1</v>
      </c>
      <c r="F31" s="190">
        <v>4480.3</v>
      </c>
      <c r="G31" s="190">
        <v>228910.4</v>
      </c>
      <c r="H31" s="8">
        <f t="shared" si="1"/>
        <v>8088</v>
      </c>
      <c r="I31" s="190">
        <v>630.1</v>
      </c>
      <c r="J31" s="190">
        <v>1229.5</v>
      </c>
      <c r="K31" s="190">
        <v>6228.4</v>
      </c>
      <c r="L31" s="190">
        <v>218720.6</v>
      </c>
      <c r="M31" s="8">
        <f t="shared" si="2"/>
        <v>8192.6</v>
      </c>
      <c r="N31" s="190">
        <v>562.20000000000005</v>
      </c>
      <c r="O31" s="190">
        <v>1193.2</v>
      </c>
      <c r="P31" s="190">
        <v>6437.2</v>
      </c>
    </row>
    <row r="32" spans="1:16">
      <c r="A32" s="18">
        <v>1988</v>
      </c>
      <c r="B32" s="190">
        <v>165219.9</v>
      </c>
      <c r="C32" s="8">
        <f t="shared" si="0"/>
        <v>6099.6</v>
      </c>
      <c r="D32" s="190">
        <v>391.7</v>
      </c>
      <c r="E32" s="190">
        <v>938.1</v>
      </c>
      <c r="F32" s="190">
        <v>4769.8</v>
      </c>
      <c r="G32" s="190">
        <v>234392</v>
      </c>
      <c r="H32" s="8">
        <f t="shared" si="1"/>
        <v>8509</v>
      </c>
      <c r="I32" s="190">
        <v>612.29999999999995</v>
      </c>
      <c r="J32" s="190">
        <v>1336.2</v>
      </c>
      <c r="K32" s="190">
        <v>6560.5</v>
      </c>
      <c r="L32" s="190">
        <v>225192.5</v>
      </c>
      <c r="M32" s="8">
        <f t="shared" si="2"/>
        <v>8650</v>
      </c>
      <c r="N32" s="190">
        <v>547.5</v>
      </c>
      <c r="O32" s="190">
        <v>1305.5999999999999</v>
      </c>
      <c r="P32" s="190">
        <v>6796.9</v>
      </c>
    </row>
    <row r="33" spans="1:16">
      <c r="A33" s="18">
        <v>1989</v>
      </c>
      <c r="B33" s="190">
        <v>176157.2</v>
      </c>
      <c r="C33" s="8">
        <f t="shared" si="0"/>
        <v>6916.2999999999993</v>
      </c>
      <c r="D33" s="190">
        <v>401.2</v>
      </c>
      <c r="E33" s="190">
        <v>1023.2</v>
      </c>
      <c r="F33" s="190">
        <v>5491.9</v>
      </c>
      <c r="G33" s="190">
        <v>241410.1</v>
      </c>
      <c r="H33" s="8">
        <f t="shared" si="1"/>
        <v>9323.9</v>
      </c>
      <c r="I33" s="190">
        <v>604.4</v>
      </c>
      <c r="J33" s="190">
        <v>1408.5</v>
      </c>
      <c r="K33" s="190">
        <v>7311</v>
      </c>
      <c r="L33" s="190">
        <v>232982.1</v>
      </c>
      <c r="M33" s="8">
        <f t="shared" si="2"/>
        <v>9507.2999999999993</v>
      </c>
      <c r="N33" s="190">
        <v>542</v>
      </c>
      <c r="O33" s="190">
        <v>1378</v>
      </c>
      <c r="P33" s="190">
        <v>7587.3</v>
      </c>
    </row>
    <row r="34" spans="1:16">
      <c r="A34" s="18">
        <v>1990</v>
      </c>
      <c r="B34" s="190">
        <v>186927.4</v>
      </c>
      <c r="C34" s="8">
        <f t="shared" si="0"/>
        <v>7310.7</v>
      </c>
      <c r="D34" s="190">
        <v>410.6</v>
      </c>
      <c r="E34" s="190">
        <v>1039.4000000000001</v>
      </c>
      <c r="F34" s="190">
        <v>5860.7</v>
      </c>
      <c r="G34" s="190">
        <v>248029</v>
      </c>
      <c r="H34" s="8">
        <f t="shared" si="1"/>
        <v>9631.5</v>
      </c>
      <c r="I34" s="190">
        <v>590.1</v>
      </c>
      <c r="J34" s="190">
        <v>1402.2</v>
      </c>
      <c r="K34" s="190">
        <v>7639.2</v>
      </c>
      <c r="L34" s="190">
        <v>239767.4</v>
      </c>
      <c r="M34" s="8">
        <f t="shared" si="2"/>
        <v>9842.7000000000007</v>
      </c>
      <c r="N34" s="190">
        <v>529.5</v>
      </c>
      <c r="O34" s="190">
        <v>1370.7</v>
      </c>
      <c r="P34" s="190">
        <v>7942.5</v>
      </c>
    </row>
    <row r="35" spans="1:16">
      <c r="A35" s="18">
        <v>1991</v>
      </c>
      <c r="B35" s="190">
        <v>186119.9</v>
      </c>
      <c r="C35" s="8">
        <f t="shared" si="0"/>
        <v>7139.5</v>
      </c>
      <c r="D35" s="190">
        <v>375.6</v>
      </c>
      <c r="E35" s="190">
        <v>1015.1</v>
      </c>
      <c r="F35" s="190">
        <v>5748.8</v>
      </c>
      <c r="G35" s="190">
        <v>252646.39999999999</v>
      </c>
      <c r="H35" s="8">
        <f t="shared" si="1"/>
        <v>9536.5</v>
      </c>
      <c r="I35" s="190">
        <v>564.5</v>
      </c>
      <c r="J35" s="190">
        <v>1393.3</v>
      </c>
      <c r="K35" s="190">
        <v>7578.7</v>
      </c>
      <c r="L35" s="190">
        <v>244869.3</v>
      </c>
      <c r="M35" s="8">
        <f t="shared" si="2"/>
        <v>9742.6999999999989</v>
      </c>
      <c r="N35" s="190">
        <v>505.3</v>
      </c>
      <c r="O35" s="190">
        <v>1362.5</v>
      </c>
      <c r="P35" s="190">
        <v>7874.9</v>
      </c>
    </row>
    <row r="36" spans="1:16">
      <c r="A36" s="18">
        <v>1992</v>
      </c>
      <c r="B36" s="190">
        <v>188832.5</v>
      </c>
      <c r="C36" s="8">
        <f t="shared" si="0"/>
        <v>6914.5</v>
      </c>
      <c r="D36" s="190">
        <v>366.1</v>
      </c>
      <c r="E36" s="190">
        <v>1003.1</v>
      </c>
      <c r="F36" s="190">
        <v>5545.3</v>
      </c>
      <c r="G36" s="190">
        <v>255088.9</v>
      </c>
      <c r="H36" s="8">
        <f t="shared" si="1"/>
        <v>8991.6</v>
      </c>
      <c r="I36" s="190">
        <v>539.70000000000005</v>
      </c>
      <c r="J36" s="190">
        <v>1346.8</v>
      </c>
      <c r="K36" s="190">
        <v>7105.1</v>
      </c>
      <c r="L36" s="190">
        <v>247894</v>
      </c>
      <c r="M36" s="8">
        <f t="shared" si="2"/>
        <v>9171.6</v>
      </c>
      <c r="N36" s="190">
        <v>483.3</v>
      </c>
      <c r="O36" s="190">
        <v>1314.2</v>
      </c>
      <c r="P36" s="190">
        <v>7374.1</v>
      </c>
    </row>
    <row r="37" spans="1:16">
      <c r="A37" s="18">
        <v>1993</v>
      </c>
      <c r="B37" s="190">
        <v>191210.9</v>
      </c>
      <c r="C37" s="8">
        <f t="shared" si="0"/>
        <v>6671.7</v>
      </c>
      <c r="D37" s="190">
        <v>361.9</v>
      </c>
      <c r="E37" s="190">
        <v>1002.1</v>
      </c>
      <c r="F37" s="190">
        <v>5307.7</v>
      </c>
      <c r="G37" s="190">
        <v>257324.4</v>
      </c>
      <c r="H37" s="8">
        <f t="shared" si="1"/>
        <v>8444.5</v>
      </c>
      <c r="I37" s="190">
        <v>530.6</v>
      </c>
      <c r="J37" s="190">
        <v>1310.3</v>
      </c>
      <c r="K37" s="190">
        <v>6603.6</v>
      </c>
      <c r="L37" s="190">
        <v>250248.3</v>
      </c>
      <c r="M37" s="8">
        <f t="shared" si="2"/>
        <v>8595.6999999999989</v>
      </c>
      <c r="N37" s="190">
        <v>477.3</v>
      </c>
      <c r="O37" s="190">
        <v>1282.5</v>
      </c>
      <c r="P37" s="190">
        <v>6835.9</v>
      </c>
    </row>
    <row r="38" spans="1:16">
      <c r="A38" s="18">
        <v>1994</v>
      </c>
      <c r="B38" s="190">
        <v>198478.3</v>
      </c>
      <c r="C38" s="8">
        <f t="shared" si="0"/>
        <v>7032.8</v>
      </c>
      <c r="D38" s="190">
        <v>421.7</v>
      </c>
      <c r="E38" s="190">
        <v>1152.8</v>
      </c>
      <c r="F38" s="190">
        <v>5458.3</v>
      </c>
      <c r="G38" s="190">
        <v>259820.1</v>
      </c>
      <c r="H38" s="8">
        <f t="shared" si="1"/>
        <v>8558.0999999999985</v>
      </c>
      <c r="I38" s="190">
        <v>581.6</v>
      </c>
      <c r="J38" s="190">
        <v>1443.1</v>
      </c>
      <c r="K38" s="190">
        <v>6533.4</v>
      </c>
      <c r="L38" s="190">
        <v>252988.6</v>
      </c>
      <c r="M38" s="8">
        <f t="shared" si="2"/>
        <v>8710.7000000000007</v>
      </c>
      <c r="N38" s="190">
        <v>541.1</v>
      </c>
      <c r="O38" s="190">
        <v>1420.6</v>
      </c>
      <c r="P38" s="190">
        <v>6749</v>
      </c>
    </row>
    <row r="39" spans="1:16">
      <c r="A39" s="18">
        <v>1995</v>
      </c>
      <c r="B39" s="190">
        <v>204687.2</v>
      </c>
      <c r="C39" s="8">
        <f t="shared" si="0"/>
        <v>7616.3</v>
      </c>
      <c r="D39" s="190">
        <v>421.7</v>
      </c>
      <c r="E39" s="190">
        <v>1355</v>
      </c>
      <c r="F39" s="190">
        <v>5839.6</v>
      </c>
      <c r="G39" s="190">
        <v>261319.2</v>
      </c>
      <c r="H39" s="8">
        <f t="shared" si="1"/>
        <v>8964.7000000000007</v>
      </c>
      <c r="I39" s="190">
        <v>556.1</v>
      </c>
      <c r="J39" s="190">
        <v>1615.2</v>
      </c>
      <c r="K39" s="190">
        <v>6793.4</v>
      </c>
      <c r="L39" s="190">
        <v>254838.9</v>
      </c>
      <c r="M39" s="8">
        <f t="shared" si="2"/>
        <v>9089.2999999999993</v>
      </c>
      <c r="N39" s="190">
        <v>518.29999999999995</v>
      </c>
      <c r="O39" s="190">
        <v>1609</v>
      </c>
      <c r="P39" s="190">
        <v>6962</v>
      </c>
    </row>
    <row r="40" spans="1:16">
      <c r="A40" s="18">
        <v>1996</v>
      </c>
      <c r="B40" s="190">
        <v>210957.5</v>
      </c>
      <c r="C40" s="8">
        <f t="shared" si="0"/>
        <v>8041.2000000000007</v>
      </c>
      <c r="D40" s="190">
        <v>430.4</v>
      </c>
      <c r="E40" s="190">
        <v>1525.2</v>
      </c>
      <c r="F40" s="190">
        <v>6085.6</v>
      </c>
      <c r="G40" s="190">
        <v>262700.09999999998</v>
      </c>
      <c r="H40" s="8">
        <f t="shared" si="1"/>
        <v>9281.1</v>
      </c>
      <c r="I40" s="190">
        <v>545.70000000000005</v>
      </c>
      <c r="J40" s="190">
        <v>1770.8</v>
      </c>
      <c r="K40" s="190">
        <v>6964.6</v>
      </c>
      <c r="L40" s="190">
        <v>256893.3</v>
      </c>
      <c r="M40" s="8">
        <f t="shared" si="2"/>
        <v>9394.2000000000007</v>
      </c>
      <c r="N40" s="190">
        <v>511.5</v>
      </c>
      <c r="O40" s="190">
        <v>1773.7</v>
      </c>
      <c r="P40" s="190">
        <v>7109</v>
      </c>
    </row>
    <row r="41" spans="1:16">
      <c r="A41" s="18">
        <v>1997</v>
      </c>
      <c r="B41" s="190">
        <v>219322.7</v>
      </c>
      <c r="C41" s="8">
        <f t="shared" si="0"/>
        <v>8509.2999999999993</v>
      </c>
      <c r="D41" s="190">
        <v>443.2</v>
      </c>
      <c r="E41" s="190">
        <v>1828</v>
      </c>
      <c r="F41" s="190">
        <v>6238.1</v>
      </c>
      <c r="G41" s="190">
        <v>264285.7</v>
      </c>
      <c r="H41" s="8">
        <f t="shared" si="1"/>
        <v>9455.5</v>
      </c>
      <c r="I41" s="190">
        <v>541</v>
      </c>
      <c r="J41" s="190">
        <v>2038.7</v>
      </c>
      <c r="K41" s="190">
        <v>6875.8</v>
      </c>
      <c r="L41" s="190">
        <v>259365.1</v>
      </c>
      <c r="M41" s="8">
        <f t="shared" si="2"/>
        <v>9594.1</v>
      </c>
      <c r="N41" s="190">
        <v>510.5</v>
      </c>
      <c r="O41" s="190">
        <v>2052.6</v>
      </c>
      <c r="P41" s="190">
        <v>7031</v>
      </c>
    </row>
    <row r="42" spans="1:16">
      <c r="A42" s="18">
        <v>1998</v>
      </c>
      <c r="B42" s="190">
        <v>227907.7</v>
      </c>
      <c r="C42" s="8">
        <f t="shared" si="0"/>
        <v>8851.2999999999993</v>
      </c>
      <c r="D42" s="190">
        <v>435.6</v>
      </c>
      <c r="E42" s="190">
        <v>1957.9</v>
      </c>
      <c r="F42" s="190">
        <v>6457.8</v>
      </c>
      <c r="G42" s="190">
        <v>267163.40000000002</v>
      </c>
      <c r="H42" s="8">
        <f t="shared" si="1"/>
        <v>9416</v>
      </c>
      <c r="I42" s="190">
        <v>514.6</v>
      </c>
      <c r="J42" s="190">
        <v>2090.3000000000002</v>
      </c>
      <c r="K42" s="190">
        <v>6811.1</v>
      </c>
      <c r="L42" s="190">
        <v>263685</v>
      </c>
      <c r="M42" s="8">
        <f t="shared" si="2"/>
        <v>9588</v>
      </c>
      <c r="N42" s="190">
        <v>490.9</v>
      </c>
      <c r="O42" s="190">
        <v>2110.1999999999998</v>
      </c>
      <c r="P42" s="190">
        <v>6986.9</v>
      </c>
    </row>
    <row r="43" spans="1:16">
      <c r="A43" s="18">
        <v>1999</v>
      </c>
      <c r="B43" s="190">
        <v>234202.7</v>
      </c>
      <c r="C43" s="8">
        <f t="shared" si="0"/>
        <v>8942.7000000000007</v>
      </c>
      <c r="D43" s="190">
        <v>477.5</v>
      </c>
      <c r="E43" s="190">
        <v>2109</v>
      </c>
      <c r="F43" s="190">
        <v>6356.2</v>
      </c>
      <c r="G43" s="190">
        <v>270494.2</v>
      </c>
      <c r="H43" s="8">
        <f t="shared" si="1"/>
        <v>9371.2000000000007</v>
      </c>
      <c r="I43" s="190">
        <v>540.5</v>
      </c>
      <c r="J43" s="190">
        <v>2234.8000000000002</v>
      </c>
      <c r="K43" s="190">
        <v>6595.9</v>
      </c>
      <c r="L43" s="190">
        <v>268453.5</v>
      </c>
      <c r="M43" s="8">
        <f t="shared" si="2"/>
        <v>9541</v>
      </c>
      <c r="N43" s="190">
        <v>526.20000000000005</v>
      </c>
      <c r="O43" s="190">
        <v>2237.4</v>
      </c>
      <c r="P43" s="190">
        <v>6777.4</v>
      </c>
    </row>
    <row r="44" spans="1:16">
      <c r="A44" s="18">
        <v>2000</v>
      </c>
      <c r="B44" s="190">
        <v>243844.3</v>
      </c>
      <c r="C44" s="8">
        <f t="shared" si="0"/>
        <v>9370.7000000000007</v>
      </c>
      <c r="D44" s="190">
        <v>547.4</v>
      </c>
      <c r="E44" s="190">
        <v>2334.1999999999998</v>
      </c>
      <c r="F44" s="190">
        <v>6489.1</v>
      </c>
      <c r="G44" s="190">
        <v>273990.09999999998</v>
      </c>
      <c r="H44" s="8">
        <f t="shared" si="1"/>
        <v>9623.9</v>
      </c>
      <c r="I44" s="190">
        <v>580.5</v>
      </c>
      <c r="J44" s="190">
        <v>2388.1999999999998</v>
      </c>
      <c r="K44" s="190">
        <v>6655.2</v>
      </c>
      <c r="L44" s="190">
        <v>273126.59999999998</v>
      </c>
      <c r="M44" s="8">
        <f t="shared" si="2"/>
        <v>9754.5</v>
      </c>
      <c r="N44" s="190">
        <v>584.6</v>
      </c>
      <c r="O44" s="190">
        <v>2414.5</v>
      </c>
      <c r="P44" s="190">
        <v>6755.4</v>
      </c>
    </row>
    <row r="45" spans="1:16">
      <c r="A45" s="18">
        <v>2001</v>
      </c>
      <c r="B45" s="190">
        <v>251297.2</v>
      </c>
      <c r="C45" s="8">
        <f t="shared" si="0"/>
        <v>9238.4</v>
      </c>
      <c r="D45" s="190">
        <v>551.5</v>
      </c>
      <c r="E45" s="190">
        <v>2256.6999999999998</v>
      </c>
      <c r="F45" s="190">
        <v>6430.2</v>
      </c>
      <c r="G45" s="190">
        <v>276443.7</v>
      </c>
      <c r="H45" s="8">
        <f t="shared" si="1"/>
        <v>9248.1</v>
      </c>
      <c r="I45" s="190">
        <v>578.5</v>
      </c>
      <c r="J45" s="190">
        <v>2245.6</v>
      </c>
      <c r="K45" s="190">
        <v>6424</v>
      </c>
      <c r="L45" s="190">
        <v>275814.90000000002</v>
      </c>
      <c r="M45" s="8">
        <f t="shared" si="2"/>
        <v>9338.5</v>
      </c>
      <c r="N45" s="190">
        <v>583.79999999999995</v>
      </c>
      <c r="O45" s="190">
        <v>2263.4</v>
      </c>
      <c r="P45" s="190">
        <v>6491.3</v>
      </c>
    </row>
    <row r="46" spans="1:16">
      <c r="A46" s="18">
        <v>2002</v>
      </c>
      <c r="B46" s="190">
        <v>257412.1</v>
      </c>
      <c r="C46" s="8">
        <f t="shared" si="0"/>
        <v>9079.4</v>
      </c>
      <c r="D46" s="190">
        <v>591.29999999999995</v>
      </c>
      <c r="E46" s="190">
        <v>2150.9</v>
      </c>
      <c r="F46" s="190">
        <v>6337.2</v>
      </c>
      <c r="G46" s="190">
        <v>278929.2</v>
      </c>
      <c r="H46" s="8">
        <f t="shared" si="1"/>
        <v>8942.9</v>
      </c>
      <c r="I46" s="190">
        <v>605.6</v>
      </c>
      <c r="J46" s="190">
        <v>2104.3000000000002</v>
      </c>
      <c r="K46" s="190">
        <v>6233</v>
      </c>
      <c r="L46" s="190">
        <v>277818.8</v>
      </c>
      <c r="M46" s="8">
        <f t="shared" si="2"/>
        <v>8957.2000000000007</v>
      </c>
      <c r="N46" s="190">
        <v>614.6</v>
      </c>
      <c r="O46" s="190">
        <v>2099.3000000000002</v>
      </c>
      <c r="P46" s="190">
        <v>6243.3</v>
      </c>
    </row>
    <row r="47" spans="1:16">
      <c r="A47" s="18">
        <v>2003</v>
      </c>
      <c r="B47" s="190">
        <v>258263.6</v>
      </c>
      <c r="C47" s="8">
        <f t="shared" si="0"/>
        <v>8833.7999999999993</v>
      </c>
      <c r="D47" s="190">
        <v>539.70000000000005</v>
      </c>
      <c r="E47" s="190">
        <v>1981.5</v>
      </c>
      <c r="F47" s="190">
        <v>6312.6</v>
      </c>
      <c r="G47" s="190">
        <v>282269.59999999998</v>
      </c>
      <c r="H47" s="8">
        <f t="shared" si="1"/>
        <v>8988.2000000000007</v>
      </c>
      <c r="I47" s="190">
        <v>565.6</v>
      </c>
      <c r="J47" s="190">
        <v>2025</v>
      </c>
      <c r="K47" s="190">
        <v>6397.6</v>
      </c>
      <c r="L47" s="190">
        <v>281139.09999999998</v>
      </c>
      <c r="M47" s="8">
        <f t="shared" si="2"/>
        <v>9038.7000000000007</v>
      </c>
      <c r="N47" s="190">
        <v>568</v>
      </c>
      <c r="O47" s="190">
        <v>2011.2</v>
      </c>
      <c r="P47" s="190">
        <v>6459.5</v>
      </c>
    </row>
    <row r="48" spans="1:16">
      <c r="A48" s="18">
        <v>2004</v>
      </c>
      <c r="B48" s="190">
        <v>268704.7</v>
      </c>
      <c r="C48" s="8">
        <f t="shared" si="0"/>
        <v>8366.7999999999993</v>
      </c>
      <c r="D48" s="190">
        <v>502.1</v>
      </c>
      <c r="E48" s="190">
        <v>2010.6</v>
      </c>
      <c r="F48" s="190">
        <v>5854.1</v>
      </c>
      <c r="G48" s="190">
        <v>287657.8</v>
      </c>
      <c r="H48" s="8">
        <f t="shared" si="1"/>
        <v>8533.2999999999993</v>
      </c>
      <c r="I48" s="190">
        <v>530</v>
      </c>
      <c r="J48" s="190">
        <v>2039.9</v>
      </c>
      <c r="K48" s="190">
        <v>5963.4</v>
      </c>
      <c r="L48" s="190">
        <v>286935.5</v>
      </c>
      <c r="M48" s="8">
        <f t="shared" si="2"/>
        <v>8541.2000000000007</v>
      </c>
      <c r="N48" s="190">
        <v>530.6</v>
      </c>
      <c r="O48" s="190">
        <v>2035.3</v>
      </c>
      <c r="P48" s="190">
        <v>5975.3</v>
      </c>
    </row>
    <row r="49" spans="1:16">
      <c r="A49" s="18">
        <v>2005</v>
      </c>
      <c r="B49" s="190">
        <v>279756.5</v>
      </c>
      <c r="C49" s="8">
        <f t="shared" si="0"/>
        <v>7997.4</v>
      </c>
      <c r="D49" s="190">
        <v>494.3</v>
      </c>
      <c r="E49" s="190">
        <v>2039.6</v>
      </c>
      <c r="F49" s="190">
        <v>5463.5</v>
      </c>
      <c r="G49" s="190">
        <v>292561</v>
      </c>
      <c r="H49" s="8">
        <f t="shared" si="1"/>
        <v>8116</v>
      </c>
      <c r="I49" s="190">
        <v>514.29999999999995</v>
      </c>
      <c r="J49" s="190">
        <v>2059.6999999999998</v>
      </c>
      <c r="K49" s="190">
        <v>5542</v>
      </c>
      <c r="L49" s="190">
        <v>292290.2</v>
      </c>
      <c r="M49" s="8">
        <f t="shared" si="2"/>
        <v>8116.2</v>
      </c>
      <c r="N49" s="190">
        <v>514.4</v>
      </c>
      <c r="O49" s="190">
        <v>2056.1</v>
      </c>
      <c r="P49" s="190">
        <v>5545.7</v>
      </c>
    </row>
    <row r="50" spans="1:16">
      <c r="A50" s="18">
        <v>2006</v>
      </c>
      <c r="B50" s="190">
        <v>291381.09999999998</v>
      </c>
      <c r="C50" s="8">
        <f t="shared" si="0"/>
        <v>7705.1</v>
      </c>
      <c r="D50" s="190">
        <v>488</v>
      </c>
      <c r="E50" s="190">
        <v>2091.1</v>
      </c>
      <c r="F50" s="190">
        <v>5126</v>
      </c>
      <c r="G50" s="190">
        <v>297651.7</v>
      </c>
      <c r="H50" s="8">
        <f t="shared" si="1"/>
        <v>7770.9</v>
      </c>
      <c r="I50" s="190">
        <v>495.4</v>
      </c>
      <c r="J50" s="190">
        <v>2102</v>
      </c>
      <c r="K50" s="190">
        <v>5173.5</v>
      </c>
      <c r="L50" s="190">
        <v>297601.09999999998</v>
      </c>
      <c r="M50" s="8">
        <f t="shared" si="2"/>
        <v>7771.3</v>
      </c>
      <c r="N50" s="190">
        <v>495.7</v>
      </c>
      <c r="O50" s="190">
        <v>2102</v>
      </c>
      <c r="P50" s="190">
        <v>5173.6000000000004</v>
      </c>
    </row>
    <row r="51" spans="1:16">
      <c r="A51" s="18">
        <v>2007</v>
      </c>
      <c r="B51" s="190">
        <v>304175.3</v>
      </c>
      <c r="C51" s="8">
        <f t="shared" si="0"/>
        <v>7439.2000000000007</v>
      </c>
      <c r="D51" s="190">
        <v>462.9</v>
      </c>
      <c r="E51" s="190">
        <v>2166.3000000000002</v>
      </c>
      <c r="F51" s="190">
        <v>4810</v>
      </c>
      <c r="G51" s="190">
        <v>304175.3</v>
      </c>
      <c r="H51" s="8">
        <f t="shared" si="1"/>
        <v>7439.2000000000007</v>
      </c>
      <c r="I51" s="190">
        <v>462.9</v>
      </c>
      <c r="J51" s="190">
        <v>2166.3000000000002</v>
      </c>
      <c r="K51" s="190">
        <v>4810</v>
      </c>
      <c r="L51" s="190">
        <v>304175.3</v>
      </c>
      <c r="M51" s="8">
        <f t="shared" si="2"/>
        <v>7439.2000000000007</v>
      </c>
      <c r="N51" s="190">
        <v>462.9</v>
      </c>
      <c r="O51" s="190">
        <v>2166.3000000000002</v>
      </c>
      <c r="P51" s="190">
        <v>4810</v>
      </c>
    </row>
    <row r="52" spans="1:16">
      <c r="A52" s="18">
        <v>2008</v>
      </c>
      <c r="B52" s="190">
        <v>327834.40000000002</v>
      </c>
      <c r="C52" s="8">
        <f t="shared" si="0"/>
        <v>7252.7000000000007</v>
      </c>
      <c r="D52" s="190">
        <v>480.9</v>
      </c>
      <c r="E52" s="190">
        <v>2150.6999999999998</v>
      </c>
      <c r="F52" s="190">
        <v>4621.1000000000004</v>
      </c>
      <c r="G52" s="190">
        <v>311517.3</v>
      </c>
      <c r="H52" s="8">
        <f t="shared" si="1"/>
        <v>6951.6</v>
      </c>
      <c r="I52" s="190">
        <v>451</v>
      </c>
      <c r="J52" s="190">
        <v>2063.5</v>
      </c>
      <c r="K52" s="190">
        <v>4437.1000000000004</v>
      </c>
      <c r="L52" s="190">
        <v>311469.09999999998</v>
      </c>
      <c r="M52" s="8">
        <f t="shared" si="2"/>
        <v>6952.1</v>
      </c>
      <c r="N52" s="190">
        <v>450.8</v>
      </c>
      <c r="O52" s="190">
        <v>2063.3000000000002</v>
      </c>
      <c r="P52" s="190">
        <v>4438</v>
      </c>
    </row>
    <row r="53" spans="1:16">
      <c r="A53" s="18">
        <v>2009</v>
      </c>
      <c r="B53" s="190">
        <v>341843.5</v>
      </c>
      <c r="C53" s="8">
        <f t="shared" si="0"/>
        <v>6947.5</v>
      </c>
      <c r="D53" s="190">
        <v>467.3</v>
      </c>
      <c r="E53" s="190">
        <v>2137.1999999999998</v>
      </c>
      <c r="F53" s="190">
        <v>4343</v>
      </c>
      <c r="G53" s="190">
        <v>314939.8</v>
      </c>
      <c r="H53" s="8">
        <f t="shared" si="1"/>
        <v>6363.7</v>
      </c>
      <c r="I53" s="190">
        <v>425.7</v>
      </c>
      <c r="J53" s="190">
        <v>1955.4</v>
      </c>
      <c r="K53" s="190">
        <v>3982.6</v>
      </c>
      <c r="L53" s="190">
        <v>314919</v>
      </c>
      <c r="M53" s="8">
        <f t="shared" si="2"/>
        <v>6369</v>
      </c>
      <c r="N53" s="190">
        <v>425.3</v>
      </c>
      <c r="O53" s="190">
        <v>1956.1</v>
      </c>
      <c r="P53" s="190">
        <v>3987.6</v>
      </c>
    </row>
    <row r="54" spans="1:16">
      <c r="A54" s="18">
        <v>2010</v>
      </c>
      <c r="B54" s="190">
        <v>348020.1</v>
      </c>
      <c r="C54" s="8">
        <f t="shared" si="0"/>
        <v>6287.2</v>
      </c>
      <c r="D54" s="190">
        <v>442.9</v>
      </c>
      <c r="E54" s="190">
        <v>2047.2</v>
      </c>
      <c r="F54" s="190">
        <v>3797.1</v>
      </c>
      <c r="G54" s="190">
        <v>319785.90000000002</v>
      </c>
      <c r="H54" s="8">
        <f t="shared" si="1"/>
        <v>5897</v>
      </c>
      <c r="I54" s="190">
        <v>407.6</v>
      </c>
      <c r="J54" s="190">
        <v>1928.8</v>
      </c>
      <c r="K54" s="190">
        <v>3560.6</v>
      </c>
      <c r="L54" s="190">
        <v>319739.59999999998</v>
      </c>
      <c r="M54" s="8">
        <f t="shared" si="2"/>
        <v>5905</v>
      </c>
      <c r="N54" s="190">
        <v>406.6</v>
      </c>
      <c r="O54" s="190">
        <v>1927</v>
      </c>
      <c r="P54" s="190">
        <v>3571.4</v>
      </c>
    </row>
    <row r="55" spans="1:16">
      <c r="A55" s="18">
        <v>2011</v>
      </c>
      <c r="B55" s="190">
        <v>363430.1</v>
      </c>
      <c r="C55" s="8">
        <f t="shared" si="0"/>
        <v>6087.2999999999993</v>
      </c>
      <c r="D55" s="190">
        <v>425.2</v>
      </c>
      <c r="E55" s="190">
        <v>1999.1</v>
      </c>
      <c r="F55" s="190">
        <v>3663</v>
      </c>
      <c r="G55" s="190">
        <v>325679.8</v>
      </c>
      <c r="H55" s="8">
        <f t="shared" si="1"/>
        <v>5650.7000000000007</v>
      </c>
      <c r="I55" s="190">
        <v>378.9</v>
      </c>
      <c r="J55" s="190">
        <v>1866.5</v>
      </c>
      <c r="K55" s="190">
        <v>3405.3</v>
      </c>
      <c r="L55" s="190">
        <v>325747.09999999998</v>
      </c>
      <c r="M55" s="8">
        <f t="shared" si="2"/>
        <v>5653.9</v>
      </c>
      <c r="N55" s="190">
        <v>377.6</v>
      </c>
      <c r="O55" s="190">
        <v>1863.5</v>
      </c>
      <c r="P55" s="190">
        <v>3412.8</v>
      </c>
    </row>
    <row r="56" spans="1:16">
      <c r="A56" s="18">
        <v>2012</v>
      </c>
      <c r="B56" s="190">
        <v>382416.8</v>
      </c>
      <c r="C56" s="8">
        <f t="shared" si="0"/>
        <v>6010.1</v>
      </c>
      <c r="D56" s="190">
        <v>415.5</v>
      </c>
      <c r="E56" s="190">
        <v>1965.9</v>
      </c>
      <c r="F56" s="190">
        <v>3628.7</v>
      </c>
      <c r="G56" s="190">
        <v>334719.5</v>
      </c>
      <c r="H56" s="8">
        <f t="shared" si="1"/>
        <v>5490.4</v>
      </c>
      <c r="I56" s="190">
        <v>358.7</v>
      </c>
      <c r="J56" s="190">
        <v>1805.5</v>
      </c>
      <c r="K56" s="190">
        <v>3326.2</v>
      </c>
      <c r="L56" s="190">
        <v>334855</v>
      </c>
      <c r="M56" s="8">
        <f t="shared" si="2"/>
        <v>5498</v>
      </c>
      <c r="N56" s="190">
        <v>357.4</v>
      </c>
      <c r="O56" s="190">
        <v>1805.8</v>
      </c>
      <c r="P56" s="190">
        <v>3334.8</v>
      </c>
    </row>
    <row r="57" spans="1:16">
      <c r="A57" s="18">
        <v>2013</v>
      </c>
      <c r="B57" s="190">
        <v>397510.8</v>
      </c>
      <c r="C57" s="8">
        <f t="shared" si="0"/>
        <v>5938.4</v>
      </c>
      <c r="D57" s="190">
        <v>398.2</v>
      </c>
      <c r="E57" s="190">
        <v>1925.7</v>
      </c>
      <c r="F57" s="190">
        <v>3614.5</v>
      </c>
      <c r="G57" s="190">
        <v>342353.6</v>
      </c>
      <c r="H57" s="8">
        <f t="shared" si="1"/>
        <v>5358.7</v>
      </c>
      <c r="I57" s="190">
        <v>336.9</v>
      </c>
      <c r="J57" s="190">
        <v>1747.7</v>
      </c>
      <c r="K57" s="190">
        <v>3274.1</v>
      </c>
      <c r="L57" s="190">
        <v>342603.8</v>
      </c>
      <c r="M57" s="8">
        <f t="shared" si="2"/>
        <v>5358.7000000000007</v>
      </c>
      <c r="N57" s="190">
        <v>336.4</v>
      </c>
      <c r="O57" s="190">
        <v>1745.4</v>
      </c>
      <c r="P57" s="190">
        <v>3276.9</v>
      </c>
    </row>
    <row r="58" spans="1:16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</row>
    <row r="60" spans="1:16" ht="30">
      <c r="A60" s="130" t="s">
        <v>282</v>
      </c>
      <c r="B60" s="7">
        <f>((B5/B44)^(1/39)-1)*100</f>
        <v>-7.0819394516312144</v>
      </c>
      <c r="C60" s="7">
        <f t="shared" ref="C60:P60" si="3">((C5/C44)^(1/39)-1)*100</f>
        <v>-7.138645510073804</v>
      </c>
      <c r="D60" s="7">
        <f t="shared" si="3"/>
        <v>-4.0468208620208497</v>
      </c>
      <c r="E60" s="7">
        <f t="shared" si="3"/>
        <v>-9.1504573604832338</v>
      </c>
      <c r="F60" s="7">
        <f t="shared" si="3"/>
        <v>-7.1665027732047415</v>
      </c>
      <c r="G60" s="7">
        <f t="shared" si="3"/>
        <v>-2.5603433497844441</v>
      </c>
      <c r="H60" s="7">
        <f t="shared" si="3"/>
        <v>-2.3959060414598277</v>
      </c>
      <c r="I60" s="7">
        <f t="shared" si="3"/>
        <v>1.3084711580314323</v>
      </c>
      <c r="J60" s="7">
        <f t="shared" si="3"/>
        <v>-4.6335807717117987</v>
      </c>
      <c r="K60" s="7">
        <f t="shared" si="3"/>
        <v>-2.5828658925013737</v>
      </c>
      <c r="L60" s="7">
        <f t="shared" si="3"/>
        <v>-2.8286868986276303</v>
      </c>
      <c r="M60" s="7">
        <f t="shared" si="3"/>
        <v>-2.5058548136499326</v>
      </c>
      <c r="N60" s="7">
        <f t="shared" si="3"/>
        <v>0.96864643274643392</v>
      </c>
      <c r="O60" s="7">
        <f t="shared" si="3"/>
        <v>-4.781085583938216</v>
      </c>
      <c r="P60" s="7">
        <f t="shared" si="3"/>
        <v>-2.6012057438995595</v>
      </c>
    </row>
    <row r="61" spans="1:16" ht="30">
      <c r="A61" s="130" t="s">
        <v>68</v>
      </c>
      <c r="B61" s="7">
        <f>((B51/B44)^(1/7)-1)*100</f>
        <v>3.2086043442774104</v>
      </c>
      <c r="C61" s="7">
        <f t="shared" ref="C61:P61" si="4">((C51/C44)^(1/7)-1)*100</f>
        <v>-3.2437180292148482</v>
      </c>
      <c r="D61" s="7">
        <f t="shared" si="4"/>
        <v>-2.3668089714946161</v>
      </c>
      <c r="E61" s="7">
        <f t="shared" si="4"/>
        <v>-1.0607422667678557</v>
      </c>
      <c r="F61" s="7">
        <f t="shared" si="4"/>
        <v>-4.1873296808827227</v>
      </c>
      <c r="G61" s="7">
        <f t="shared" si="4"/>
        <v>1.5042329013295275</v>
      </c>
      <c r="H61" s="7">
        <f t="shared" si="4"/>
        <v>-3.6115450146806505</v>
      </c>
      <c r="I61" s="7">
        <f t="shared" si="4"/>
        <v>-3.182248172540969</v>
      </c>
      <c r="J61" s="7">
        <f t="shared" si="4"/>
        <v>-1.3834736822130655</v>
      </c>
      <c r="K61" s="7">
        <f t="shared" si="4"/>
        <v>-4.5326533747868769</v>
      </c>
      <c r="L61" s="7">
        <f t="shared" si="4"/>
        <v>1.5500151124254069</v>
      </c>
      <c r="M61" s="7">
        <f t="shared" si="4"/>
        <v>-3.7969710623106612</v>
      </c>
      <c r="N61" s="7">
        <f t="shared" si="4"/>
        <v>-3.279543299089438</v>
      </c>
      <c r="O61" s="7">
        <f t="shared" si="4"/>
        <v>-1.5376496133429618</v>
      </c>
      <c r="P61" s="7">
        <f t="shared" si="4"/>
        <v>-4.7362407842768022</v>
      </c>
    </row>
    <row r="62" spans="1:16" ht="30">
      <c r="A62" s="130" t="s">
        <v>69</v>
      </c>
      <c r="B62" s="7">
        <f>((B57/B51)^(1/6)-1)*100</f>
        <v>4.5612655953118475</v>
      </c>
      <c r="C62" s="7">
        <f t="shared" ref="C62:P62" si="5">((C57/C51)^(1/6)-1)*100</f>
        <v>-3.685752585082136</v>
      </c>
      <c r="D62" s="7">
        <f t="shared" si="5"/>
        <v>-2.4780569192934254</v>
      </c>
      <c r="E62" s="7">
        <f t="shared" si="5"/>
        <v>-1.9430595313080667</v>
      </c>
      <c r="F62" s="7">
        <f t="shared" si="5"/>
        <v>-4.6507695827865181</v>
      </c>
      <c r="G62" s="7">
        <f t="shared" si="5"/>
        <v>1.9902114845185892</v>
      </c>
      <c r="H62" s="7">
        <f t="shared" si="5"/>
        <v>-5.3205917446106366</v>
      </c>
      <c r="I62" s="7">
        <f t="shared" si="5"/>
        <v>-5.1576502921799054</v>
      </c>
      <c r="J62" s="7">
        <f t="shared" si="5"/>
        <v>-3.5153895495906085</v>
      </c>
      <c r="K62" s="7">
        <f t="shared" si="5"/>
        <v>-6.209724712725528</v>
      </c>
      <c r="L62" s="7">
        <f t="shared" si="5"/>
        <v>2.0026305077730289</v>
      </c>
      <c r="M62" s="7">
        <f t="shared" si="5"/>
        <v>-5.3205917446106366</v>
      </c>
      <c r="N62" s="7">
        <f t="shared" si="5"/>
        <v>-5.1811243823850166</v>
      </c>
      <c r="O62" s="7">
        <f t="shared" si="5"/>
        <v>-3.5365637010069673</v>
      </c>
      <c r="P62" s="7">
        <f t="shared" si="5"/>
        <v>-6.1963612824525232</v>
      </c>
    </row>
    <row r="63" spans="1:16" ht="30">
      <c r="A63" s="18" t="s">
        <v>15</v>
      </c>
      <c r="B63" s="7">
        <f>((B57/B44)^(1/13)-1)*100</f>
        <v>3.8307213208957691</v>
      </c>
      <c r="C63" s="7">
        <f t="shared" ref="C63:P63" si="6">((C57/C44)^(1/13)-1)*100</f>
        <v>-3.4479855053634711</v>
      </c>
      <c r="D63" s="7">
        <f t="shared" si="6"/>
        <v>-2.4181699387803346</v>
      </c>
      <c r="E63" s="7">
        <f t="shared" si="6"/>
        <v>-1.4689478341540441</v>
      </c>
      <c r="F63" s="7">
        <f t="shared" si="6"/>
        <v>-4.4015042590005553</v>
      </c>
      <c r="G63" s="7">
        <f t="shared" si="6"/>
        <v>1.7282422936418795</v>
      </c>
      <c r="H63" s="7">
        <f t="shared" si="6"/>
        <v>-4.4041358788994849</v>
      </c>
      <c r="I63" s="7">
        <f t="shared" si="6"/>
        <v>-4.0990335993401068</v>
      </c>
      <c r="J63" s="7">
        <f t="shared" si="6"/>
        <v>-2.373226171877707</v>
      </c>
      <c r="K63" s="7">
        <f t="shared" si="6"/>
        <v>-5.3103804922279725</v>
      </c>
      <c r="L63" s="7">
        <f t="shared" si="6"/>
        <v>1.7586644218834602</v>
      </c>
      <c r="M63" s="7">
        <f t="shared" si="6"/>
        <v>-4.5032036636398542</v>
      </c>
      <c r="N63" s="7">
        <f t="shared" si="6"/>
        <v>-4.1618891610738284</v>
      </c>
      <c r="O63" s="7">
        <f t="shared" si="6"/>
        <v>-2.4653210850579588</v>
      </c>
      <c r="P63" s="7">
        <f t="shared" si="6"/>
        <v>-5.4129455056586622</v>
      </c>
    </row>
    <row r="65" spans="1:16">
      <c r="A65" s="53" t="s">
        <v>41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53"/>
      <c r="M65" s="168"/>
      <c r="N65" s="53"/>
      <c r="O65" s="53"/>
      <c r="P65" s="53"/>
    </row>
    <row r="66" spans="1:16">
      <c r="A66" s="53" t="s">
        <v>57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53"/>
      <c r="M66" s="168"/>
      <c r="N66" s="53"/>
      <c r="O66" s="53"/>
      <c r="P66" s="53"/>
    </row>
    <row r="67" spans="1:16">
      <c r="A67" s="53" t="s">
        <v>55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53"/>
      <c r="M67" s="168"/>
      <c r="N67" s="53"/>
      <c r="O67" s="53"/>
      <c r="P67" s="53"/>
    </row>
    <row r="68" spans="1:16">
      <c r="A68" s="53" t="s">
        <v>59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53"/>
      <c r="M68" s="168"/>
      <c r="N68" s="53"/>
      <c r="O68" s="53"/>
      <c r="P68" s="53"/>
    </row>
    <row r="69" spans="1:16">
      <c r="A69" s="53" t="s">
        <v>58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53"/>
      <c r="M69" s="168"/>
      <c r="N69" s="53"/>
      <c r="O69" s="53"/>
      <c r="P69" s="53"/>
    </row>
    <row r="70" spans="1:16">
      <c r="A70" s="51" t="s">
        <v>61</v>
      </c>
    </row>
  </sheetData>
  <mergeCells count="5">
    <mergeCell ref="A1:P1"/>
    <mergeCell ref="G2:K2"/>
    <mergeCell ref="L2:P2"/>
    <mergeCell ref="A59:P59"/>
    <mergeCell ref="B2:F2"/>
  </mergeCells>
  <printOptions gridLines="1"/>
  <pageMargins left="0.7" right="0.7" top="0.75" bottom="0.75" header="0.3" footer="0.3"/>
  <pageSetup scale="60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71"/>
  <sheetViews>
    <sheetView view="pageBreakPreview" zoomScaleNormal="100" zoomScaleSheetLayoutView="100" workbookViewId="0">
      <selection activeCell="C24" sqref="C24"/>
    </sheetView>
  </sheetViews>
  <sheetFormatPr defaultRowHeight="15"/>
  <cols>
    <col min="2" max="11" width="9.140625" style="181"/>
    <col min="13" max="13" width="9.140625" style="181"/>
  </cols>
  <sheetData>
    <row r="1" spans="1:16">
      <c r="A1" s="454" t="s">
        <v>239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</row>
    <row r="2" spans="1:16" ht="15" customHeight="1">
      <c r="A2" s="1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</row>
    <row r="3" spans="1:16" ht="75">
      <c r="A3" s="18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  <c r="L3" s="18" t="s">
        <v>2</v>
      </c>
      <c r="M3" s="130" t="s">
        <v>223</v>
      </c>
      <c r="N3" s="18" t="s">
        <v>20</v>
      </c>
      <c r="O3" s="18" t="s">
        <v>4</v>
      </c>
      <c r="P3" s="18" t="s">
        <v>17</v>
      </c>
    </row>
    <row r="4" spans="1:16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>
      <c r="A5" s="18">
        <v>1961</v>
      </c>
      <c r="B5" s="198">
        <v>20360.099999999999</v>
      </c>
      <c r="C5" s="8">
        <f>D5+E5+F5</f>
        <v>445.29999999999995</v>
      </c>
      <c r="D5" s="198">
        <v>59.6</v>
      </c>
      <c r="E5" s="198">
        <v>73.5</v>
      </c>
      <c r="F5" s="198">
        <v>312.2</v>
      </c>
      <c r="G5" s="198">
        <v>152565.29999999999</v>
      </c>
      <c r="H5" s="8">
        <f>I5+J5+K5</f>
        <v>3394</v>
      </c>
      <c r="I5" s="198">
        <v>456.7</v>
      </c>
      <c r="J5" s="198">
        <v>587</v>
      </c>
      <c r="K5" s="198">
        <v>2350.3000000000002</v>
      </c>
      <c r="L5" s="198">
        <v>132980.6</v>
      </c>
      <c r="M5" s="8">
        <f>N5+O5+P5</f>
        <v>3335.8</v>
      </c>
      <c r="N5" s="198">
        <v>442.9</v>
      </c>
      <c r="O5" s="198">
        <v>543</v>
      </c>
      <c r="P5" s="198">
        <v>2349.9</v>
      </c>
    </row>
    <row r="6" spans="1:16">
      <c r="A6" s="18">
        <v>1962</v>
      </c>
      <c r="B6" s="198">
        <v>21524.400000000001</v>
      </c>
      <c r="C6" s="8">
        <f t="shared" ref="C6:C57" si="0">D6+E6+F6</f>
        <v>450.5</v>
      </c>
      <c r="D6" s="198">
        <v>62</v>
      </c>
      <c r="E6" s="198">
        <v>74.8</v>
      </c>
      <c r="F6" s="198">
        <v>313.7</v>
      </c>
      <c r="G6" s="198">
        <v>159526.5</v>
      </c>
      <c r="H6" s="8">
        <f t="shared" ref="H6:H57" si="1">I6+J6+K6</f>
        <v>3414.8</v>
      </c>
      <c r="I6" s="198">
        <v>456.1</v>
      </c>
      <c r="J6" s="198">
        <v>594.6</v>
      </c>
      <c r="K6" s="198">
        <v>2364.1</v>
      </c>
      <c r="L6" s="198">
        <v>138950.29999999999</v>
      </c>
      <c r="M6" s="8">
        <f t="shared" ref="M6:M57" si="2">N6+O6+P6</f>
        <v>3354.7</v>
      </c>
      <c r="N6" s="198">
        <v>441.8</v>
      </c>
      <c r="O6" s="198">
        <v>548.70000000000005</v>
      </c>
      <c r="P6" s="198">
        <v>2364.1999999999998</v>
      </c>
    </row>
    <row r="7" spans="1:16">
      <c r="A7" s="18">
        <v>1963</v>
      </c>
      <c r="B7" s="198">
        <v>23247</v>
      </c>
      <c r="C7" s="8">
        <f t="shared" si="0"/>
        <v>474.9</v>
      </c>
      <c r="D7" s="198">
        <v>66.900000000000006</v>
      </c>
      <c r="E7" s="198">
        <v>77.099999999999994</v>
      </c>
      <c r="F7" s="198">
        <v>330.9</v>
      </c>
      <c r="G7" s="198">
        <v>166581.79999999999</v>
      </c>
      <c r="H7" s="8">
        <f t="shared" si="1"/>
        <v>3450.3</v>
      </c>
      <c r="I7" s="198">
        <v>458.5</v>
      </c>
      <c r="J7" s="198">
        <v>597</v>
      </c>
      <c r="K7" s="198">
        <v>2394.8000000000002</v>
      </c>
      <c r="L7" s="198">
        <v>144980.5</v>
      </c>
      <c r="M7" s="8">
        <f t="shared" si="2"/>
        <v>3390.2</v>
      </c>
      <c r="N7" s="198">
        <v>445.8</v>
      </c>
      <c r="O7" s="198">
        <v>550.9</v>
      </c>
      <c r="P7" s="198">
        <v>2393.5</v>
      </c>
    </row>
    <row r="8" spans="1:16">
      <c r="A8" s="18">
        <v>1964</v>
      </c>
      <c r="B8" s="198">
        <v>24755.9</v>
      </c>
      <c r="C8" s="8">
        <f t="shared" si="0"/>
        <v>515.20000000000005</v>
      </c>
      <c r="D8" s="198">
        <v>68.400000000000006</v>
      </c>
      <c r="E8" s="198">
        <v>82.8</v>
      </c>
      <c r="F8" s="198">
        <v>364</v>
      </c>
      <c r="G8" s="198">
        <v>174175.4</v>
      </c>
      <c r="H8" s="8">
        <f t="shared" si="1"/>
        <v>3628</v>
      </c>
      <c r="I8" s="198">
        <v>465.1</v>
      </c>
      <c r="J8" s="198">
        <v>620.4</v>
      </c>
      <c r="K8" s="198">
        <v>2542.5</v>
      </c>
      <c r="L8" s="198">
        <v>151852.29999999999</v>
      </c>
      <c r="M8" s="8">
        <f t="shared" si="2"/>
        <v>3585.5</v>
      </c>
      <c r="N8" s="198">
        <v>454.7</v>
      </c>
      <c r="O8" s="198">
        <v>575.9</v>
      </c>
      <c r="P8" s="198">
        <v>2554.9</v>
      </c>
    </row>
    <row r="9" spans="1:16">
      <c r="A9" s="18">
        <v>1965</v>
      </c>
      <c r="B9" s="198">
        <v>27647.7</v>
      </c>
      <c r="C9" s="8">
        <f t="shared" si="0"/>
        <v>603.29999999999995</v>
      </c>
      <c r="D9" s="198">
        <v>74.900000000000006</v>
      </c>
      <c r="E9" s="198">
        <v>93.5</v>
      </c>
      <c r="F9" s="198">
        <v>434.9</v>
      </c>
      <c r="G9" s="198">
        <v>183689.1</v>
      </c>
      <c r="H9" s="8">
        <f t="shared" si="1"/>
        <v>4012.1000000000004</v>
      </c>
      <c r="I9" s="198">
        <v>467.7</v>
      </c>
      <c r="J9" s="198">
        <v>662.5</v>
      </c>
      <c r="K9" s="198">
        <v>2881.9</v>
      </c>
      <c r="L9" s="198">
        <v>160515</v>
      </c>
      <c r="M9" s="8">
        <f t="shared" si="2"/>
        <v>3973.3</v>
      </c>
      <c r="N9" s="198">
        <v>456.9</v>
      </c>
      <c r="O9" s="198">
        <v>616.5</v>
      </c>
      <c r="P9" s="198">
        <v>2899.9</v>
      </c>
    </row>
    <row r="10" spans="1:16">
      <c r="A10" s="18">
        <v>1966</v>
      </c>
      <c r="B10" s="198">
        <v>31085.599999999999</v>
      </c>
      <c r="C10" s="8">
        <f t="shared" si="0"/>
        <v>663.4</v>
      </c>
      <c r="D10" s="198">
        <v>82.6</v>
      </c>
      <c r="E10" s="198">
        <v>102.3</v>
      </c>
      <c r="F10" s="198">
        <v>478.5</v>
      </c>
      <c r="G10" s="198">
        <v>195986.7</v>
      </c>
      <c r="H10" s="8">
        <f t="shared" si="1"/>
        <v>4247.3999999999996</v>
      </c>
      <c r="I10" s="198">
        <v>482.1</v>
      </c>
      <c r="J10" s="198">
        <v>693.4</v>
      </c>
      <c r="K10" s="198">
        <v>3071.9</v>
      </c>
      <c r="L10" s="198">
        <v>171654.8</v>
      </c>
      <c r="M10" s="8">
        <f t="shared" si="2"/>
        <v>4215.6000000000004</v>
      </c>
      <c r="N10" s="198">
        <v>475.2</v>
      </c>
      <c r="O10" s="198">
        <v>647.6</v>
      </c>
      <c r="P10" s="198">
        <v>3092.8</v>
      </c>
    </row>
    <row r="11" spans="1:16">
      <c r="A11" s="18">
        <v>1967</v>
      </c>
      <c r="B11" s="198">
        <v>33769.599999999999</v>
      </c>
      <c r="C11" s="8">
        <f t="shared" si="0"/>
        <v>687.2</v>
      </c>
      <c r="D11" s="198">
        <v>84.7</v>
      </c>
      <c r="E11" s="198">
        <v>104.7</v>
      </c>
      <c r="F11" s="198">
        <v>497.8</v>
      </c>
      <c r="G11" s="198">
        <v>206816.3</v>
      </c>
      <c r="H11" s="8">
        <f t="shared" si="1"/>
        <v>4348.3</v>
      </c>
      <c r="I11" s="198">
        <v>488.5</v>
      </c>
      <c r="J11" s="198">
        <v>696.9</v>
      </c>
      <c r="K11" s="198">
        <v>3162.9</v>
      </c>
      <c r="L11" s="198">
        <v>181558.5</v>
      </c>
      <c r="M11" s="8">
        <f t="shared" si="2"/>
        <v>4328</v>
      </c>
      <c r="N11" s="198">
        <v>482</v>
      </c>
      <c r="O11" s="198">
        <v>650.9</v>
      </c>
      <c r="P11" s="198">
        <v>3195.1</v>
      </c>
    </row>
    <row r="12" spans="1:16">
      <c r="A12" s="18">
        <v>1968</v>
      </c>
      <c r="B12" s="198">
        <v>35585.300000000003</v>
      </c>
      <c r="C12" s="8">
        <f t="shared" si="0"/>
        <v>675.6</v>
      </c>
      <c r="D12" s="198">
        <v>81.900000000000006</v>
      </c>
      <c r="E12" s="198">
        <v>104.9</v>
      </c>
      <c r="F12" s="198">
        <v>488.8</v>
      </c>
      <c r="G12" s="198">
        <v>216334.1</v>
      </c>
      <c r="H12" s="8">
        <f t="shared" si="1"/>
        <v>4277.3999999999996</v>
      </c>
      <c r="I12" s="198">
        <v>472.9</v>
      </c>
      <c r="J12" s="198">
        <v>696.6</v>
      </c>
      <c r="K12" s="198">
        <v>3107.9</v>
      </c>
      <c r="L12" s="198">
        <v>190113.8</v>
      </c>
      <c r="M12" s="8">
        <f t="shared" si="2"/>
        <v>4252.1000000000004</v>
      </c>
      <c r="N12" s="198">
        <v>467.8</v>
      </c>
      <c r="O12" s="198">
        <v>651</v>
      </c>
      <c r="P12" s="198">
        <v>3133.3</v>
      </c>
    </row>
    <row r="13" spans="1:16">
      <c r="A13" s="18">
        <v>1969</v>
      </c>
      <c r="B13" s="198">
        <v>38889</v>
      </c>
      <c r="C13" s="8">
        <f t="shared" si="0"/>
        <v>709.5</v>
      </c>
      <c r="D13" s="198">
        <v>83.4</v>
      </c>
      <c r="E13" s="198">
        <v>117.9</v>
      </c>
      <c r="F13" s="198">
        <v>508.2</v>
      </c>
      <c r="G13" s="198">
        <v>225989.1</v>
      </c>
      <c r="H13" s="8">
        <f t="shared" si="1"/>
        <v>4322.1000000000004</v>
      </c>
      <c r="I13" s="198">
        <v>468.9</v>
      </c>
      <c r="J13" s="198">
        <v>749.2</v>
      </c>
      <c r="K13" s="198">
        <v>3104</v>
      </c>
      <c r="L13" s="198">
        <v>199269.1</v>
      </c>
      <c r="M13" s="8">
        <f t="shared" si="2"/>
        <v>4293.8999999999996</v>
      </c>
      <c r="N13" s="198">
        <v>463.8</v>
      </c>
      <c r="O13" s="198">
        <v>703.7</v>
      </c>
      <c r="P13" s="198">
        <v>3126.4</v>
      </c>
    </row>
    <row r="14" spans="1:16">
      <c r="A14" s="18">
        <v>1970</v>
      </c>
      <c r="B14" s="198">
        <v>43042.9</v>
      </c>
      <c r="C14" s="8">
        <f t="shared" si="0"/>
        <v>781.59999999999991</v>
      </c>
      <c r="D14" s="198">
        <v>86</v>
      </c>
      <c r="E14" s="198">
        <v>129.19999999999999</v>
      </c>
      <c r="F14" s="198">
        <v>566.4</v>
      </c>
      <c r="G14" s="198">
        <v>237666.7</v>
      </c>
      <c r="H14" s="8">
        <f t="shared" si="1"/>
        <v>4463.3999999999996</v>
      </c>
      <c r="I14" s="198">
        <v>465.2</v>
      </c>
      <c r="J14" s="198">
        <v>767.8</v>
      </c>
      <c r="K14" s="198">
        <v>3230.4</v>
      </c>
      <c r="L14" s="198">
        <v>209882.8</v>
      </c>
      <c r="M14" s="8">
        <f t="shared" si="2"/>
        <v>4444.2</v>
      </c>
      <c r="N14" s="198">
        <v>458.5</v>
      </c>
      <c r="O14" s="198">
        <v>727</v>
      </c>
      <c r="P14" s="198">
        <v>3258.7</v>
      </c>
    </row>
    <row r="15" spans="1:16">
      <c r="A15" s="18">
        <v>1971</v>
      </c>
      <c r="B15" s="198">
        <v>47062.1</v>
      </c>
      <c r="C15" s="8">
        <f t="shared" si="0"/>
        <v>824.1</v>
      </c>
      <c r="D15" s="198">
        <v>86.5</v>
      </c>
      <c r="E15" s="198">
        <v>134.4</v>
      </c>
      <c r="F15" s="198">
        <v>603.20000000000005</v>
      </c>
      <c r="G15" s="198">
        <v>248002.5</v>
      </c>
      <c r="H15" s="8">
        <f t="shared" si="1"/>
        <v>4548.3999999999996</v>
      </c>
      <c r="I15" s="198">
        <v>451.8</v>
      </c>
      <c r="J15" s="198">
        <v>768.8</v>
      </c>
      <c r="K15" s="198">
        <v>3327.8</v>
      </c>
      <c r="L15" s="198">
        <v>219236.1</v>
      </c>
      <c r="M15" s="8">
        <f t="shared" si="2"/>
        <v>4530.7</v>
      </c>
      <c r="N15" s="198">
        <v>444.8</v>
      </c>
      <c r="O15" s="198">
        <v>728.5</v>
      </c>
      <c r="P15" s="198">
        <v>3357.4</v>
      </c>
    </row>
    <row r="16" spans="1:16">
      <c r="A16" s="18">
        <v>1972</v>
      </c>
      <c r="B16" s="198">
        <v>51417</v>
      </c>
      <c r="C16" s="8">
        <f t="shared" si="0"/>
        <v>847</v>
      </c>
      <c r="D16" s="198">
        <v>90.2</v>
      </c>
      <c r="E16" s="198">
        <v>148.69999999999999</v>
      </c>
      <c r="F16" s="198">
        <v>608.1</v>
      </c>
      <c r="G16" s="198">
        <v>257670.1</v>
      </c>
      <c r="H16" s="8">
        <f t="shared" si="1"/>
        <v>4518.8</v>
      </c>
      <c r="I16" s="198">
        <v>444.5</v>
      </c>
      <c r="J16" s="198">
        <v>818.3</v>
      </c>
      <c r="K16" s="198">
        <v>3256</v>
      </c>
      <c r="L16" s="198">
        <v>228182.6</v>
      </c>
      <c r="M16" s="8">
        <f t="shared" si="2"/>
        <v>4500.2</v>
      </c>
      <c r="N16" s="198">
        <v>438.4</v>
      </c>
      <c r="O16" s="198">
        <v>780.9</v>
      </c>
      <c r="P16" s="198">
        <v>3280.9</v>
      </c>
    </row>
    <row r="17" spans="1:16">
      <c r="A17" s="18">
        <v>1973</v>
      </c>
      <c r="B17" s="198">
        <v>58917.5</v>
      </c>
      <c r="C17" s="8">
        <f t="shared" si="0"/>
        <v>963.5</v>
      </c>
      <c r="D17" s="198">
        <v>103.1</v>
      </c>
      <c r="E17" s="198">
        <v>194.6</v>
      </c>
      <c r="F17" s="198">
        <v>665.8</v>
      </c>
      <c r="G17" s="198">
        <v>267714.2</v>
      </c>
      <c r="H17" s="8">
        <f t="shared" si="1"/>
        <v>4653.5</v>
      </c>
      <c r="I17" s="198">
        <v>471.2</v>
      </c>
      <c r="J17" s="198">
        <v>951.5</v>
      </c>
      <c r="K17" s="198">
        <v>3230.8</v>
      </c>
      <c r="L17" s="198">
        <v>237860.2</v>
      </c>
      <c r="M17" s="8">
        <f t="shared" si="2"/>
        <v>4640.7</v>
      </c>
      <c r="N17" s="198">
        <v>468.5</v>
      </c>
      <c r="O17" s="198">
        <v>915</v>
      </c>
      <c r="P17" s="198">
        <v>3257.2</v>
      </c>
    </row>
    <row r="18" spans="1:16">
      <c r="A18" s="18">
        <v>1974</v>
      </c>
      <c r="B18" s="198">
        <v>72430.600000000006</v>
      </c>
      <c r="C18" s="8">
        <f t="shared" si="0"/>
        <v>1223.8</v>
      </c>
      <c r="D18" s="198">
        <v>135.19999999999999</v>
      </c>
      <c r="E18" s="198">
        <v>271.10000000000002</v>
      </c>
      <c r="F18" s="198">
        <v>817.5</v>
      </c>
      <c r="G18" s="198">
        <v>278372.2</v>
      </c>
      <c r="H18" s="8">
        <f t="shared" si="1"/>
        <v>5010.8999999999996</v>
      </c>
      <c r="I18" s="198">
        <v>505.1</v>
      </c>
      <c r="J18" s="198">
        <v>1118.9000000000001</v>
      </c>
      <c r="K18" s="198">
        <v>3386.9</v>
      </c>
      <c r="L18" s="198">
        <v>248397.9</v>
      </c>
      <c r="M18" s="8">
        <f t="shared" si="2"/>
        <v>5014.3999999999996</v>
      </c>
      <c r="N18" s="198">
        <v>503.9</v>
      </c>
      <c r="O18" s="198">
        <v>1086.7</v>
      </c>
      <c r="P18" s="198">
        <v>3423.8</v>
      </c>
    </row>
    <row r="19" spans="1:16">
      <c r="A19" s="18">
        <v>1975</v>
      </c>
      <c r="B19" s="198">
        <v>83534.7</v>
      </c>
      <c r="C19" s="8">
        <f t="shared" si="0"/>
        <v>1471.2</v>
      </c>
      <c r="D19" s="198">
        <v>155.9</v>
      </c>
      <c r="E19" s="198">
        <v>325.60000000000002</v>
      </c>
      <c r="F19" s="198">
        <v>989.7</v>
      </c>
      <c r="G19" s="198">
        <v>288820.40000000002</v>
      </c>
      <c r="H19" s="8">
        <f t="shared" si="1"/>
        <v>5352.8</v>
      </c>
      <c r="I19" s="198">
        <v>523.20000000000005</v>
      </c>
      <c r="J19" s="198">
        <v>1212.5999999999999</v>
      </c>
      <c r="K19" s="198">
        <v>3617</v>
      </c>
      <c r="L19" s="198">
        <v>258495.8</v>
      </c>
      <c r="M19" s="8">
        <f t="shared" si="2"/>
        <v>5362</v>
      </c>
      <c r="N19" s="198">
        <v>521.20000000000005</v>
      </c>
      <c r="O19" s="198">
        <v>1177.0999999999999</v>
      </c>
      <c r="P19" s="198">
        <v>3663.7</v>
      </c>
    </row>
    <row r="20" spans="1:16">
      <c r="A20" s="18">
        <v>1976</v>
      </c>
      <c r="B20" s="198">
        <v>90413.4</v>
      </c>
      <c r="C20" s="8">
        <f t="shared" si="0"/>
        <v>1660.4</v>
      </c>
      <c r="D20" s="198">
        <v>161.4</v>
      </c>
      <c r="E20" s="198">
        <v>339.2</v>
      </c>
      <c r="F20" s="198">
        <v>1159.8</v>
      </c>
      <c r="G20" s="198">
        <v>296279.7</v>
      </c>
      <c r="H20" s="8">
        <f t="shared" si="1"/>
        <v>5715.2</v>
      </c>
      <c r="I20" s="198">
        <v>519.20000000000005</v>
      </c>
      <c r="J20" s="198">
        <v>1203.0999999999999</v>
      </c>
      <c r="K20" s="198">
        <v>3992.9</v>
      </c>
      <c r="L20" s="198">
        <v>265789.59999999998</v>
      </c>
      <c r="M20" s="8">
        <f t="shared" si="2"/>
        <v>5733.3</v>
      </c>
      <c r="N20" s="198">
        <v>516</v>
      </c>
      <c r="O20" s="198">
        <v>1167.3</v>
      </c>
      <c r="P20" s="198">
        <v>4050</v>
      </c>
    </row>
    <row r="21" spans="1:16">
      <c r="A21" s="18">
        <v>1977</v>
      </c>
      <c r="B21" s="198">
        <v>98098.2</v>
      </c>
      <c r="C21" s="8">
        <f t="shared" si="0"/>
        <v>1834.3</v>
      </c>
      <c r="D21" s="198">
        <v>175.5</v>
      </c>
      <c r="E21" s="198">
        <v>354.7</v>
      </c>
      <c r="F21" s="198">
        <v>1304.0999999999999</v>
      </c>
      <c r="G21" s="198">
        <v>302940.3</v>
      </c>
      <c r="H21" s="8">
        <f t="shared" si="1"/>
        <v>5887.9</v>
      </c>
      <c r="I21" s="198">
        <v>528.20000000000005</v>
      </c>
      <c r="J21" s="198">
        <v>1186.7</v>
      </c>
      <c r="K21" s="198">
        <v>4173</v>
      </c>
      <c r="L21" s="198">
        <v>272490.40000000002</v>
      </c>
      <c r="M21" s="8">
        <f t="shared" si="2"/>
        <v>5884.6</v>
      </c>
      <c r="N21" s="198">
        <v>524.9</v>
      </c>
      <c r="O21" s="198">
        <v>1143.2</v>
      </c>
      <c r="P21" s="198">
        <v>4216.5</v>
      </c>
    </row>
    <row r="22" spans="1:16">
      <c r="A22" s="18">
        <v>1978</v>
      </c>
      <c r="B22" s="198">
        <v>107912.6</v>
      </c>
      <c r="C22" s="8">
        <f t="shared" si="0"/>
        <v>1943.7</v>
      </c>
      <c r="D22" s="198">
        <v>183.8</v>
      </c>
      <c r="E22" s="198">
        <v>380.7</v>
      </c>
      <c r="F22" s="198">
        <v>1379.2</v>
      </c>
      <c r="G22" s="198">
        <v>308555.90000000002</v>
      </c>
      <c r="H22" s="8">
        <f t="shared" si="1"/>
        <v>5643.6</v>
      </c>
      <c r="I22" s="198">
        <v>511.1</v>
      </c>
      <c r="J22" s="198">
        <v>1161.2</v>
      </c>
      <c r="K22" s="198">
        <v>3971.3</v>
      </c>
      <c r="L22" s="198">
        <v>278577.2</v>
      </c>
      <c r="M22" s="8">
        <f t="shared" si="2"/>
        <v>5617.9</v>
      </c>
      <c r="N22" s="198">
        <v>507</v>
      </c>
      <c r="O22" s="198">
        <v>1112</v>
      </c>
      <c r="P22" s="198">
        <v>3998.9</v>
      </c>
    </row>
    <row r="23" spans="1:16">
      <c r="A23" s="18">
        <v>1979</v>
      </c>
      <c r="B23" s="198">
        <v>121081.3</v>
      </c>
      <c r="C23" s="8">
        <f t="shared" si="0"/>
        <v>2146</v>
      </c>
      <c r="D23" s="198">
        <v>204.1</v>
      </c>
      <c r="E23" s="198">
        <v>418.6</v>
      </c>
      <c r="F23" s="198">
        <v>1523.3</v>
      </c>
      <c r="G23" s="198">
        <v>314820.8</v>
      </c>
      <c r="H23" s="8">
        <f t="shared" si="1"/>
        <v>5563.1</v>
      </c>
      <c r="I23" s="198">
        <v>514.79999999999995</v>
      </c>
      <c r="J23" s="198">
        <v>1144.4000000000001</v>
      </c>
      <c r="K23" s="198">
        <v>3903.9</v>
      </c>
      <c r="L23" s="198">
        <v>284872.8</v>
      </c>
      <c r="M23" s="8">
        <f t="shared" si="2"/>
        <v>5550.3</v>
      </c>
      <c r="N23" s="198">
        <v>512.6</v>
      </c>
      <c r="O23" s="198">
        <v>1095.2</v>
      </c>
      <c r="P23" s="198">
        <v>3942.5</v>
      </c>
    </row>
    <row r="24" spans="1:16">
      <c r="A24" s="18">
        <v>1980</v>
      </c>
      <c r="B24" s="198">
        <v>137420.70000000001</v>
      </c>
      <c r="C24" s="8">
        <f t="shared" si="0"/>
        <v>2488.6999999999998</v>
      </c>
      <c r="D24" s="198">
        <v>232.8</v>
      </c>
      <c r="E24" s="198">
        <v>479.7</v>
      </c>
      <c r="F24" s="198">
        <v>1776.2</v>
      </c>
      <c r="G24" s="198">
        <v>322870.3</v>
      </c>
      <c r="H24" s="8">
        <f t="shared" si="1"/>
        <v>5691.1</v>
      </c>
      <c r="I24" s="198">
        <v>522.1</v>
      </c>
      <c r="J24" s="198">
        <v>1152.0999999999999</v>
      </c>
      <c r="K24" s="198">
        <v>4016.9</v>
      </c>
      <c r="L24" s="198">
        <v>293143.3</v>
      </c>
      <c r="M24" s="8">
        <f t="shared" si="2"/>
        <v>5690.4</v>
      </c>
      <c r="N24" s="198">
        <v>522.5</v>
      </c>
      <c r="O24" s="198">
        <v>1109.8</v>
      </c>
      <c r="P24" s="198">
        <v>4058.1</v>
      </c>
    </row>
    <row r="25" spans="1:16">
      <c r="A25" s="18">
        <v>1981</v>
      </c>
      <c r="B25" s="198">
        <v>156993.4</v>
      </c>
      <c r="C25" s="8">
        <f t="shared" si="0"/>
        <v>3074.2</v>
      </c>
      <c r="D25" s="198">
        <v>273.7</v>
      </c>
      <c r="E25" s="198">
        <v>534</v>
      </c>
      <c r="F25" s="198">
        <v>2266.5</v>
      </c>
      <c r="G25" s="198">
        <v>331578.8</v>
      </c>
      <c r="H25" s="8">
        <f t="shared" si="1"/>
        <v>6331</v>
      </c>
      <c r="I25" s="198">
        <v>533.6</v>
      </c>
      <c r="J25" s="198">
        <v>1170</v>
      </c>
      <c r="K25" s="198">
        <v>4627.3999999999996</v>
      </c>
      <c r="L25" s="198">
        <v>302951.40000000002</v>
      </c>
      <c r="M25" s="8">
        <f t="shared" si="2"/>
        <v>6321</v>
      </c>
      <c r="N25" s="198">
        <v>533</v>
      </c>
      <c r="O25" s="198">
        <v>1121.5999999999999</v>
      </c>
      <c r="P25" s="198">
        <v>4666.3999999999996</v>
      </c>
    </row>
    <row r="26" spans="1:16">
      <c r="A26" s="18">
        <v>1982</v>
      </c>
      <c r="B26" s="198">
        <v>172591.4</v>
      </c>
      <c r="C26" s="8">
        <f t="shared" si="0"/>
        <v>3448.2</v>
      </c>
      <c r="D26" s="198">
        <v>268.2</v>
      </c>
      <c r="E26" s="198">
        <v>563</v>
      </c>
      <c r="F26" s="198">
        <v>2617</v>
      </c>
      <c r="G26" s="198">
        <v>336635.7</v>
      </c>
      <c r="H26" s="8">
        <f t="shared" si="1"/>
        <v>6556.7</v>
      </c>
      <c r="I26" s="198">
        <v>501</v>
      </c>
      <c r="J26" s="198">
        <v>1141</v>
      </c>
      <c r="K26" s="198">
        <v>4914.7</v>
      </c>
      <c r="L26" s="198">
        <v>308520.8</v>
      </c>
      <c r="M26" s="8">
        <f t="shared" si="2"/>
        <v>6552.2</v>
      </c>
      <c r="N26" s="198">
        <v>497.1</v>
      </c>
      <c r="O26" s="198">
        <v>1092.7</v>
      </c>
      <c r="P26" s="198">
        <v>4962.3999999999996</v>
      </c>
    </row>
    <row r="27" spans="1:16">
      <c r="A27" s="18">
        <v>1983</v>
      </c>
      <c r="B27" s="198">
        <v>180911.5</v>
      </c>
      <c r="C27" s="8">
        <f t="shared" si="0"/>
        <v>3366</v>
      </c>
      <c r="D27" s="198">
        <v>259.10000000000002</v>
      </c>
      <c r="E27" s="198">
        <v>553.5</v>
      </c>
      <c r="F27" s="198">
        <v>2553.4</v>
      </c>
      <c r="G27" s="198">
        <v>339639.2</v>
      </c>
      <c r="H27" s="8">
        <f t="shared" si="1"/>
        <v>6261.6</v>
      </c>
      <c r="I27" s="198">
        <v>471.3</v>
      </c>
      <c r="J27" s="198">
        <v>1094</v>
      </c>
      <c r="K27" s="198">
        <v>4696.3</v>
      </c>
      <c r="L27" s="198">
        <v>312937.59999999998</v>
      </c>
      <c r="M27" s="8">
        <f t="shared" si="2"/>
        <v>6220.1</v>
      </c>
      <c r="N27" s="198">
        <v>464.8</v>
      </c>
      <c r="O27" s="198">
        <v>1044.3</v>
      </c>
      <c r="P27" s="198">
        <v>4711</v>
      </c>
    </row>
    <row r="28" spans="1:16">
      <c r="A28" s="18">
        <v>1984</v>
      </c>
      <c r="B28" s="198">
        <v>190769.9</v>
      </c>
      <c r="C28" s="8">
        <f t="shared" si="0"/>
        <v>3439.2000000000003</v>
      </c>
      <c r="D28" s="198">
        <v>267.8</v>
      </c>
      <c r="E28" s="198">
        <v>571.1</v>
      </c>
      <c r="F28" s="198">
        <v>2600.3000000000002</v>
      </c>
      <c r="G28" s="198">
        <v>344436.9</v>
      </c>
      <c r="H28" s="8">
        <f t="shared" si="1"/>
        <v>6132.6</v>
      </c>
      <c r="I28" s="198">
        <v>465.6</v>
      </c>
      <c r="J28" s="198">
        <v>1083.9000000000001</v>
      </c>
      <c r="K28" s="198">
        <v>4583.1000000000004</v>
      </c>
      <c r="L28" s="198">
        <v>318633.3</v>
      </c>
      <c r="M28" s="8">
        <f t="shared" si="2"/>
        <v>6069.0999999999995</v>
      </c>
      <c r="N28" s="198">
        <v>460.2</v>
      </c>
      <c r="O28" s="198">
        <v>1031</v>
      </c>
      <c r="P28" s="198">
        <v>4577.8999999999996</v>
      </c>
    </row>
    <row r="29" spans="1:16">
      <c r="A29" s="18">
        <v>1985</v>
      </c>
      <c r="B29" s="198">
        <v>204693.6</v>
      </c>
      <c r="C29" s="8">
        <f t="shared" si="0"/>
        <v>3748.9</v>
      </c>
      <c r="D29" s="198">
        <v>286</v>
      </c>
      <c r="E29" s="198">
        <v>582</v>
      </c>
      <c r="F29" s="198">
        <v>2880.9</v>
      </c>
      <c r="G29" s="198">
        <v>351815.6</v>
      </c>
      <c r="H29" s="8">
        <f t="shared" si="1"/>
        <v>6293.7</v>
      </c>
      <c r="I29" s="198">
        <v>461.2</v>
      </c>
      <c r="J29" s="198">
        <v>1048.5</v>
      </c>
      <c r="K29" s="198">
        <v>4784</v>
      </c>
      <c r="L29" s="198">
        <v>327085.5</v>
      </c>
      <c r="M29" s="8">
        <f t="shared" si="2"/>
        <v>6235.0999999999995</v>
      </c>
      <c r="N29" s="198">
        <v>458.1</v>
      </c>
      <c r="O29" s="198">
        <v>991.1</v>
      </c>
      <c r="P29" s="198">
        <v>4785.8999999999996</v>
      </c>
    </row>
    <row r="30" spans="1:16">
      <c r="A30" s="18">
        <v>1986</v>
      </c>
      <c r="B30" s="198">
        <v>218879</v>
      </c>
      <c r="C30" s="8">
        <f t="shared" si="0"/>
        <v>3764.7</v>
      </c>
      <c r="D30" s="198">
        <v>285.3</v>
      </c>
      <c r="E30" s="198">
        <v>587.20000000000005</v>
      </c>
      <c r="F30" s="198">
        <v>2892.2</v>
      </c>
      <c r="G30" s="198">
        <v>362281.4</v>
      </c>
      <c r="H30" s="8">
        <f t="shared" si="1"/>
        <v>6114.3</v>
      </c>
      <c r="I30" s="198">
        <v>459</v>
      </c>
      <c r="J30" s="198">
        <v>1019.7</v>
      </c>
      <c r="K30" s="198">
        <v>4635.6000000000004</v>
      </c>
      <c r="L30" s="198">
        <v>338341.3</v>
      </c>
      <c r="M30" s="8">
        <f t="shared" si="2"/>
        <v>6046</v>
      </c>
      <c r="N30" s="198">
        <v>456.9</v>
      </c>
      <c r="O30" s="198">
        <v>961.9</v>
      </c>
      <c r="P30" s="198">
        <v>4627.2</v>
      </c>
    </row>
    <row r="31" spans="1:16">
      <c r="A31" s="18">
        <v>1987</v>
      </c>
      <c r="B31" s="198">
        <v>237339</v>
      </c>
      <c r="C31" s="8">
        <f t="shared" si="0"/>
        <v>3873.5</v>
      </c>
      <c r="D31" s="198">
        <v>295.10000000000002</v>
      </c>
      <c r="E31" s="198">
        <v>653.6</v>
      </c>
      <c r="F31" s="198">
        <v>2924.8</v>
      </c>
      <c r="G31" s="198">
        <v>374670</v>
      </c>
      <c r="H31" s="8">
        <f t="shared" si="1"/>
        <v>6078.5</v>
      </c>
      <c r="I31" s="198">
        <v>447.1</v>
      </c>
      <c r="J31" s="198">
        <v>1077.8</v>
      </c>
      <c r="K31" s="198">
        <v>4553.6000000000004</v>
      </c>
      <c r="L31" s="198">
        <v>351991.7</v>
      </c>
      <c r="M31" s="8">
        <f t="shared" si="2"/>
        <v>6039.7000000000007</v>
      </c>
      <c r="N31" s="198">
        <v>445.2</v>
      </c>
      <c r="O31" s="198">
        <v>1032.9000000000001</v>
      </c>
      <c r="P31" s="198">
        <v>4561.6000000000004</v>
      </c>
    </row>
    <row r="32" spans="1:16">
      <c r="A32" s="18">
        <v>1988</v>
      </c>
      <c r="B32" s="198">
        <v>258917.6</v>
      </c>
      <c r="C32" s="8">
        <f t="shared" si="0"/>
        <v>4180.5</v>
      </c>
      <c r="D32" s="198">
        <v>299.2</v>
      </c>
      <c r="E32" s="198">
        <v>762.7</v>
      </c>
      <c r="F32" s="198">
        <v>3118.6</v>
      </c>
      <c r="G32" s="198">
        <v>390805.1</v>
      </c>
      <c r="H32" s="8">
        <f t="shared" si="1"/>
        <v>6352.3</v>
      </c>
      <c r="I32" s="198">
        <v>435.7</v>
      </c>
      <c r="J32" s="198">
        <v>1200.8</v>
      </c>
      <c r="K32" s="198">
        <v>4715.8</v>
      </c>
      <c r="L32" s="198">
        <v>369171.9</v>
      </c>
      <c r="M32" s="8">
        <f t="shared" si="2"/>
        <v>6368.9</v>
      </c>
      <c r="N32" s="198">
        <v>434.5</v>
      </c>
      <c r="O32" s="198">
        <v>1170.2</v>
      </c>
      <c r="P32" s="198">
        <v>4764.2</v>
      </c>
    </row>
    <row r="33" spans="1:16">
      <c r="A33" s="18">
        <v>1989</v>
      </c>
      <c r="B33" s="198">
        <v>282004.40000000002</v>
      </c>
      <c r="C33" s="8">
        <f t="shared" si="0"/>
        <v>4810.8999999999996</v>
      </c>
      <c r="D33" s="198">
        <v>301.5</v>
      </c>
      <c r="E33" s="198">
        <v>837.8</v>
      </c>
      <c r="F33" s="198">
        <v>3671.6</v>
      </c>
      <c r="G33" s="198">
        <v>406465.7</v>
      </c>
      <c r="H33" s="8">
        <f t="shared" si="1"/>
        <v>6952.5</v>
      </c>
      <c r="I33" s="198">
        <v>422.2</v>
      </c>
      <c r="J33" s="198">
        <v>1259.5999999999999</v>
      </c>
      <c r="K33" s="198">
        <v>5270.7</v>
      </c>
      <c r="L33" s="198">
        <v>386126.1</v>
      </c>
      <c r="M33" s="8">
        <f t="shared" si="2"/>
        <v>7041</v>
      </c>
      <c r="N33" s="198">
        <v>420.8</v>
      </c>
      <c r="O33" s="198">
        <v>1229.8</v>
      </c>
      <c r="P33" s="198">
        <v>5390.4</v>
      </c>
    </row>
    <row r="34" spans="1:16">
      <c r="A34" s="18">
        <v>1990</v>
      </c>
      <c r="B34" s="198">
        <v>298462.09999999998</v>
      </c>
      <c r="C34" s="8">
        <f t="shared" si="0"/>
        <v>5008.7</v>
      </c>
      <c r="D34" s="198">
        <v>294.39999999999998</v>
      </c>
      <c r="E34" s="198">
        <v>828.3</v>
      </c>
      <c r="F34" s="198">
        <v>3886</v>
      </c>
      <c r="G34" s="198">
        <v>418798.1</v>
      </c>
      <c r="H34" s="8">
        <f t="shared" si="1"/>
        <v>7078.3</v>
      </c>
      <c r="I34" s="198">
        <v>414.2</v>
      </c>
      <c r="J34" s="198">
        <v>1222.5999999999999</v>
      </c>
      <c r="K34" s="198">
        <v>5441.5</v>
      </c>
      <c r="L34" s="198">
        <v>399242.3</v>
      </c>
      <c r="M34" s="8">
        <f t="shared" si="2"/>
        <v>7192.5</v>
      </c>
      <c r="N34" s="198">
        <v>413.5</v>
      </c>
      <c r="O34" s="198">
        <v>1190.0999999999999</v>
      </c>
      <c r="P34" s="198">
        <v>5588.9</v>
      </c>
    </row>
    <row r="35" spans="1:16">
      <c r="A35" s="18">
        <v>1991</v>
      </c>
      <c r="B35" s="198">
        <v>298655</v>
      </c>
      <c r="C35" s="8">
        <f t="shared" si="0"/>
        <v>4740.8</v>
      </c>
      <c r="D35" s="198">
        <v>259</v>
      </c>
      <c r="E35" s="198">
        <v>764.6</v>
      </c>
      <c r="F35" s="198">
        <v>3717.2</v>
      </c>
      <c r="G35" s="198">
        <v>429629.8</v>
      </c>
      <c r="H35" s="8">
        <f t="shared" si="1"/>
        <v>6820.8</v>
      </c>
      <c r="I35" s="198">
        <v>380</v>
      </c>
      <c r="J35" s="198">
        <v>1155.2</v>
      </c>
      <c r="K35" s="198">
        <v>5285.6</v>
      </c>
      <c r="L35" s="198">
        <v>410964.3</v>
      </c>
      <c r="M35" s="8">
        <f t="shared" si="2"/>
        <v>6926.1</v>
      </c>
      <c r="N35" s="198">
        <v>377.1</v>
      </c>
      <c r="O35" s="198">
        <v>1120.5</v>
      </c>
      <c r="P35" s="198">
        <v>5428.5</v>
      </c>
    </row>
    <row r="36" spans="1:16">
      <c r="A36" s="18">
        <v>1992</v>
      </c>
      <c r="B36" s="198">
        <v>303186</v>
      </c>
      <c r="C36" s="8">
        <f t="shared" si="0"/>
        <v>4667.8999999999996</v>
      </c>
      <c r="D36" s="198">
        <v>255.2</v>
      </c>
      <c r="E36" s="198">
        <v>728.7</v>
      </c>
      <c r="F36" s="198">
        <v>3684</v>
      </c>
      <c r="G36" s="198">
        <v>434735</v>
      </c>
      <c r="H36" s="8">
        <f t="shared" si="1"/>
        <v>6554.7000000000007</v>
      </c>
      <c r="I36" s="198">
        <v>376.3</v>
      </c>
      <c r="J36" s="198">
        <v>1079.8</v>
      </c>
      <c r="K36" s="198">
        <v>5098.6000000000004</v>
      </c>
      <c r="L36" s="198">
        <v>417456.3</v>
      </c>
      <c r="M36" s="8">
        <f t="shared" si="2"/>
        <v>6643.7</v>
      </c>
      <c r="N36" s="198">
        <v>375.7</v>
      </c>
      <c r="O36" s="198">
        <v>1044.5</v>
      </c>
      <c r="P36" s="198">
        <v>5223.5</v>
      </c>
    </row>
    <row r="37" spans="1:16">
      <c r="A37" s="18">
        <v>1993</v>
      </c>
      <c r="B37" s="198">
        <v>306836.7</v>
      </c>
      <c r="C37" s="8">
        <f t="shared" si="0"/>
        <v>4669.3</v>
      </c>
      <c r="D37" s="198">
        <v>261.5</v>
      </c>
      <c r="E37" s="198">
        <v>717.1</v>
      </c>
      <c r="F37" s="198">
        <v>3690.7</v>
      </c>
      <c r="G37" s="198">
        <v>435589.9</v>
      </c>
      <c r="H37" s="8">
        <f t="shared" si="1"/>
        <v>6323.6</v>
      </c>
      <c r="I37" s="198">
        <v>378.4</v>
      </c>
      <c r="J37" s="198">
        <v>1028.0999999999999</v>
      </c>
      <c r="K37" s="198">
        <v>4917.1000000000004</v>
      </c>
      <c r="L37" s="198">
        <v>419301.6</v>
      </c>
      <c r="M37" s="8">
        <f t="shared" si="2"/>
        <v>6414.2</v>
      </c>
      <c r="N37" s="198">
        <v>379.9</v>
      </c>
      <c r="O37" s="198">
        <v>995.4</v>
      </c>
      <c r="P37" s="198">
        <v>5038.8999999999996</v>
      </c>
    </row>
    <row r="38" spans="1:16">
      <c r="A38" s="18">
        <v>1994</v>
      </c>
      <c r="B38" s="198">
        <v>318911.5</v>
      </c>
      <c r="C38" s="8">
        <f t="shared" si="0"/>
        <v>4760.7999999999993</v>
      </c>
      <c r="D38" s="198">
        <v>262.89999999999998</v>
      </c>
      <c r="E38" s="198">
        <v>774.3</v>
      </c>
      <c r="F38" s="198">
        <v>3723.6</v>
      </c>
      <c r="G38" s="198">
        <v>438815.7</v>
      </c>
      <c r="H38" s="8">
        <f t="shared" si="1"/>
        <v>6198</v>
      </c>
      <c r="I38" s="198">
        <v>367.3</v>
      </c>
      <c r="J38" s="198">
        <v>1067.0999999999999</v>
      </c>
      <c r="K38" s="198">
        <v>4763.6000000000004</v>
      </c>
      <c r="L38" s="198">
        <v>423550.1</v>
      </c>
      <c r="M38" s="8">
        <f t="shared" si="2"/>
        <v>6266.6</v>
      </c>
      <c r="N38" s="198">
        <v>369.1</v>
      </c>
      <c r="O38" s="198">
        <v>1032</v>
      </c>
      <c r="P38" s="198">
        <v>4865.5</v>
      </c>
    </row>
    <row r="39" spans="1:16">
      <c r="A39" s="18">
        <v>1995</v>
      </c>
      <c r="B39" s="198">
        <v>330532.90000000002</v>
      </c>
      <c r="C39" s="8">
        <f t="shared" si="0"/>
        <v>5607.2</v>
      </c>
      <c r="D39" s="198">
        <v>304.5</v>
      </c>
      <c r="E39" s="198">
        <v>928.8</v>
      </c>
      <c r="F39" s="198">
        <v>4373.8999999999996</v>
      </c>
      <c r="G39" s="198">
        <v>442525.1</v>
      </c>
      <c r="H39" s="8">
        <f t="shared" si="1"/>
        <v>6985.5</v>
      </c>
      <c r="I39" s="198">
        <v>398.9</v>
      </c>
      <c r="J39" s="198">
        <v>1204</v>
      </c>
      <c r="K39" s="198">
        <v>5382.6</v>
      </c>
      <c r="L39" s="198">
        <v>428787.1</v>
      </c>
      <c r="M39" s="8">
        <f t="shared" si="2"/>
        <v>7124.8</v>
      </c>
      <c r="N39" s="198">
        <v>409.9</v>
      </c>
      <c r="O39" s="198">
        <v>1196.5999999999999</v>
      </c>
      <c r="P39" s="198">
        <v>5518.3</v>
      </c>
    </row>
    <row r="40" spans="1:16">
      <c r="A40" s="18">
        <v>1996</v>
      </c>
      <c r="B40" s="198">
        <v>343484.9</v>
      </c>
      <c r="C40" s="8">
        <f t="shared" si="0"/>
        <v>5954.5</v>
      </c>
      <c r="D40" s="198">
        <v>320.10000000000002</v>
      </c>
      <c r="E40" s="198">
        <v>958.9</v>
      </c>
      <c r="F40" s="198">
        <v>4675.5</v>
      </c>
      <c r="G40" s="198">
        <v>447808.7</v>
      </c>
      <c r="H40" s="8">
        <f t="shared" si="1"/>
        <v>7203.5</v>
      </c>
      <c r="I40" s="198">
        <v>404.5</v>
      </c>
      <c r="J40" s="198">
        <v>1213.8</v>
      </c>
      <c r="K40" s="198">
        <v>5585.2</v>
      </c>
      <c r="L40" s="198">
        <v>436083.6</v>
      </c>
      <c r="M40" s="8">
        <f t="shared" si="2"/>
        <v>7394.8</v>
      </c>
      <c r="N40" s="198">
        <v>417.3</v>
      </c>
      <c r="O40" s="198">
        <v>1207.2</v>
      </c>
      <c r="P40" s="198">
        <v>5770.3</v>
      </c>
    </row>
    <row r="41" spans="1:16">
      <c r="A41" s="18">
        <v>1997</v>
      </c>
      <c r="B41" s="198">
        <v>360655.8</v>
      </c>
      <c r="C41" s="8">
        <f t="shared" si="0"/>
        <v>5982.3</v>
      </c>
      <c r="D41" s="198">
        <v>325</v>
      </c>
      <c r="E41" s="198">
        <v>1064.7</v>
      </c>
      <c r="F41" s="198">
        <v>4592.6000000000004</v>
      </c>
      <c r="G41" s="198">
        <v>455497.7</v>
      </c>
      <c r="H41" s="8">
        <f t="shared" si="1"/>
        <v>7088.6</v>
      </c>
      <c r="I41" s="198">
        <v>401.4</v>
      </c>
      <c r="J41" s="198">
        <v>1310.5999999999999</v>
      </c>
      <c r="K41" s="198">
        <v>5376.6</v>
      </c>
      <c r="L41" s="198">
        <v>445674.9</v>
      </c>
      <c r="M41" s="8">
        <f t="shared" si="2"/>
        <v>7239.9000000000005</v>
      </c>
      <c r="N41" s="198">
        <v>412.9</v>
      </c>
      <c r="O41" s="198">
        <v>1306.9000000000001</v>
      </c>
      <c r="P41" s="198">
        <v>5520.1</v>
      </c>
    </row>
    <row r="42" spans="1:16">
      <c r="A42" s="18">
        <v>1998</v>
      </c>
      <c r="B42" s="198">
        <v>377126.40000000002</v>
      </c>
      <c r="C42" s="8">
        <f t="shared" si="0"/>
        <v>6111.6</v>
      </c>
      <c r="D42" s="198">
        <v>336.4</v>
      </c>
      <c r="E42" s="198">
        <v>1121.4000000000001</v>
      </c>
      <c r="F42" s="198">
        <v>4653.8</v>
      </c>
      <c r="G42" s="198">
        <v>462757</v>
      </c>
      <c r="H42" s="8">
        <f t="shared" si="1"/>
        <v>6841</v>
      </c>
      <c r="I42" s="198">
        <v>397.9</v>
      </c>
      <c r="J42" s="198">
        <v>1300.7</v>
      </c>
      <c r="K42" s="198">
        <v>5142.3999999999996</v>
      </c>
      <c r="L42" s="198">
        <v>454818.3</v>
      </c>
      <c r="M42" s="8">
        <f t="shared" si="2"/>
        <v>6988.2</v>
      </c>
      <c r="N42" s="198">
        <v>412.6</v>
      </c>
      <c r="O42" s="198">
        <v>1303.9000000000001</v>
      </c>
      <c r="P42" s="198">
        <v>5271.7</v>
      </c>
    </row>
    <row r="43" spans="1:16">
      <c r="A43" s="18">
        <v>1999</v>
      </c>
      <c r="B43" s="198">
        <v>390669.1</v>
      </c>
      <c r="C43" s="8">
        <f t="shared" si="0"/>
        <v>5956.6</v>
      </c>
      <c r="D43" s="198">
        <v>325.10000000000002</v>
      </c>
      <c r="E43" s="198">
        <v>1127.7</v>
      </c>
      <c r="F43" s="198">
        <v>4503.8</v>
      </c>
      <c r="G43" s="198">
        <v>471080.5</v>
      </c>
      <c r="H43" s="8">
        <f t="shared" si="1"/>
        <v>6584.2000000000007</v>
      </c>
      <c r="I43" s="198">
        <v>379</v>
      </c>
      <c r="J43" s="198">
        <v>1289.5999999999999</v>
      </c>
      <c r="K43" s="198">
        <v>4915.6000000000004</v>
      </c>
      <c r="L43" s="198">
        <v>465659.7</v>
      </c>
      <c r="M43" s="8">
        <f t="shared" si="2"/>
        <v>6688</v>
      </c>
      <c r="N43" s="198">
        <v>389.6</v>
      </c>
      <c r="O43" s="198">
        <v>1286.5</v>
      </c>
      <c r="P43" s="198">
        <v>5011.8999999999996</v>
      </c>
    </row>
    <row r="44" spans="1:16">
      <c r="A44" s="18">
        <v>2000</v>
      </c>
      <c r="B44" s="198">
        <v>412880.8</v>
      </c>
      <c r="C44" s="8">
        <f t="shared" si="0"/>
        <v>6112.3</v>
      </c>
      <c r="D44" s="198">
        <v>317.2</v>
      </c>
      <c r="E44" s="198">
        <v>1171.3</v>
      </c>
      <c r="F44" s="198">
        <v>4623.8</v>
      </c>
      <c r="G44" s="198">
        <v>477653.4</v>
      </c>
      <c r="H44" s="8">
        <f t="shared" si="1"/>
        <v>6565.6</v>
      </c>
      <c r="I44" s="198">
        <v>361.9</v>
      </c>
      <c r="J44" s="198">
        <v>1287.5999999999999</v>
      </c>
      <c r="K44" s="198">
        <v>4916.1000000000004</v>
      </c>
      <c r="L44" s="198">
        <v>474551.7</v>
      </c>
      <c r="M44" s="8">
        <f t="shared" si="2"/>
        <v>6634.9</v>
      </c>
      <c r="N44" s="198">
        <v>365.8</v>
      </c>
      <c r="O44" s="198">
        <v>1288.4000000000001</v>
      </c>
      <c r="P44" s="198">
        <v>4980.7</v>
      </c>
    </row>
    <row r="45" spans="1:16">
      <c r="A45" s="18">
        <v>2001</v>
      </c>
      <c r="B45" s="198">
        <v>428076.6</v>
      </c>
      <c r="C45" s="8">
        <f t="shared" si="0"/>
        <v>6103.8</v>
      </c>
      <c r="D45" s="198">
        <v>307.3</v>
      </c>
      <c r="E45" s="198">
        <v>1155.9000000000001</v>
      </c>
      <c r="F45" s="198">
        <v>4640.6000000000004</v>
      </c>
      <c r="G45" s="198">
        <v>483153</v>
      </c>
      <c r="H45" s="8">
        <f t="shared" si="1"/>
        <v>6351.5</v>
      </c>
      <c r="I45" s="198">
        <v>351.3</v>
      </c>
      <c r="J45" s="198">
        <v>1224</v>
      </c>
      <c r="K45" s="198">
        <v>4776.2</v>
      </c>
      <c r="L45" s="198">
        <v>481220.2</v>
      </c>
      <c r="M45" s="8">
        <f t="shared" si="2"/>
        <v>6372.0999999999995</v>
      </c>
      <c r="N45" s="198">
        <v>349.4</v>
      </c>
      <c r="O45" s="198">
        <v>1222.3</v>
      </c>
      <c r="P45" s="198">
        <v>4800.3999999999996</v>
      </c>
    </row>
    <row r="46" spans="1:16">
      <c r="A46" s="18">
        <v>2002</v>
      </c>
      <c r="B46" s="198">
        <v>434703.7</v>
      </c>
      <c r="C46" s="8">
        <f t="shared" si="0"/>
        <v>5858.9</v>
      </c>
      <c r="D46" s="198">
        <v>312.10000000000002</v>
      </c>
      <c r="E46" s="198">
        <v>1123.0999999999999</v>
      </c>
      <c r="F46" s="198">
        <v>4423.7</v>
      </c>
      <c r="G46" s="198">
        <v>487424.5</v>
      </c>
      <c r="H46" s="8">
        <f t="shared" si="1"/>
        <v>6026.3</v>
      </c>
      <c r="I46" s="198">
        <v>353</v>
      </c>
      <c r="J46" s="198">
        <v>1174.7</v>
      </c>
      <c r="K46" s="198">
        <v>4498.6000000000004</v>
      </c>
      <c r="L46" s="198">
        <v>484900.5</v>
      </c>
      <c r="M46" s="8">
        <f t="shared" si="2"/>
        <v>6029.6</v>
      </c>
      <c r="N46" s="198">
        <v>350.8</v>
      </c>
      <c r="O46" s="198">
        <v>1170.2</v>
      </c>
      <c r="P46" s="198">
        <v>4508.6000000000004</v>
      </c>
    </row>
    <row r="47" spans="1:16">
      <c r="A47" s="18">
        <v>2003</v>
      </c>
      <c r="B47" s="198">
        <v>442723.6</v>
      </c>
      <c r="C47" s="8">
        <f t="shared" si="0"/>
        <v>5505.7</v>
      </c>
      <c r="D47" s="198">
        <v>314.8</v>
      </c>
      <c r="E47" s="198">
        <v>1044.5</v>
      </c>
      <c r="F47" s="198">
        <v>4146.3999999999996</v>
      </c>
      <c r="G47" s="198">
        <v>494185</v>
      </c>
      <c r="H47" s="8">
        <f t="shared" si="1"/>
        <v>5815.1</v>
      </c>
      <c r="I47" s="198">
        <v>351</v>
      </c>
      <c r="J47" s="198">
        <v>1116.4000000000001</v>
      </c>
      <c r="K47" s="198">
        <v>4347.7</v>
      </c>
      <c r="L47" s="198">
        <v>491687.7</v>
      </c>
      <c r="M47" s="8">
        <f t="shared" si="2"/>
        <v>5822.5</v>
      </c>
      <c r="N47" s="198">
        <v>350.1</v>
      </c>
      <c r="O47" s="198">
        <v>1115.5999999999999</v>
      </c>
      <c r="P47" s="198">
        <v>4356.8</v>
      </c>
    </row>
    <row r="48" spans="1:16">
      <c r="A48" s="18">
        <v>2004</v>
      </c>
      <c r="B48" s="198">
        <v>462637.5</v>
      </c>
      <c r="C48" s="8">
        <f t="shared" si="0"/>
        <v>5361.9</v>
      </c>
      <c r="D48" s="198">
        <v>307.3</v>
      </c>
      <c r="E48" s="198">
        <v>1075</v>
      </c>
      <c r="F48" s="198">
        <v>3979.6</v>
      </c>
      <c r="G48" s="198">
        <v>503280.6</v>
      </c>
      <c r="H48" s="8">
        <f t="shared" si="1"/>
        <v>5625.5</v>
      </c>
      <c r="I48" s="198">
        <v>336.6</v>
      </c>
      <c r="J48" s="198">
        <v>1132.8</v>
      </c>
      <c r="K48" s="198">
        <v>4156.1000000000004</v>
      </c>
      <c r="L48" s="198">
        <v>501503.4</v>
      </c>
      <c r="M48" s="8">
        <f t="shared" si="2"/>
        <v>5627.7999999999993</v>
      </c>
      <c r="N48" s="198">
        <v>335.9</v>
      </c>
      <c r="O48" s="198">
        <v>1138</v>
      </c>
      <c r="P48" s="198">
        <v>4153.8999999999996</v>
      </c>
    </row>
    <row r="49" spans="1:16">
      <c r="A49" s="18">
        <v>2005</v>
      </c>
      <c r="B49" s="198">
        <v>483963.5</v>
      </c>
      <c r="C49" s="8">
        <f t="shared" si="0"/>
        <v>5211.8</v>
      </c>
      <c r="D49" s="198">
        <v>306.7</v>
      </c>
      <c r="E49" s="198">
        <v>1124.0999999999999</v>
      </c>
      <c r="F49" s="198">
        <v>3781</v>
      </c>
      <c r="G49" s="198">
        <v>514925.6</v>
      </c>
      <c r="H49" s="8">
        <f t="shared" si="1"/>
        <v>5429</v>
      </c>
      <c r="I49" s="198">
        <v>327.2</v>
      </c>
      <c r="J49" s="198">
        <v>1177.0999999999999</v>
      </c>
      <c r="K49" s="198">
        <v>3924.7</v>
      </c>
      <c r="L49" s="198">
        <v>514137.3</v>
      </c>
      <c r="M49" s="8">
        <f t="shared" si="2"/>
        <v>5431.1</v>
      </c>
      <c r="N49" s="198">
        <v>326.7</v>
      </c>
      <c r="O49" s="198">
        <v>1180.4000000000001</v>
      </c>
      <c r="P49" s="198">
        <v>3924</v>
      </c>
    </row>
    <row r="50" spans="1:16">
      <c r="A50" s="18">
        <v>2006</v>
      </c>
      <c r="B50" s="198">
        <v>511615</v>
      </c>
      <c r="C50" s="8">
        <f t="shared" si="0"/>
        <v>5087.6000000000004</v>
      </c>
      <c r="D50" s="198">
        <v>309.39999999999998</v>
      </c>
      <c r="E50" s="198">
        <v>1167.7</v>
      </c>
      <c r="F50" s="198">
        <v>3610.5</v>
      </c>
      <c r="G50" s="198">
        <v>528472.69999999995</v>
      </c>
      <c r="H50" s="8">
        <f t="shared" si="1"/>
        <v>5208.1000000000004</v>
      </c>
      <c r="I50" s="198">
        <v>317.7</v>
      </c>
      <c r="J50" s="198">
        <v>1201.2</v>
      </c>
      <c r="K50" s="198">
        <v>3689.2</v>
      </c>
      <c r="L50" s="198">
        <v>528344.5</v>
      </c>
      <c r="M50" s="8">
        <f t="shared" si="2"/>
        <v>5207.7</v>
      </c>
      <c r="N50" s="198">
        <v>317.8</v>
      </c>
      <c r="O50" s="198">
        <v>1200.9000000000001</v>
      </c>
      <c r="P50" s="198">
        <v>3689</v>
      </c>
    </row>
    <row r="51" spans="1:16">
      <c r="A51" s="18">
        <v>2007</v>
      </c>
      <c r="B51" s="198">
        <v>539562.5</v>
      </c>
      <c r="C51" s="8">
        <f t="shared" si="0"/>
        <v>4963.7999999999993</v>
      </c>
      <c r="D51" s="198">
        <v>299.89999999999998</v>
      </c>
      <c r="E51" s="198">
        <v>1178.8</v>
      </c>
      <c r="F51" s="198">
        <v>3485.1</v>
      </c>
      <c r="G51" s="198">
        <v>539562.5</v>
      </c>
      <c r="H51" s="8">
        <f t="shared" si="1"/>
        <v>4963.7999999999993</v>
      </c>
      <c r="I51" s="198">
        <v>299.89999999999998</v>
      </c>
      <c r="J51" s="198">
        <v>1178.8</v>
      </c>
      <c r="K51" s="198">
        <v>3485.1</v>
      </c>
      <c r="L51" s="198">
        <v>539562.5</v>
      </c>
      <c r="M51" s="8">
        <f t="shared" si="2"/>
        <v>4963.7999999999993</v>
      </c>
      <c r="N51" s="198">
        <v>299.89999999999998</v>
      </c>
      <c r="O51" s="198">
        <v>1178.8</v>
      </c>
      <c r="P51" s="198">
        <v>3485.1</v>
      </c>
    </row>
    <row r="52" spans="1:16">
      <c r="A52" s="18">
        <v>2008</v>
      </c>
      <c r="B52" s="198">
        <v>582345.1</v>
      </c>
      <c r="C52" s="8">
        <f t="shared" si="0"/>
        <v>5039.5</v>
      </c>
      <c r="D52" s="198">
        <v>307.8</v>
      </c>
      <c r="E52" s="198">
        <v>1228.3</v>
      </c>
      <c r="F52" s="198">
        <v>3503.4</v>
      </c>
      <c r="G52" s="198">
        <v>549106.30000000005</v>
      </c>
      <c r="H52" s="8">
        <f t="shared" si="1"/>
        <v>4731.5</v>
      </c>
      <c r="I52" s="198">
        <v>285.8</v>
      </c>
      <c r="J52" s="198">
        <v>1146.5999999999999</v>
      </c>
      <c r="K52" s="198">
        <v>3299.1</v>
      </c>
      <c r="L52" s="198">
        <v>548986</v>
      </c>
      <c r="M52" s="8">
        <f t="shared" si="2"/>
        <v>4732.3</v>
      </c>
      <c r="N52" s="198">
        <v>285.60000000000002</v>
      </c>
      <c r="O52" s="198">
        <v>1146.8</v>
      </c>
      <c r="P52" s="198">
        <v>3299.9</v>
      </c>
    </row>
    <row r="53" spans="1:16">
      <c r="A53" s="18">
        <v>2009</v>
      </c>
      <c r="B53" s="198">
        <v>591626.19999999995</v>
      </c>
      <c r="C53" s="8">
        <f t="shared" si="0"/>
        <v>4711.2000000000007</v>
      </c>
      <c r="D53" s="198">
        <v>301.7</v>
      </c>
      <c r="E53" s="198">
        <v>1135.7</v>
      </c>
      <c r="F53" s="198">
        <v>3273.8</v>
      </c>
      <c r="G53" s="198">
        <v>550717.69999999995</v>
      </c>
      <c r="H53" s="8">
        <f t="shared" si="1"/>
        <v>4332.6000000000004</v>
      </c>
      <c r="I53" s="198">
        <v>276.10000000000002</v>
      </c>
      <c r="J53" s="198">
        <v>1044.3</v>
      </c>
      <c r="K53" s="198">
        <v>3012.2</v>
      </c>
      <c r="L53" s="198">
        <v>550936</v>
      </c>
      <c r="M53" s="8">
        <f t="shared" si="2"/>
        <v>4334.7</v>
      </c>
      <c r="N53" s="198">
        <v>275.5</v>
      </c>
      <c r="O53" s="198">
        <v>1045.0999999999999</v>
      </c>
      <c r="P53" s="198">
        <v>3014.1</v>
      </c>
    </row>
    <row r="54" spans="1:16">
      <c r="A54" s="18">
        <v>2010</v>
      </c>
      <c r="B54" s="198">
        <v>599899.19999999995</v>
      </c>
      <c r="C54" s="8">
        <f t="shared" si="0"/>
        <v>4237.3999999999996</v>
      </c>
      <c r="D54" s="198">
        <v>274.10000000000002</v>
      </c>
      <c r="E54" s="198">
        <v>1046.4000000000001</v>
      </c>
      <c r="F54" s="198">
        <v>2916.9</v>
      </c>
      <c r="G54" s="198">
        <v>561176.69999999995</v>
      </c>
      <c r="H54" s="8">
        <f t="shared" si="1"/>
        <v>4004.2999999999997</v>
      </c>
      <c r="I54" s="198">
        <v>251.1</v>
      </c>
      <c r="J54" s="198">
        <v>987.5</v>
      </c>
      <c r="K54" s="198">
        <v>2765.7</v>
      </c>
      <c r="L54" s="198">
        <v>561565.9</v>
      </c>
      <c r="M54" s="8">
        <f t="shared" si="2"/>
        <v>4008.7999999999997</v>
      </c>
      <c r="N54" s="198">
        <v>250.8</v>
      </c>
      <c r="O54" s="198">
        <v>988.3</v>
      </c>
      <c r="P54" s="198">
        <v>2769.7</v>
      </c>
    </row>
    <row r="55" spans="1:16">
      <c r="A55" s="18">
        <v>2011</v>
      </c>
      <c r="B55" s="198">
        <v>626877.4</v>
      </c>
      <c r="C55" s="8">
        <f t="shared" si="0"/>
        <v>4055.7</v>
      </c>
      <c r="D55" s="198">
        <v>277.39999999999998</v>
      </c>
      <c r="E55" s="198">
        <v>1020.9</v>
      </c>
      <c r="F55" s="198">
        <v>2757.4</v>
      </c>
      <c r="G55" s="198">
        <v>571141.19999999995</v>
      </c>
      <c r="H55" s="8">
        <f t="shared" si="1"/>
        <v>3768.6</v>
      </c>
      <c r="I55" s="198">
        <v>245</v>
      </c>
      <c r="J55" s="198">
        <v>947</v>
      </c>
      <c r="K55" s="198">
        <v>2576.6</v>
      </c>
      <c r="L55" s="198">
        <v>571528.4</v>
      </c>
      <c r="M55" s="8">
        <f t="shared" si="2"/>
        <v>3773.3</v>
      </c>
      <c r="N55" s="198">
        <v>243.6</v>
      </c>
      <c r="O55" s="198">
        <v>946.3</v>
      </c>
      <c r="P55" s="198">
        <v>2583.4</v>
      </c>
    </row>
    <row r="56" spans="1:16">
      <c r="A56" s="18">
        <v>2012</v>
      </c>
      <c r="B56" s="198">
        <v>650340.19999999995</v>
      </c>
      <c r="C56" s="8">
        <f t="shared" si="0"/>
        <v>4009</v>
      </c>
      <c r="D56" s="198">
        <v>292</v>
      </c>
      <c r="E56" s="198">
        <v>1034.5</v>
      </c>
      <c r="F56" s="198">
        <v>2682.5</v>
      </c>
      <c r="G56" s="198">
        <v>579180.4</v>
      </c>
      <c r="H56" s="8">
        <f t="shared" si="1"/>
        <v>3660.2</v>
      </c>
      <c r="I56" s="198">
        <v>251.9</v>
      </c>
      <c r="J56" s="198">
        <v>945.6</v>
      </c>
      <c r="K56" s="198">
        <v>2462.6999999999998</v>
      </c>
      <c r="L56" s="198">
        <v>579592.19999999995</v>
      </c>
      <c r="M56" s="8">
        <f t="shared" si="2"/>
        <v>3658.1</v>
      </c>
      <c r="N56" s="198">
        <v>247.8</v>
      </c>
      <c r="O56" s="198">
        <v>942.2</v>
      </c>
      <c r="P56" s="198">
        <v>2468.1</v>
      </c>
    </row>
    <row r="57" spans="1:16">
      <c r="A57" s="18">
        <v>2013</v>
      </c>
      <c r="B57" s="198">
        <v>667667.19999999995</v>
      </c>
      <c r="C57" s="8">
        <f t="shared" si="0"/>
        <v>3939.6</v>
      </c>
      <c r="D57" s="198">
        <v>290</v>
      </c>
      <c r="E57" s="198">
        <v>996.4</v>
      </c>
      <c r="F57" s="198">
        <v>2653.2</v>
      </c>
      <c r="G57" s="198">
        <v>587590.69999999995</v>
      </c>
      <c r="H57" s="8">
        <f t="shared" si="1"/>
        <v>3556.8</v>
      </c>
      <c r="I57" s="198">
        <v>246.4</v>
      </c>
      <c r="J57" s="198">
        <v>901</v>
      </c>
      <c r="K57" s="198">
        <v>2409.4</v>
      </c>
      <c r="L57" s="198">
        <v>588082.19999999995</v>
      </c>
      <c r="M57" s="8">
        <f t="shared" si="2"/>
        <v>3549.3</v>
      </c>
      <c r="N57" s="198">
        <v>241.9</v>
      </c>
      <c r="O57" s="198">
        <v>897.7</v>
      </c>
      <c r="P57" s="198">
        <v>2409.6999999999998</v>
      </c>
    </row>
    <row r="58" spans="1:16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</row>
    <row r="60" spans="1:16" ht="30">
      <c r="A60" s="130" t="s">
        <v>282</v>
      </c>
      <c r="B60" s="7">
        <f>((B5/B44)^(1/39)-1)*100</f>
        <v>-7.4266390848223285</v>
      </c>
      <c r="C60" s="7">
        <f t="shared" ref="C60:P60" si="3">((C5/C44)^(1/39)-1)*100</f>
        <v>-6.4956101032093922</v>
      </c>
      <c r="D60" s="7">
        <f t="shared" si="3"/>
        <v>-4.1962769339319639</v>
      </c>
      <c r="E60" s="7">
        <f t="shared" si="3"/>
        <v>-6.8528174993018887</v>
      </c>
      <c r="F60" s="7">
        <f t="shared" si="3"/>
        <v>-6.6776893064119713</v>
      </c>
      <c r="G60" s="7">
        <f t="shared" si="3"/>
        <v>-2.8839872553424906</v>
      </c>
      <c r="H60" s="7">
        <f t="shared" si="3"/>
        <v>-1.6776519442418203</v>
      </c>
      <c r="I60" s="7">
        <f t="shared" si="3"/>
        <v>0.59834396789233413</v>
      </c>
      <c r="J60" s="7">
        <f t="shared" si="3"/>
        <v>-1.9939813442389376</v>
      </c>
      <c r="K60" s="7">
        <f t="shared" si="3"/>
        <v>-1.8744468957947902</v>
      </c>
      <c r="L60" s="7">
        <f t="shared" si="3"/>
        <v>-3.2093391099993651</v>
      </c>
      <c r="M60" s="7">
        <f t="shared" si="3"/>
        <v>-1.747703923850763</v>
      </c>
      <c r="N60" s="7">
        <f t="shared" si="3"/>
        <v>0.49160771406615567</v>
      </c>
      <c r="O60" s="7">
        <f t="shared" si="3"/>
        <v>-2.1911433038909633</v>
      </c>
      <c r="P60" s="7">
        <f t="shared" si="3"/>
        <v>-1.9077161723280556</v>
      </c>
    </row>
    <row r="61" spans="1:16" ht="30">
      <c r="A61" s="130" t="s">
        <v>68</v>
      </c>
      <c r="B61" s="7">
        <f>((B51/B44)^(1/7)-1)*100</f>
        <v>3.8968638960156232</v>
      </c>
      <c r="C61" s="7">
        <f t="shared" ref="C61:P61" si="4">((C51/C44)^(1/7)-1)*100</f>
        <v>-2.9295400277165706</v>
      </c>
      <c r="D61" s="7">
        <f t="shared" si="4"/>
        <v>-0.79799050118817272</v>
      </c>
      <c r="E61" s="7">
        <f t="shared" si="4"/>
        <v>9.1223423101838286E-2</v>
      </c>
      <c r="F61" s="7">
        <f t="shared" si="4"/>
        <v>-3.9583842806399039</v>
      </c>
      <c r="G61" s="7">
        <f t="shared" si="4"/>
        <v>1.7562911466760145</v>
      </c>
      <c r="H61" s="7">
        <f t="shared" si="4"/>
        <v>-3.9165583991106701</v>
      </c>
      <c r="I61" s="7">
        <f t="shared" si="4"/>
        <v>-2.6488410500510984</v>
      </c>
      <c r="J61" s="7">
        <f t="shared" si="4"/>
        <v>-1.2532667809523557</v>
      </c>
      <c r="K61" s="7">
        <f t="shared" si="4"/>
        <v>-4.7957442703647217</v>
      </c>
      <c r="L61" s="7">
        <f t="shared" si="4"/>
        <v>1.8510382975326367</v>
      </c>
      <c r="M61" s="7">
        <f t="shared" si="4"/>
        <v>-4.0605713928064109</v>
      </c>
      <c r="N61" s="7">
        <f t="shared" si="4"/>
        <v>-2.7977967086075362</v>
      </c>
      <c r="O61" s="7">
        <f t="shared" si="4"/>
        <v>-1.262028303185514</v>
      </c>
      <c r="P61" s="7">
        <f t="shared" si="4"/>
        <v>-4.9731335197977122</v>
      </c>
    </row>
    <row r="62" spans="1:16" ht="30">
      <c r="A62" s="130" t="s">
        <v>69</v>
      </c>
      <c r="B62" s="7">
        <f>((B57/B51)^(1/6)-1)*100</f>
        <v>3.6143039477710692</v>
      </c>
      <c r="C62" s="7">
        <f t="shared" ref="C62:P62" si="5">((C57/C51)^(1/6)-1)*100</f>
        <v>-3.7783110487945137</v>
      </c>
      <c r="D62" s="7">
        <f t="shared" si="5"/>
        <v>-0.55790726418410985</v>
      </c>
      <c r="E62" s="7">
        <f t="shared" si="5"/>
        <v>-2.7628401482427067</v>
      </c>
      <c r="F62" s="7">
        <f t="shared" si="5"/>
        <v>-4.4437442597497157</v>
      </c>
      <c r="G62" s="7">
        <f t="shared" si="5"/>
        <v>1.4313469095197151</v>
      </c>
      <c r="H62" s="7">
        <f t="shared" si="5"/>
        <v>-5.403690157867624</v>
      </c>
      <c r="I62" s="7">
        <f t="shared" si="5"/>
        <v>-3.2218372921159255</v>
      </c>
      <c r="J62" s="7">
        <f t="shared" si="5"/>
        <v>-4.3802852103590917</v>
      </c>
      <c r="K62" s="7">
        <f t="shared" si="5"/>
        <v>-5.9665701957092088</v>
      </c>
      <c r="L62" s="7">
        <f t="shared" si="5"/>
        <v>1.4454826394169062</v>
      </c>
      <c r="M62" s="7">
        <f t="shared" si="5"/>
        <v>-5.4369642839431576</v>
      </c>
      <c r="N62" s="7">
        <f t="shared" si="5"/>
        <v>-3.5186806283244887</v>
      </c>
      <c r="O62" s="7">
        <f t="shared" si="5"/>
        <v>-4.4387439020186488</v>
      </c>
      <c r="P62" s="7">
        <f t="shared" si="5"/>
        <v>-5.9646189100839848</v>
      </c>
    </row>
    <row r="63" spans="1:16" ht="30">
      <c r="A63" s="130" t="s">
        <v>15</v>
      </c>
      <c r="B63" s="7">
        <f>((B57/B44)^(1/13)-1)*100</f>
        <v>3.7663559902418209</v>
      </c>
      <c r="C63" s="7">
        <f t="shared" ref="C63:P63" si="6">((C57/C44)^(1/13)-1)*100</f>
        <v>-3.3222068603865451</v>
      </c>
      <c r="D63" s="7">
        <f t="shared" si="6"/>
        <v>-0.68725496363748473</v>
      </c>
      <c r="E63" s="7">
        <f t="shared" si="6"/>
        <v>-1.2362999180061673</v>
      </c>
      <c r="F63" s="7">
        <f t="shared" si="6"/>
        <v>-4.1827021613730198</v>
      </c>
      <c r="G63" s="7">
        <f t="shared" si="6"/>
        <v>1.6061877313930495</v>
      </c>
      <c r="H63" s="7">
        <f t="shared" si="6"/>
        <v>-4.6058099411384053</v>
      </c>
      <c r="I63" s="7">
        <f t="shared" si="6"/>
        <v>-2.9137212019125447</v>
      </c>
      <c r="J63" s="7">
        <f t="shared" si="6"/>
        <v>-2.7090146778616209</v>
      </c>
      <c r="K63" s="7">
        <f t="shared" si="6"/>
        <v>-5.3379260477315889</v>
      </c>
      <c r="L63" s="7">
        <f t="shared" si="6"/>
        <v>1.6636576888794607</v>
      </c>
      <c r="M63" s="7">
        <f t="shared" si="6"/>
        <v>-4.6983015619870949</v>
      </c>
      <c r="N63" s="7">
        <f t="shared" si="6"/>
        <v>-3.1311792374827285</v>
      </c>
      <c r="O63" s="7">
        <f t="shared" si="6"/>
        <v>-2.7411186895520245</v>
      </c>
      <c r="P63" s="7">
        <f t="shared" si="6"/>
        <v>-5.4320345461284836</v>
      </c>
    </row>
    <row r="64" spans="1:16">
      <c r="A64" s="1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2"/>
      <c r="M64" s="132"/>
      <c r="N64" s="12"/>
      <c r="O64" s="12"/>
      <c r="P64" s="12"/>
    </row>
    <row r="65" spans="1:11">
      <c r="A65" s="53" t="s">
        <v>41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</row>
    <row r="66" spans="1:11">
      <c r="A66" s="53" t="s">
        <v>57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</row>
    <row r="67" spans="1:11">
      <c r="A67" s="53" t="s">
        <v>60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</row>
    <row r="68" spans="1:11">
      <c r="A68" s="53" t="s">
        <v>55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</row>
    <row r="69" spans="1:11">
      <c r="A69" s="53" t="s">
        <v>59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</row>
    <row r="70" spans="1:11">
      <c r="A70" s="53" t="s">
        <v>58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  <row r="71" spans="1:11">
      <c r="A71" s="40" t="s">
        <v>61</v>
      </c>
    </row>
  </sheetData>
  <mergeCells count="5">
    <mergeCell ref="A1:P1"/>
    <mergeCell ref="L2:P2"/>
    <mergeCell ref="G2:K2"/>
    <mergeCell ref="A59:P59"/>
    <mergeCell ref="B2:F2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6384" width="9.140625" style="181"/>
  </cols>
  <sheetData>
    <row r="1" spans="1:11">
      <c r="A1" s="454" t="s">
        <v>347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226</v>
      </c>
      <c r="C2" s="454"/>
      <c r="D2" s="454"/>
      <c r="E2" s="454"/>
      <c r="F2" s="454"/>
      <c r="G2" s="454" t="s">
        <v>240</v>
      </c>
      <c r="H2" s="454"/>
      <c r="I2" s="454"/>
      <c r="J2" s="454"/>
      <c r="K2" s="454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  <c r="G4" s="9"/>
      <c r="H4" s="9"/>
      <c r="I4" s="9"/>
      <c r="J4" s="9"/>
      <c r="K4" s="9"/>
    </row>
    <row r="5" spans="1:11">
      <c r="A5" s="130">
        <v>1961</v>
      </c>
      <c r="B5" s="8">
        <f>'6A'!B5</f>
        <v>13900.1</v>
      </c>
      <c r="C5" s="8">
        <f>'6A'!C5</f>
        <v>521.6</v>
      </c>
      <c r="D5" s="8">
        <f>'6A'!D5</f>
        <v>109.3</v>
      </c>
      <c r="E5" s="8">
        <f>'6A'!E5</f>
        <v>55.3</v>
      </c>
      <c r="F5" s="8">
        <f>'6A'!F5</f>
        <v>357</v>
      </c>
      <c r="G5" s="62">
        <f>B5/$B5*100</f>
        <v>100</v>
      </c>
      <c r="H5" s="62">
        <f t="shared" ref="H5:K5" si="0">C5/$B5*100</f>
        <v>3.7524909892734581</v>
      </c>
      <c r="I5" s="62">
        <f t="shared" si="0"/>
        <v>0.78632527823540832</v>
      </c>
      <c r="J5" s="62">
        <f t="shared" si="0"/>
        <v>0.39783886446860089</v>
      </c>
      <c r="K5" s="62">
        <f t="shared" si="0"/>
        <v>2.5683268465694491</v>
      </c>
    </row>
    <row r="6" spans="1:11">
      <c r="A6" s="130">
        <v>1962</v>
      </c>
      <c r="B6" s="8">
        <f>'6A'!B6</f>
        <v>14652.6</v>
      </c>
      <c r="C6" s="8">
        <f>'6A'!C6</f>
        <v>534.79999999999995</v>
      </c>
      <c r="D6" s="8">
        <f>'6A'!D6</f>
        <v>112.3</v>
      </c>
      <c r="E6" s="8">
        <f>'6A'!E6</f>
        <v>55.7</v>
      </c>
      <c r="F6" s="8">
        <f>'6A'!F6</f>
        <v>366.8</v>
      </c>
      <c r="G6" s="62">
        <f t="shared" ref="G6:G57" si="1">B6/$B6*100</f>
        <v>100</v>
      </c>
      <c r="H6" s="62">
        <f t="shared" ref="H6:H57" si="2">C6/$B6*100</f>
        <v>3.6498641879256923</v>
      </c>
      <c r="I6" s="62">
        <f t="shared" ref="I6:I57" si="3">D6/$B6*100</f>
        <v>0.7664168816455782</v>
      </c>
      <c r="J6" s="62">
        <f t="shared" ref="J6:J57" si="4">E6/$B6*100</f>
        <v>0.38013731351432511</v>
      </c>
      <c r="K6" s="62">
        <f t="shared" ref="K6:K57" si="5">F6/$B6*100</f>
        <v>2.5033099927657889</v>
      </c>
    </row>
    <row r="7" spans="1:11">
      <c r="A7" s="130">
        <v>1963</v>
      </c>
      <c r="B7" s="8">
        <f>'6A'!B7</f>
        <v>15707.5</v>
      </c>
      <c r="C7" s="8">
        <f>'6A'!C7</f>
        <v>574.09999999999991</v>
      </c>
      <c r="D7" s="8">
        <f>'6A'!D7</f>
        <v>115.6</v>
      </c>
      <c r="E7" s="8">
        <f>'6A'!E7</f>
        <v>59.3</v>
      </c>
      <c r="F7" s="8">
        <f>'6A'!F7</f>
        <v>399.2</v>
      </c>
      <c r="G7" s="62">
        <f t="shared" si="1"/>
        <v>100</v>
      </c>
      <c r="H7" s="62">
        <f t="shared" si="2"/>
        <v>3.6549419067324522</v>
      </c>
      <c r="I7" s="62">
        <f t="shared" si="3"/>
        <v>0.73595416202451047</v>
      </c>
      <c r="J7" s="62">
        <f t="shared" si="4"/>
        <v>0.37752665923921691</v>
      </c>
      <c r="K7" s="62">
        <f t="shared" si="5"/>
        <v>2.5414610854687254</v>
      </c>
    </row>
    <row r="8" spans="1:11">
      <c r="A8" s="130">
        <v>1964</v>
      </c>
      <c r="B8" s="8">
        <f>'6A'!B8</f>
        <v>17278.400000000001</v>
      </c>
      <c r="C8" s="8">
        <f>'6A'!C8</f>
        <v>648.79999999999995</v>
      </c>
      <c r="D8" s="8">
        <f>'6A'!D8</f>
        <v>129.80000000000001</v>
      </c>
      <c r="E8" s="8">
        <f>'6A'!E8</f>
        <v>66.7</v>
      </c>
      <c r="F8" s="8">
        <f>'6A'!F8</f>
        <v>452.3</v>
      </c>
      <c r="G8" s="62">
        <f t="shared" si="1"/>
        <v>100</v>
      </c>
      <c r="H8" s="62">
        <f t="shared" si="2"/>
        <v>3.7549773127141397</v>
      </c>
      <c r="I8" s="62">
        <f t="shared" si="3"/>
        <v>0.75122696545976475</v>
      </c>
      <c r="J8" s="62">
        <f t="shared" si="4"/>
        <v>0.38603111399203632</v>
      </c>
      <c r="K8" s="62">
        <f t="shared" si="5"/>
        <v>2.6177192332623389</v>
      </c>
    </row>
    <row r="9" spans="1:11">
      <c r="A9" s="130">
        <v>1965</v>
      </c>
      <c r="B9" s="8">
        <f>'6A'!B9</f>
        <v>19210.8</v>
      </c>
      <c r="C9" s="8">
        <f>'6A'!C9</f>
        <v>721.8</v>
      </c>
      <c r="D9" s="8">
        <f>'6A'!D9</f>
        <v>131.6</v>
      </c>
      <c r="E9" s="8">
        <f>'6A'!E9</f>
        <v>72.3</v>
      </c>
      <c r="F9" s="8">
        <f>'6A'!F9</f>
        <v>517.9</v>
      </c>
      <c r="G9" s="62">
        <f t="shared" si="1"/>
        <v>100</v>
      </c>
      <c r="H9" s="62">
        <f t="shared" si="2"/>
        <v>3.7572615403835345</v>
      </c>
      <c r="I9" s="62">
        <f t="shared" si="3"/>
        <v>0.68503133653986303</v>
      </c>
      <c r="J9" s="62">
        <f t="shared" si="4"/>
        <v>0.37635080267349613</v>
      </c>
      <c r="K9" s="62">
        <f t="shared" si="5"/>
        <v>2.695879401170175</v>
      </c>
    </row>
    <row r="10" spans="1:11">
      <c r="A10" s="130">
        <v>1966</v>
      </c>
      <c r="B10" s="8">
        <f>'6A'!B10</f>
        <v>21556.400000000001</v>
      </c>
      <c r="C10" s="8">
        <f>'6A'!C10</f>
        <v>820.8</v>
      </c>
      <c r="D10" s="8">
        <f>'6A'!D10</f>
        <v>140.5</v>
      </c>
      <c r="E10" s="8">
        <f>'6A'!E10</f>
        <v>81.7</v>
      </c>
      <c r="F10" s="8">
        <f>'6A'!F10</f>
        <v>598.6</v>
      </c>
      <c r="G10" s="62">
        <f t="shared" si="1"/>
        <v>100</v>
      </c>
      <c r="H10" s="62">
        <f t="shared" si="2"/>
        <v>3.8076858844705046</v>
      </c>
      <c r="I10" s="62">
        <f t="shared" si="3"/>
        <v>0.65177859011708816</v>
      </c>
      <c r="J10" s="62">
        <f t="shared" si="4"/>
        <v>0.3790057709079438</v>
      </c>
      <c r="K10" s="62">
        <f t="shared" si="5"/>
        <v>2.7769015234454733</v>
      </c>
    </row>
    <row r="11" spans="1:11">
      <c r="A11" s="130">
        <v>1967</v>
      </c>
      <c r="B11" s="8">
        <f>'6A'!B11</f>
        <v>23063.5</v>
      </c>
      <c r="C11" s="8">
        <f>'6A'!C11</f>
        <v>897.9</v>
      </c>
      <c r="D11" s="8">
        <f>'6A'!D11</f>
        <v>143.80000000000001</v>
      </c>
      <c r="E11" s="8">
        <f>'6A'!E11</f>
        <v>89.1</v>
      </c>
      <c r="F11" s="8">
        <f>'6A'!F11</f>
        <v>665</v>
      </c>
      <c r="G11" s="62">
        <f t="shared" si="1"/>
        <v>100</v>
      </c>
      <c r="H11" s="62">
        <f t="shared" si="2"/>
        <v>3.8931645240314783</v>
      </c>
      <c r="I11" s="62">
        <f t="shared" si="3"/>
        <v>0.62349600017343432</v>
      </c>
      <c r="J11" s="62">
        <f t="shared" si="4"/>
        <v>0.38632471220760073</v>
      </c>
      <c r="K11" s="62">
        <f t="shared" si="5"/>
        <v>2.8833438116504433</v>
      </c>
    </row>
    <row r="12" spans="1:11">
      <c r="A12" s="130">
        <v>1968</v>
      </c>
      <c r="B12" s="8">
        <f>'6A'!B12</f>
        <v>24032.6</v>
      </c>
      <c r="C12" s="8">
        <f>'6A'!C12</f>
        <v>920.2</v>
      </c>
      <c r="D12" s="8">
        <f>'6A'!D12</f>
        <v>142.19999999999999</v>
      </c>
      <c r="E12" s="8">
        <f>'6A'!E12</f>
        <v>91.5</v>
      </c>
      <c r="F12" s="8">
        <f>'6A'!F12</f>
        <v>686.5</v>
      </c>
      <c r="G12" s="62">
        <f t="shared" si="1"/>
        <v>100</v>
      </c>
      <c r="H12" s="62">
        <f t="shared" si="2"/>
        <v>3.8289656549853119</v>
      </c>
      <c r="I12" s="62">
        <f t="shared" si="3"/>
        <v>0.59169627922072521</v>
      </c>
      <c r="J12" s="62">
        <f t="shared" si="4"/>
        <v>0.38073283789519236</v>
      </c>
      <c r="K12" s="62">
        <f t="shared" si="5"/>
        <v>2.8565365378693941</v>
      </c>
    </row>
    <row r="13" spans="1:11">
      <c r="A13" s="130">
        <v>1969</v>
      </c>
      <c r="B13" s="8">
        <f>'6A'!B13</f>
        <v>25932.9</v>
      </c>
      <c r="C13" s="8">
        <f>'6A'!C13</f>
        <v>984.4</v>
      </c>
      <c r="D13" s="8">
        <f>'6A'!D13</f>
        <v>148.19999999999999</v>
      </c>
      <c r="E13" s="8">
        <f>'6A'!E13</f>
        <v>101.7</v>
      </c>
      <c r="F13" s="8">
        <f>'6A'!F13</f>
        <v>734.5</v>
      </c>
      <c r="G13" s="62">
        <f t="shared" si="1"/>
        <v>100</v>
      </c>
      <c r="H13" s="62">
        <f t="shared" si="2"/>
        <v>3.7959503179359033</v>
      </c>
      <c r="I13" s="62">
        <f t="shared" si="3"/>
        <v>0.57147484469534837</v>
      </c>
      <c r="J13" s="62">
        <f t="shared" si="4"/>
        <v>0.39216593593466209</v>
      </c>
      <c r="K13" s="62">
        <f t="shared" si="5"/>
        <v>2.8323095373058931</v>
      </c>
    </row>
    <row r="14" spans="1:11">
      <c r="A14" s="130">
        <v>1970</v>
      </c>
      <c r="B14" s="8">
        <f>'6A'!B14</f>
        <v>27779.1</v>
      </c>
      <c r="C14" s="8">
        <f>'6A'!C14</f>
        <v>1031.3</v>
      </c>
      <c r="D14" s="8">
        <f>'6A'!D14</f>
        <v>145.9</v>
      </c>
      <c r="E14" s="8">
        <f>'6A'!E14</f>
        <v>110.5</v>
      </c>
      <c r="F14" s="8">
        <f>'6A'!F14</f>
        <v>774.9</v>
      </c>
      <c r="G14" s="62">
        <f t="shared" si="1"/>
        <v>100</v>
      </c>
      <c r="H14" s="62">
        <f t="shared" si="2"/>
        <v>3.7125032848436414</v>
      </c>
      <c r="I14" s="62">
        <f t="shared" si="3"/>
        <v>0.52521499976601116</v>
      </c>
      <c r="J14" s="62">
        <f t="shared" si="4"/>
        <v>0.39778106562127646</v>
      </c>
      <c r="K14" s="62">
        <f t="shared" si="5"/>
        <v>2.7895072194563539</v>
      </c>
    </row>
    <row r="15" spans="1:11">
      <c r="A15" s="130">
        <v>1971</v>
      </c>
      <c r="B15" s="8">
        <f>'6A'!B15</f>
        <v>30312.5</v>
      </c>
      <c r="C15" s="8">
        <f>'6A'!C15</f>
        <v>1037</v>
      </c>
      <c r="D15" s="8">
        <f>'6A'!D15</f>
        <v>151.1</v>
      </c>
      <c r="E15" s="8">
        <f>'6A'!E15</f>
        <v>119.6</v>
      </c>
      <c r="F15" s="8">
        <f>'6A'!F15</f>
        <v>766.3</v>
      </c>
      <c r="G15" s="62">
        <f t="shared" si="1"/>
        <v>100</v>
      </c>
      <c r="H15" s="62">
        <f t="shared" si="2"/>
        <v>3.4210309278350519</v>
      </c>
      <c r="I15" s="62">
        <f t="shared" si="3"/>
        <v>0.49847422680412373</v>
      </c>
      <c r="J15" s="62">
        <f t="shared" si="4"/>
        <v>0.39455670103092783</v>
      </c>
      <c r="K15" s="62">
        <f t="shared" si="5"/>
        <v>2.5279999999999996</v>
      </c>
    </row>
    <row r="16" spans="1:11">
      <c r="A16" s="130">
        <v>1972</v>
      </c>
      <c r="B16" s="8">
        <f>'6A'!B16</f>
        <v>33418.9</v>
      </c>
      <c r="C16" s="8">
        <f>'6A'!C16</f>
        <v>1087.4000000000001</v>
      </c>
      <c r="D16" s="8">
        <f>'6A'!D16</f>
        <v>155.30000000000001</v>
      </c>
      <c r="E16" s="8">
        <f>'6A'!E16</f>
        <v>144.4</v>
      </c>
      <c r="F16" s="8">
        <f>'6A'!F16</f>
        <v>787.7</v>
      </c>
      <c r="G16" s="62">
        <f t="shared" si="1"/>
        <v>100</v>
      </c>
      <c r="H16" s="62">
        <f t="shared" si="2"/>
        <v>3.2538473737914777</v>
      </c>
      <c r="I16" s="62">
        <f t="shared" si="3"/>
        <v>0.46470709688230311</v>
      </c>
      <c r="J16" s="62">
        <f t="shared" si="4"/>
        <v>0.43209082285772421</v>
      </c>
      <c r="K16" s="62">
        <f t="shared" si="5"/>
        <v>2.3570494540514497</v>
      </c>
    </row>
    <row r="17" spans="1:11">
      <c r="A17" s="130">
        <v>1973</v>
      </c>
      <c r="B17" s="8">
        <f>'6A'!B17</f>
        <v>38163.1</v>
      </c>
      <c r="C17" s="8">
        <f>'6A'!C17</f>
        <v>1296.5</v>
      </c>
      <c r="D17" s="8">
        <f>'6A'!D17</f>
        <v>172.1</v>
      </c>
      <c r="E17" s="8">
        <f>'6A'!E17</f>
        <v>197.2</v>
      </c>
      <c r="F17" s="8">
        <f>'6A'!F17</f>
        <v>927.2</v>
      </c>
      <c r="G17" s="62">
        <f t="shared" si="1"/>
        <v>100</v>
      </c>
      <c r="H17" s="62">
        <f t="shared" si="2"/>
        <v>3.3972607047121435</v>
      </c>
      <c r="I17" s="62">
        <f t="shared" si="3"/>
        <v>0.45095917260390267</v>
      </c>
      <c r="J17" s="62">
        <f t="shared" si="4"/>
        <v>0.51672951096740039</v>
      </c>
      <c r="K17" s="62">
        <f t="shared" si="5"/>
        <v>2.4295720211408405</v>
      </c>
    </row>
    <row r="18" spans="1:11">
      <c r="A18" s="130">
        <v>1974</v>
      </c>
      <c r="B18" s="8">
        <f>'6A'!B18</f>
        <v>47646</v>
      </c>
      <c r="C18" s="8">
        <f>'6A'!C18</f>
        <v>1712.6</v>
      </c>
      <c r="D18" s="8">
        <f>'6A'!D18</f>
        <v>227.4</v>
      </c>
      <c r="E18" s="8">
        <f>'6A'!E18</f>
        <v>282</v>
      </c>
      <c r="F18" s="8">
        <f>'6A'!F18</f>
        <v>1203.2</v>
      </c>
      <c r="G18" s="62">
        <f t="shared" si="1"/>
        <v>100</v>
      </c>
      <c r="H18" s="62">
        <f t="shared" si="2"/>
        <v>3.5944255551357931</v>
      </c>
      <c r="I18" s="62">
        <f t="shared" si="3"/>
        <v>0.47726986525626497</v>
      </c>
      <c r="J18" s="62">
        <f t="shared" si="4"/>
        <v>0.59186500440750534</v>
      </c>
      <c r="K18" s="62">
        <f t="shared" si="5"/>
        <v>2.5252906854720232</v>
      </c>
    </row>
    <row r="19" spans="1:11">
      <c r="A19" s="130">
        <v>1975</v>
      </c>
      <c r="B19" s="8">
        <f>'6A'!B19</f>
        <v>57385.1</v>
      </c>
      <c r="C19" s="8">
        <f>'6A'!C19</f>
        <v>2010.2</v>
      </c>
      <c r="D19" s="8">
        <f>'6A'!D19</f>
        <v>271.8</v>
      </c>
      <c r="E19" s="8">
        <f>'6A'!E19</f>
        <v>343.7</v>
      </c>
      <c r="F19" s="8">
        <f>'6A'!F19</f>
        <v>1394.7</v>
      </c>
      <c r="G19" s="62">
        <f t="shared" si="1"/>
        <v>100</v>
      </c>
      <c r="H19" s="62">
        <f t="shared" si="2"/>
        <v>3.5029999076415312</v>
      </c>
      <c r="I19" s="62">
        <f t="shared" si="3"/>
        <v>0.47364211267384743</v>
      </c>
      <c r="J19" s="62">
        <f t="shared" si="4"/>
        <v>0.59893596072848176</v>
      </c>
      <c r="K19" s="62">
        <f t="shared" si="5"/>
        <v>2.4304218342392017</v>
      </c>
    </row>
    <row r="20" spans="1:11">
      <c r="A20" s="130">
        <v>1976</v>
      </c>
      <c r="B20" s="8">
        <f>'6A'!B20</f>
        <v>62953.1</v>
      </c>
      <c r="C20" s="8">
        <f>'6A'!C20</f>
        <v>2127.6</v>
      </c>
      <c r="D20" s="8">
        <f>'6A'!D20</f>
        <v>271.39999999999998</v>
      </c>
      <c r="E20" s="8">
        <f>'6A'!E20</f>
        <v>370</v>
      </c>
      <c r="F20" s="8">
        <f>'6A'!F20</f>
        <v>1486.2</v>
      </c>
      <c r="G20" s="62">
        <f t="shared" si="1"/>
        <v>100</v>
      </c>
      <c r="H20" s="62">
        <f t="shared" si="2"/>
        <v>3.3796588253795288</v>
      </c>
      <c r="I20" s="62">
        <f t="shared" si="3"/>
        <v>0.43111459165632826</v>
      </c>
      <c r="J20" s="62">
        <f t="shared" si="4"/>
        <v>0.58773912642904003</v>
      </c>
      <c r="K20" s="62">
        <f t="shared" si="5"/>
        <v>2.3608051072941603</v>
      </c>
    </row>
    <row r="21" spans="1:11">
      <c r="A21" s="130">
        <v>1977</v>
      </c>
      <c r="B21" s="8">
        <f>'6A'!B21</f>
        <v>69273.7</v>
      </c>
      <c r="C21" s="8">
        <f>'6A'!C21</f>
        <v>2291.6</v>
      </c>
      <c r="D21" s="8">
        <f>'6A'!D21</f>
        <v>270.89999999999998</v>
      </c>
      <c r="E21" s="8">
        <f>'6A'!E21</f>
        <v>399.1</v>
      </c>
      <c r="F21" s="8">
        <f>'6A'!F21</f>
        <v>1621.6</v>
      </c>
      <c r="G21" s="62">
        <f t="shared" si="1"/>
        <v>100</v>
      </c>
      <c r="H21" s="62">
        <f t="shared" si="2"/>
        <v>3.3080375380555678</v>
      </c>
      <c r="I21" s="62">
        <f t="shared" si="3"/>
        <v>0.39105750089860941</v>
      </c>
      <c r="J21" s="62">
        <f t="shared" si="4"/>
        <v>0.57612051904258044</v>
      </c>
      <c r="K21" s="62">
        <f t="shared" si="5"/>
        <v>2.3408595181143781</v>
      </c>
    </row>
    <row r="22" spans="1:11">
      <c r="A22" s="130">
        <v>1978</v>
      </c>
      <c r="B22" s="8">
        <f>'6A'!B22</f>
        <v>76604.399999999994</v>
      </c>
      <c r="C22" s="8">
        <f>'6A'!C22</f>
        <v>2478.3000000000002</v>
      </c>
      <c r="D22" s="8">
        <f>'6A'!D22</f>
        <v>283.3</v>
      </c>
      <c r="E22" s="8">
        <f>'6A'!E22</f>
        <v>423.7</v>
      </c>
      <c r="F22" s="8">
        <f>'6A'!F22</f>
        <v>1771.3</v>
      </c>
      <c r="G22" s="62">
        <f t="shared" si="1"/>
        <v>100</v>
      </c>
      <c r="H22" s="62">
        <f t="shared" si="2"/>
        <v>3.2351927565518435</v>
      </c>
      <c r="I22" s="62">
        <f t="shared" si="3"/>
        <v>0.36982209899170287</v>
      </c>
      <c r="J22" s="62">
        <f t="shared" si="4"/>
        <v>0.55310138843199619</v>
      </c>
      <c r="K22" s="62">
        <f t="shared" si="5"/>
        <v>2.3122692691281443</v>
      </c>
    </row>
    <row r="23" spans="1:11">
      <c r="A23" s="130">
        <v>1979</v>
      </c>
      <c r="B23" s="8">
        <f>'6A'!B23</f>
        <v>85843.199999999997</v>
      </c>
      <c r="C23" s="8">
        <f>'6A'!C23</f>
        <v>2710.8</v>
      </c>
      <c r="D23" s="8">
        <f>'6A'!D23</f>
        <v>309.3</v>
      </c>
      <c r="E23" s="8">
        <f>'6A'!E23</f>
        <v>468.4</v>
      </c>
      <c r="F23" s="8">
        <f>'6A'!F23</f>
        <v>1933.1</v>
      </c>
      <c r="G23" s="62">
        <f t="shared" si="1"/>
        <v>100</v>
      </c>
      <c r="H23" s="62">
        <f t="shared" si="2"/>
        <v>3.1578505927085665</v>
      </c>
      <c r="I23" s="62">
        <f t="shared" si="3"/>
        <v>0.36030809662267949</v>
      </c>
      <c r="J23" s="62">
        <f t="shared" si="4"/>
        <v>0.54564601506001642</v>
      </c>
      <c r="K23" s="62">
        <f t="shared" si="5"/>
        <v>2.2518964810258701</v>
      </c>
    </row>
    <row r="24" spans="1:11">
      <c r="A24" s="130">
        <v>1980</v>
      </c>
      <c r="B24" s="8">
        <f>'6A'!B24</f>
        <v>97536.3</v>
      </c>
      <c r="C24" s="8">
        <f>'6A'!C24</f>
        <v>3152.5</v>
      </c>
      <c r="D24" s="8">
        <f>'6A'!D24</f>
        <v>358.2</v>
      </c>
      <c r="E24" s="8">
        <f>'6A'!E24</f>
        <v>540.1</v>
      </c>
      <c r="F24" s="8">
        <f>'6A'!F24</f>
        <v>2254.1999999999998</v>
      </c>
      <c r="G24" s="62">
        <f t="shared" si="1"/>
        <v>100</v>
      </c>
      <c r="H24" s="62">
        <f t="shared" si="2"/>
        <v>3.2321299864768296</v>
      </c>
      <c r="I24" s="62">
        <f t="shared" si="3"/>
        <v>0.36724788617160992</v>
      </c>
      <c r="J24" s="62">
        <f t="shared" si="4"/>
        <v>0.5537425553358083</v>
      </c>
      <c r="K24" s="62">
        <f t="shared" si="5"/>
        <v>2.3111395449694112</v>
      </c>
    </row>
    <row r="25" spans="1:11">
      <c r="A25" s="130">
        <v>1981</v>
      </c>
      <c r="B25" s="8">
        <f>'6A'!B25</f>
        <v>111424.1</v>
      </c>
      <c r="C25" s="8">
        <f>'6A'!C25</f>
        <v>3638.1</v>
      </c>
      <c r="D25" s="8">
        <f>'6A'!D25</f>
        <v>415.9</v>
      </c>
      <c r="E25" s="8">
        <f>'6A'!E25</f>
        <v>597.1</v>
      </c>
      <c r="F25" s="8">
        <f>'6A'!F25</f>
        <v>2625.1</v>
      </c>
      <c r="G25" s="62">
        <f t="shared" si="1"/>
        <v>100</v>
      </c>
      <c r="H25" s="62">
        <f t="shared" si="2"/>
        <v>3.265092560765579</v>
      </c>
      <c r="I25" s="62">
        <f t="shared" si="3"/>
        <v>0.37325856793996987</v>
      </c>
      <c r="J25" s="62">
        <f t="shared" si="4"/>
        <v>0.53588047828073104</v>
      </c>
      <c r="K25" s="62">
        <f t="shared" si="5"/>
        <v>2.3559535145448782</v>
      </c>
    </row>
    <row r="26" spans="1:11">
      <c r="A26" s="130">
        <v>1982</v>
      </c>
      <c r="B26" s="8">
        <f>'6A'!B26</f>
        <v>121608.3</v>
      </c>
      <c r="C26" s="8">
        <f>'6A'!C26</f>
        <v>4023.2</v>
      </c>
      <c r="D26" s="8">
        <f>'6A'!D26</f>
        <v>417.9</v>
      </c>
      <c r="E26" s="8">
        <f>'6A'!E26</f>
        <v>690.3</v>
      </c>
      <c r="F26" s="8">
        <f>'6A'!F26</f>
        <v>2915</v>
      </c>
      <c r="G26" s="62">
        <f t="shared" si="1"/>
        <v>100</v>
      </c>
      <c r="H26" s="62">
        <f t="shared" si="2"/>
        <v>3.3083268165084125</v>
      </c>
      <c r="I26" s="62">
        <f t="shared" si="3"/>
        <v>0.34364430717311234</v>
      </c>
      <c r="J26" s="62">
        <f t="shared" si="4"/>
        <v>0.56764217573964926</v>
      </c>
      <c r="K26" s="62">
        <f t="shared" si="5"/>
        <v>2.3970403335956512</v>
      </c>
    </row>
    <row r="27" spans="1:11">
      <c r="A27" s="130">
        <v>1983</v>
      </c>
      <c r="B27" s="8">
        <f>'6A'!B27</f>
        <v>126191.2</v>
      </c>
      <c r="C27" s="8">
        <f>'6A'!C27</f>
        <v>4057.4</v>
      </c>
      <c r="D27" s="8">
        <f>'6A'!D27</f>
        <v>410.7</v>
      </c>
      <c r="E27" s="8">
        <f>'6A'!E27</f>
        <v>698.7</v>
      </c>
      <c r="F27" s="8">
        <f>'6A'!F27</f>
        <v>2948</v>
      </c>
      <c r="G27" s="62">
        <f t="shared" si="1"/>
        <v>100</v>
      </c>
      <c r="H27" s="62">
        <f t="shared" si="2"/>
        <v>3.2152796708486808</v>
      </c>
      <c r="I27" s="62">
        <f t="shared" si="3"/>
        <v>0.32545851057759967</v>
      </c>
      <c r="J27" s="62">
        <f t="shared" si="4"/>
        <v>0.55368361660718024</v>
      </c>
      <c r="K27" s="62">
        <f t="shared" si="5"/>
        <v>2.3361375436639005</v>
      </c>
    </row>
    <row r="28" spans="1:11">
      <c r="A28" s="130">
        <v>1984</v>
      </c>
      <c r="B28" s="8">
        <f>'6A'!B28</f>
        <v>133161.79999999999</v>
      </c>
      <c r="C28" s="8">
        <f>'6A'!C28</f>
        <v>4244.3999999999996</v>
      </c>
      <c r="D28" s="8">
        <f>'6A'!D28</f>
        <v>429.6</v>
      </c>
      <c r="E28" s="8">
        <f>'6A'!E28</f>
        <v>710.8</v>
      </c>
      <c r="F28" s="8">
        <f>'6A'!F28</f>
        <v>3104</v>
      </c>
      <c r="G28" s="62">
        <f t="shared" si="1"/>
        <v>100</v>
      </c>
      <c r="H28" s="62">
        <f t="shared" si="2"/>
        <v>3.1874005908601415</v>
      </c>
      <c r="I28" s="62">
        <f t="shared" si="3"/>
        <v>0.32261504425443338</v>
      </c>
      <c r="J28" s="62">
        <f t="shared" si="4"/>
        <v>0.53378671661092003</v>
      </c>
      <c r="K28" s="62">
        <f t="shared" si="5"/>
        <v>2.3309988299947886</v>
      </c>
    </row>
    <row r="29" spans="1:11">
      <c r="A29" s="130">
        <v>1985</v>
      </c>
      <c r="B29" s="8">
        <f>'6A'!B29</f>
        <v>140130.79999999999</v>
      </c>
      <c r="C29" s="8">
        <f>'6A'!C29</f>
        <v>4628.3</v>
      </c>
      <c r="D29" s="8">
        <f>'6A'!D29</f>
        <v>420.4</v>
      </c>
      <c r="E29" s="8">
        <f>'6A'!E29</f>
        <v>760.9</v>
      </c>
      <c r="F29" s="8">
        <f>'6A'!F29</f>
        <v>3447</v>
      </c>
      <c r="G29" s="62">
        <f t="shared" si="1"/>
        <v>100</v>
      </c>
      <c r="H29" s="62">
        <f t="shared" si="2"/>
        <v>3.302842772609591</v>
      </c>
      <c r="I29" s="62">
        <f t="shared" si="3"/>
        <v>0.30000542350432596</v>
      </c>
      <c r="J29" s="62">
        <f t="shared" si="4"/>
        <v>0.54299268968706382</v>
      </c>
      <c r="K29" s="62">
        <f t="shared" si="5"/>
        <v>2.4598446594182009</v>
      </c>
    </row>
    <row r="30" spans="1:11">
      <c r="A30" s="130">
        <v>1986</v>
      </c>
      <c r="B30" s="8">
        <f>'6A'!B30</f>
        <v>147259.1</v>
      </c>
      <c r="C30" s="8">
        <f>'6A'!C30</f>
        <v>5186.1000000000004</v>
      </c>
      <c r="D30" s="8">
        <f>'6A'!D30</f>
        <v>402.4</v>
      </c>
      <c r="E30" s="8">
        <f>'6A'!E30</f>
        <v>802.2</v>
      </c>
      <c r="F30" s="8">
        <f>'6A'!F30</f>
        <v>3981.5</v>
      </c>
      <c r="G30" s="62">
        <f t="shared" si="1"/>
        <v>100</v>
      </c>
      <c r="H30" s="62">
        <f t="shared" si="2"/>
        <v>3.5217517966631604</v>
      </c>
      <c r="I30" s="62">
        <f t="shared" si="3"/>
        <v>0.27325985287157123</v>
      </c>
      <c r="J30" s="62">
        <f t="shared" si="4"/>
        <v>0.54475411027230236</v>
      </c>
      <c r="K30" s="62">
        <f t="shared" si="5"/>
        <v>2.7037378335192868</v>
      </c>
    </row>
    <row r="31" spans="1:11">
      <c r="A31" s="130">
        <v>1987</v>
      </c>
      <c r="B31" s="8">
        <f>'6A'!B31</f>
        <v>155382.9</v>
      </c>
      <c r="C31" s="8">
        <f>'6A'!C31</f>
        <v>5717.5</v>
      </c>
      <c r="D31" s="8">
        <f>'6A'!D31</f>
        <v>394.1</v>
      </c>
      <c r="E31" s="8">
        <f>'6A'!E31</f>
        <v>843.1</v>
      </c>
      <c r="F31" s="8">
        <f>'6A'!F31</f>
        <v>4480.3</v>
      </c>
      <c r="G31" s="62">
        <f t="shared" si="1"/>
        <v>100</v>
      </c>
      <c r="H31" s="62">
        <f t="shared" si="2"/>
        <v>3.6796198294664344</v>
      </c>
      <c r="I31" s="62">
        <f t="shared" si="3"/>
        <v>0.25363151286274105</v>
      </c>
      <c r="J31" s="62">
        <f t="shared" si="4"/>
        <v>0.54259509894589431</v>
      </c>
      <c r="K31" s="62">
        <f t="shared" si="5"/>
        <v>2.8833932176577992</v>
      </c>
    </row>
    <row r="32" spans="1:11">
      <c r="A32" s="130">
        <v>1988</v>
      </c>
      <c r="B32" s="8">
        <f>'6A'!B32</f>
        <v>165219.9</v>
      </c>
      <c r="C32" s="8">
        <f>'6A'!C32</f>
        <v>6099.6</v>
      </c>
      <c r="D32" s="8">
        <f>'6A'!D32</f>
        <v>391.7</v>
      </c>
      <c r="E32" s="8">
        <f>'6A'!E32</f>
        <v>938.1</v>
      </c>
      <c r="F32" s="8">
        <f>'6A'!F32</f>
        <v>4769.8</v>
      </c>
      <c r="G32" s="62">
        <f t="shared" si="1"/>
        <v>100</v>
      </c>
      <c r="H32" s="62">
        <f t="shared" si="2"/>
        <v>3.6918071007184974</v>
      </c>
      <c r="I32" s="62">
        <f t="shared" si="3"/>
        <v>0.23707797910542255</v>
      </c>
      <c r="J32" s="62">
        <f t="shared" si="4"/>
        <v>0.56778874699718374</v>
      </c>
      <c r="K32" s="62">
        <f t="shared" si="5"/>
        <v>2.8869403746158913</v>
      </c>
    </row>
    <row r="33" spans="1:11">
      <c r="A33" s="130">
        <v>1989</v>
      </c>
      <c r="B33" s="8">
        <f>'6A'!B33</f>
        <v>176157.2</v>
      </c>
      <c r="C33" s="8">
        <f>'6A'!C33</f>
        <v>6916.2999999999993</v>
      </c>
      <c r="D33" s="8">
        <f>'6A'!D33</f>
        <v>401.2</v>
      </c>
      <c r="E33" s="8">
        <f>'6A'!E33</f>
        <v>1023.2</v>
      </c>
      <c r="F33" s="8">
        <f>'6A'!F33</f>
        <v>5491.9</v>
      </c>
      <c r="G33" s="62">
        <f t="shared" si="1"/>
        <v>100</v>
      </c>
      <c r="H33" s="62">
        <f t="shared" si="2"/>
        <v>3.9262090905168785</v>
      </c>
      <c r="I33" s="62">
        <f t="shared" si="3"/>
        <v>0.22775112229304278</v>
      </c>
      <c r="J33" s="62">
        <f t="shared" si="4"/>
        <v>0.58084483631665351</v>
      </c>
      <c r="K33" s="62">
        <f t="shared" si="5"/>
        <v>3.1176131319071825</v>
      </c>
    </row>
    <row r="34" spans="1:11">
      <c r="A34" s="130">
        <v>1990</v>
      </c>
      <c r="B34" s="8">
        <f>'6A'!B34</f>
        <v>186927.4</v>
      </c>
      <c r="C34" s="8">
        <f>'6A'!C34</f>
        <v>7310.7</v>
      </c>
      <c r="D34" s="8">
        <f>'6A'!D34</f>
        <v>410.6</v>
      </c>
      <c r="E34" s="8">
        <f>'6A'!E34</f>
        <v>1039.4000000000001</v>
      </c>
      <c r="F34" s="8">
        <f>'6A'!F34</f>
        <v>5860.7</v>
      </c>
      <c r="G34" s="62">
        <f t="shared" si="1"/>
        <v>100</v>
      </c>
      <c r="H34" s="62">
        <f t="shared" si="2"/>
        <v>3.9109836225186894</v>
      </c>
      <c r="I34" s="62">
        <f t="shared" si="3"/>
        <v>0.21965747129634289</v>
      </c>
      <c r="J34" s="62">
        <f t="shared" si="4"/>
        <v>0.55604475320365021</v>
      </c>
      <c r="K34" s="62">
        <f t="shared" si="5"/>
        <v>3.1352813980186958</v>
      </c>
    </row>
    <row r="35" spans="1:11">
      <c r="A35" s="130">
        <v>1991</v>
      </c>
      <c r="B35" s="8">
        <f>'6A'!B35</f>
        <v>186119.9</v>
      </c>
      <c r="C35" s="8">
        <f>'6A'!C35</f>
        <v>7139.5</v>
      </c>
      <c r="D35" s="8">
        <f>'6A'!D35</f>
        <v>375.6</v>
      </c>
      <c r="E35" s="8">
        <f>'6A'!E35</f>
        <v>1015.1</v>
      </c>
      <c r="F35" s="8">
        <f>'6A'!F35</f>
        <v>5748.8</v>
      </c>
      <c r="G35" s="62">
        <f t="shared" si="1"/>
        <v>100</v>
      </c>
      <c r="H35" s="62">
        <f t="shared" si="2"/>
        <v>3.8359681044316059</v>
      </c>
      <c r="I35" s="62">
        <f t="shared" si="3"/>
        <v>0.20180539533924102</v>
      </c>
      <c r="J35" s="62">
        <f t="shared" si="4"/>
        <v>0.54540110971475919</v>
      </c>
      <c r="K35" s="62">
        <f t="shared" si="5"/>
        <v>3.0887615993776056</v>
      </c>
    </row>
    <row r="36" spans="1:11">
      <c r="A36" s="130">
        <v>1992</v>
      </c>
      <c r="B36" s="8">
        <f>'6A'!B36</f>
        <v>188832.5</v>
      </c>
      <c r="C36" s="8">
        <f>'6A'!C36</f>
        <v>6914.5</v>
      </c>
      <c r="D36" s="8">
        <f>'6A'!D36</f>
        <v>366.1</v>
      </c>
      <c r="E36" s="8">
        <f>'6A'!E36</f>
        <v>1003.1</v>
      </c>
      <c r="F36" s="8">
        <f>'6A'!F36</f>
        <v>5545.3</v>
      </c>
      <c r="G36" s="62">
        <f t="shared" si="1"/>
        <v>100</v>
      </c>
      <c r="H36" s="62">
        <f t="shared" si="2"/>
        <v>3.6617107754226628</v>
      </c>
      <c r="I36" s="62">
        <f t="shared" si="3"/>
        <v>0.19387552460513949</v>
      </c>
      <c r="J36" s="62">
        <f t="shared" si="4"/>
        <v>0.53121152344008582</v>
      </c>
      <c r="K36" s="62">
        <f t="shared" si="5"/>
        <v>2.9366237273774378</v>
      </c>
    </row>
    <row r="37" spans="1:11">
      <c r="A37" s="130">
        <v>1993</v>
      </c>
      <c r="B37" s="8">
        <f>'6A'!B37</f>
        <v>191210.9</v>
      </c>
      <c r="C37" s="8">
        <f>'6A'!C37</f>
        <v>6671.7</v>
      </c>
      <c r="D37" s="8">
        <f>'6A'!D37</f>
        <v>361.9</v>
      </c>
      <c r="E37" s="8">
        <f>'6A'!E37</f>
        <v>1002.1</v>
      </c>
      <c r="F37" s="8">
        <f>'6A'!F37</f>
        <v>5307.7</v>
      </c>
      <c r="G37" s="62">
        <f t="shared" si="1"/>
        <v>100</v>
      </c>
      <c r="H37" s="62">
        <f t="shared" si="2"/>
        <v>3.4891839325059397</v>
      </c>
      <c r="I37" s="62">
        <f t="shared" si="3"/>
        <v>0.18926745284918381</v>
      </c>
      <c r="J37" s="62">
        <f t="shared" si="4"/>
        <v>0.52408100165837834</v>
      </c>
      <c r="K37" s="62">
        <f t="shared" si="5"/>
        <v>2.7758354779983776</v>
      </c>
    </row>
    <row r="38" spans="1:11">
      <c r="A38" s="130">
        <v>1994</v>
      </c>
      <c r="B38" s="8">
        <f>'6A'!B38</f>
        <v>198478.3</v>
      </c>
      <c r="C38" s="8">
        <f>'6A'!C38</f>
        <v>7032.8</v>
      </c>
      <c r="D38" s="8">
        <f>'6A'!D38</f>
        <v>421.7</v>
      </c>
      <c r="E38" s="8">
        <f>'6A'!E38</f>
        <v>1152.8</v>
      </c>
      <c r="F38" s="8">
        <f>'6A'!F38</f>
        <v>5458.3</v>
      </c>
      <c r="G38" s="62">
        <f t="shared" si="1"/>
        <v>100</v>
      </c>
      <c r="H38" s="62">
        <f t="shared" si="2"/>
        <v>3.5433596519115693</v>
      </c>
      <c r="I38" s="62">
        <f t="shared" si="3"/>
        <v>0.21246655175905879</v>
      </c>
      <c r="J38" s="62">
        <f t="shared" si="4"/>
        <v>0.58081916259863176</v>
      </c>
      <c r="K38" s="62">
        <f t="shared" si="5"/>
        <v>2.750073937553879</v>
      </c>
    </row>
    <row r="39" spans="1:11">
      <c r="A39" s="130">
        <v>1995</v>
      </c>
      <c r="B39" s="8">
        <f>'6A'!B39</f>
        <v>204687.2</v>
      </c>
      <c r="C39" s="8">
        <f>'6A'!C39</f>
        <v>7616.3</v>
      </c>
      <c r="D39" s="8">
        <f>'6A'!D39</f>
        <v>421.7</v>
      </c>
      <c r="E39" s="8">
        <f>'6A'!E39</f>
        <v>1355</v>
      </c>
      <c r="F39" s="8">
        <f>'6A'!F39</f>
        <v>5839.6</v>
      </c>
      <c r="G39" s="62">
        <f t="shared" si="1"/>
        <v>100</v>
      </c>
      <c r="H39" s="62">
        <f t="shared" si="2"/>
        <v>3.7209459116153818</v>
      </c>
      <c r="I39" s="62">
        <f t="shared" si="3"/>
        <v>0.20602167600123505</v>
      </c>
      <c r="J39" s="62">
        <f t="shared" si="4"/>
        <v>0.66198570306301507</v>
      </c>
      <c r="K39" s="62">
        <f t="shared" si="5"/>
        <v>2.8529385325511316</v>
      </c>
    </row>
    <row r="40" spans="1:11">
      <c r="A40" s="130">
        <v>1996</v>
      </c>
      <c r="B40" s="8">
        <f>'6A'!B40</f>
        <v>210957.5</v>
      </c>
      <c r="C40" s="8">
        <f>'6A'!C40</f>
        <v>8041.2000000000007</v>
      </c>
      <c r="D40" s="8">
        <f>'6A'!D40</f>
        <v>430.4</v>
      </c>
      <c r="E40" s="8">
        <f>'6A'!E40</f>
        <v>1525.2</v>
      </c>
      <c r="F40" s="8">
        <f>'6A'!F40</f>
        <v>6085.6</v>
      </c>
      <c r="G40" s="62">
        <f t="shared" si="1"/>
        <v>100</v>
      </c>
      <c r="H40" s="62">
        <f t="shared" si="2"/>
        <v>3.811763032838368</v>
      </c>
      <c r="I40" s="62">
        <f t="shared" si="3"/>
        <v>0.20402213716032852</v>
      </c>
      <c r="J40" s="62">
        <f t="shared" si="4"/>
        <v>0.72298922768804141</v>
      </c>
      <c r="K40" s="62">
        <f t="shared" si="5"/>
        <v>2.884751667989998</v>
      </c>
    </row>
    <row r="41" spans="1:11">
      <c r="A41" s="130">
        <v>1997</v>
      </c>
      <c r="B41" s="8">
        <f>'6A'!B41</f>
        <v>219322.7</v>
      </c>
      <c r="C41" s="8">
        <f>'6A'!C41</f>
        <v>8509.2999999999993</v>
      </c>
      <c r="D41" s="8">
        <f>'6A'!D41</f>
        <v>443.2</v>
      </c>
      <c r="E41" s="8">
        <f>'6A'!E41</f>
        <v>1828</v>
      </c>
      <c r="F41" s="8">
        <f>'6A'!F41</f>
        <v>6238.1</v>
      </c>
      <c r="G41" s="62">
        <f t="shared" si="1"/>
        <v>100</v>
      </c>
      <c r="H41" s="62">
        <f t="shared" si="2"/>
        <v>3.8798081548330381</v>
      </c>
      <c r="I41" s="62">
        <f t="shared" si="3"/>
        <v>0.20207666602681801</v>
      </c>
      <c r="J41" s="62">
        <f t="shared" si="4"/>
        <v>0.83347505752938478</v>
      </c>
      <c r="K41" s="62">
        <f t="shared" si="5"/>
        <v>2.8442564312768357</v>
      </c>
    </row>
    <row r="42" spans="1:11">
      <c r="A42" s="130">
        <v>1998</v>
      </c>
      <c r="B42" s="8">
        <f>'6A'!B42</f>
        <v>227907.7</v>
      </c>
      <c r="C42" s="8">
        <f>'6A'!C42</f>
        <v>8851.2999999999993</v>
      </c>
      <c r="D42" s="8">
        <f>'6A'!D42</f>
        <v>435.6</v>
      </c>
      <c r="E42" s="8">
        <f>'6A'!E42</f>
        <v>1957.9</v>
      </c>
      <c r="F42" s="8">
        <f>'6A'!F42</f>
        <v>6457.8</v>
      </c>
      <c r="G42" s="62">
        <f t="shared" si="1"/>
        <v>100</v>
      </c>
      <c r="H42" s="62">
        <f t="shared" si="2"/>
        <v>3.8837213485985767</v>
      </c>
      <c r="I42" s="62">
        <f t="shared" si="3"/>
        <v>0.19113000569967578</v>
      </c>
      <c r="J42" s="62">
        <f t="shared" si="4"/>
        <v>0.85907584517767499</v>
      </c>
      <c r="K42" s="62">
        <f t="shared" si="5"/>
        <v>2.8335154977212267</v>
      </c>
    </row>
    <row r="43" spans="1:11">
      <c r="A43" s="130">
        <v>1999</v>
      </c>
      <c r="B43" s="8">
        <f>'6A'!B43</f>
        <v>234202.7</v>
      </c>
      <c r="C43" s="8">
        <f>'6A'!C43</f>
        <v>8942.7000000000007</v>
      </c>
      <c r="D43" s="8">
        <f>'6A'!D43</f>
        <v>477.5</v>
      </c>
      <c r="E43" s="8">
        <f>'6A'!E43</f>
        <v>2109</v>
      </c>
      <c r="F43" s="8">
        <f>'6A'!F43</f>
        <v>6356.2</v>
      </c>
      <c r="G43" s="62">
        <f t="shared" si="1"/>
        <v>100</v>
      </c>
      <c r="H43" s="62">
        <f t="shared" si="2"/>
        <v>3.8183590539306338</v>
      </c>
      <c r="I43" s="62">
        <f t="shared" si="3"/>
        <v>0.20388321740099491</v>
      </c>
      <c r="J43" s="62">
        <f t="shared" si="4"/>
        <v>0.90050200104439437</v>
      </c>
      <c r="K43" s="62">
        <f t="shared" si="5"/>
        <v>2.7139738354852438</v>
      </c>
    </row>
    <row r="44" spans="1:11">
      <c r="A44" s="130">
        <v>2000</v>
      </c>
      <c r="B44" s="8">
        <f>'6A'!B44</f>
        <v>243844.3</v>
      </c>
      <c r="C44" s="8">
        <f>'6A'!C44</f>
        <v>9370.7000000000007</v>
      </c>
      <c r="D44" s="8">
        <f>'6A'!D44</f>
        <v>547.4</v>
      </c>
      <c r="E44" s="8">
        <f>'6A'!E44</f>
        <v>2334.1999999999998</v>
      </c>
      <c r="F44" s="8">
        <f>'6A'!F44</f>
        <v>6489.1</v>
      </c>
      <c r="G44" s="62">
        <f t="shared" si="1"/>
        <v>100</v>
      </c>
      <c r="H44" s="62">
        <f t="shared" si="2"/>
        <v>3.8429030327959279</v>
      </c>
      <c r="I44" s="62">
        <f t="shared" si="3"/>
        <v>0.22448751108801804</v>
      </c>
      <c r="J44" s="62">
        <f t="shared" si="4"/>
        <v>0.9572501797253411</v>
      </c>
      <c r="K44" s="62">
        <f t="shared" si="5"/>
        <v>2.6611653419825689</v>
      </c>
    </row>
    <row r="45" spans="1:11">
      <c r="A45" s="130">
        <v>2001</v>
      </c>
      <c r="B45" s="8">
        <f>'6A'!B45</f>
        <v>251297.2</v>
      </c>
      <c r="C45" s="8">
        <f>'6A'!C45</f>
        <v>9238.4</v>
      </c>
      <c r="D45" s="8">
        <f>'6A'!D45</f>
        <v>551.5</v>
      </c>
      <c r="E45" s="8">
        <f>'6A'!E45</f>
        <v>2256.6999999999998</v>
      </c>
      <c r="F45" s="8">
        <f>'6A'!F45</f>
        <v>6430.2</v>
      </c>
      <c r="G45" s="62">
        <f t="shared" si="1"/>
        <v>100</v>
      </c>
      <c r="H45" s="62">
        <f t="shared" si="2"/>
        <v>3.6762844950122804</v>
      </c>
      <c r="I45" s="62">
        <f t="shared" si="3"/>
        <v>0.21946125941713635</v>
      </c>
      <c r="J45" s="62">
        <f t="shared" si="4"/>
        <v>0.89802035199755492</v>
      </c>
      <c r="K45" s="62">
        <f t="shared" si="5"/>
        <v>2.5588028835975889</v>
      </c>
    </row>
    <row r="46" spans="1:11">
      <c r="A46" s="130">
        <v>2002</v>
      </c>
      <c r="B46" s="8">
        <f>'6A'!B46</f>
        <v>257412.1</v>
      </c>
      <c r="C46" s="8">
        <f>'6A'!C46</f>
        <v>9079.4</v>
      </c>
      <c r="D46" s="8">
        <f>'6A'!D46</f>
        <v>591.29999999999995</v>
      </c>
      <c r="E46" s="8">
        <f>'6A'!E46</f>
        <v>2150.9</v>
      </c>
      <c r="F46" s="8">
        <f>'6A'!F46</f>
        <v>6337.2</v>
      </c>
      <c r="G46" s="62">
        <f t="shared" si="1"/>
        <v>100</v>
      </c>
      <c r="H46" s="62">
        <f t="shared" si="2"/>
        <v>3.527184619526432</v>
      </c>
      <c r="I46" s="62">
        <f t="shared" si="3"/>
        <v>0.22970948141132447</v>
      </c>
      <c r="J46" s="62">
        <f t="shared" si="4"/>
        <v>0.83558620593204447</v>
      </c>
      <c r="K46" s="62">
        <f t="shared" si="5"/>
        <v>2.4618889321830637</v>
      </c>
    </row>
    <row r="47" spans="1:11">
      <c r="A47" s="130">
        <v>2003</v>
      </c>
      <c r="B47" s="8">
        <f>'6A'!B47</f>
        <v>258263.6</v>
      </c>
      <c r="C47" s="8">
        <f>'6A'!C47</f>
        <v>8833.7999999999993</v>
      </c>
      <c r="D47" s="8">
        <f>'6A'!D47</f>
        <v>539.70000000000005</v>
      </c>
      <c r="E47" s="8">
        <f>'6A'!E47</f>
        <v>1981.5</v>
      </c>
      <c r="F47" s="8">
        <f>'6A'!F47</f>
        <v>6312.6</v>
      </c>
      <c r="G47" s="62">
        <f t="shared" si="1"/>
        <v>100</v>
      </c>
      <c r="H47" s="62">
        <f t="shared" si="2"/>
        <v>3.4204587870687155</v>
      </c>
      <c r="I47" s="62">
        <f t="shared" si="3"/>
        <v>0.20897253813545541</v>
      </c>
      <c r="J47" s="62">
        <f t="shared" si="4"/>
        <v>0.76723936319326458</v>
      </c>
      <c r="K47" s="62">
        <f t="shared" si="5"/>
        <v>2.4442468857399957</v>
      </c>
    </row>
    <row r="48" spans="1:11">
      <c r="A48" s="130">
        <v>2004</v>
      </c>
      <c r="B48" s="8">
        <f>'6A'!B48</f>
        <v>268704.7</v>
      </c>
      <c r="C48" s="8">
        <f>'6A'!C48</f>
        <v>8366.7999999999993</v>
      </c>
      <c r="D48" s="8">
        <f>'6A'!D48</f>
        <v>502.1</v>
      </c>
      <c r="E48" s="8">
        <f>'6A'!E48</f>
        <v>2010.6</v>
      </c>
      <c r="F48" s="8">
        <f>'6A'!F48</f>
        <v>5854.1</v>
      </c>
      <c r="G48" s="62">
        <f t="shared" si="1"/>
        <v>100</v>
      </c>
      <c r="H48" s="62">
        <f t="shared" si="2"/>
        <v>3.1137527553481568</v>
      </c>
      <c r="I48" s="62">
        <f t="shared" si="3"/>
        <v>0.18685940365017806</v>
      </c>
      <c r="J48" s="62">
        <f t="shared" si="4"/>
        <v>0.74825635725761397</v>
      </c>
      <c r="K48" s="62">
        <f t="shared" si="5"/>
        <v>2.1786369944403652</v>
      </c>
    </row>
    <row r="49" spans="1:11">
      <c r="A49" s="130">
        <v>2005</v>
      </c>
      <c r="B49" s="8">
        <f>'6A'!B49</f>
        <v>279756.5</v>
      </c>
      <c r="C49" s="8">
        <f>'6A'!C49</f>
        <v>7997.4</v>
      </c>
      <c r="D49" s="8">
        <f>'6A'!D49</f>
        <v>494.3</v>
      </c>
      <c r="E49" s="8">
        <f>'6A'!E49</f>
        <v>2039.6</v>
      </c>
      <c r="F49" s="8">
        <f>'6A'!F49</f>
        <v>5463.5</v>
      </c>
      <c r="G49" s="62">
        <f t="shared" si="1"/>
        <v>100</v>
      </c>
      <c r="H49" s="62">
        <f t="shared" si="2"/>
        <v>2.8587003340404959</v>
      </c>
      <c r="I49" s="62">
        <f t="shared" si="3"/>
        <v>0.17668937093508105</v>
      </c>
      <c r="J49" s="62">
        <f t="shared" si="4"/>
        <v>0.72906259550716424</v>
      </c>
      <c r="K49" s="62">
        <f t="shared" si="5"/>
        <v>1.9529483675982506</v>
      </c>
    </row>
    <row r="50" spans="1:11">
      <c r="A50" s="130">
        <v>2006</v>
      </c>
      <c r="B50" s="8">
        <f>'6A'!B50</f>
        <v>291381.09999999998</v>
      </c>
      <c r="C50" s="8">
        <f>'6A'!C50</f>
        <v>7705.1</v>
      </c>
      <c r="D50" s="8">
        <f>'6A'!D50</f>
        <v>488</v>
      </c>
      <c r="E50" s="8">
        <f>'6A'!E50</f>
        <v>2091.1</v>
      </c>
      <c r="F50" s="8">
        <f>'6A'!F50</f>
        <v>5126</v>
      </c>
      <c r="G50" s="62">
        <f t="shared" si="1"/>
        <v>100</v>
      </c>
      <c r="H50" s="62">
        <f t="shared" si="2"/>
        <v>2.644337604600985</v>
      </c>
      <c r="I50" s="62">
        <f t="shared" si="3"/>
        <v>0.16747826128736559</v>
      </c>
      <c r="J50" s="62">
        <f t="shared" si="4"/>
        <v>0.71765121347952909</v>
      </c>
      <c r="K50" s="62">
        <f t="shared" si="5"/>
        <v>1.7592081298340903</v>
      </c>
    </row>
    <row r="51" spans="1:11">
      <c r="A51" s="130">
        <v>2007</v>
      </c>
      <c r="B51" s="8">
        <f>'6A'!B51</f>
        <v>304175.3</v>
      </c>
      <c r="C51" s="8">
        <f>'6A'!C51</f>
        <v>7439.2000000000007</v>
      </c>
      <c r="D51" s="8">
        <f>'6A'!D51</f>
        <v>462.9</v>
      </c>
      <c r="E51" s="8">
        <f>'6A'!E51</f>
        <v>2166.3000000000002</v>
      </c>
      <c r="F51" s="8">
        <f>'6A'!F51</f>
        <v>4810</v>
      </c>
      <c r="G51" s="62">
        <f t="shared" si="1"/>
        <v>100</v>
      </c>
      <c r="H51" s="62">
        <f t="shared" si="2"/>
        <v>2.4456949660278138</v>
      </c>
      <c r="I51" s="62">
        <f t="shared" si="3"/>
        <v>0.15218198190319859</v>
      </c>
      <c r="J51" s="62">
        <f t="shared" si="4"/>
        <v>0.71218800474594757</v>
      </c>
      <c r="K51" s="62">
        <f t="shared" si="5"/>
        <v>1.5813249793786677</v>
      </c>
    </row>
    <row r="52" spans="1:11">
      <c r="A52" s="130">
        <v>2008</v>
      </c>
      <c r="B52" s="8">
        <f>'6A'!B52</f>
        <v>327834.40000000002</v>
      </c>
      <c r="C52" s="8">
        <f>'6A'!C52</f>
        <v>7252.7000000000007</v>
      </c>
      <c r="D52" s="8">
        <f>'6A'!D52</f>
        <v>480.9</v>
      </c>
      <c r="E52" s="8">
        <f>'6A'!E52</f>
        <v>2150.6999999999998</v>
      </c>
      <c r="F52" s="8">
        <f>'6A'!F52</f>
        <v>4621.1000000000004</v>
      </c>
      <c r="G52" s="62">
        <f t="shared" si="1"/>
        <v>100</v>
      </c>
      <c r="H52" s="62">
        <f t="shared" si="2"/>
        <v>2.2123059691112341</v>
      </c>
      <c r="I52" s="62">
        <f t="shared" si="3"/>
        <v>0.1466899141761816</v>
      </c>
      <c r="J52" s="62">
        <f t="shared" si="4"/>
        <v>0.65603243588836302</v>
      </c>
      <c r="K52" s="62">
        <f t="shared" si="5"/>
        <v>1.4095836190466895</v>
      </c>
    </row>
    <row r="53" spans="1:11">
      <c r="A53" s="130">
        <v>2009</v>
      </c>
      <c r="B53" s="8">
        <f>'6A'!B53</f>
        <v>341843.5</v>
      </c>
      <c r="C53" s="8">
        <f>'6A'!C53</f>
        <v>6947.5</v>
      </c>
      <c r="D53" s="8">
        <f>'6A'!D53</f>
        <v>467.3</v>
      </c>
      <c r="E53" s="8">
        <f>'6A'!E53</f>
        <v>2137.1999999999998</v>
      </c>
      <c r="F53" s="8">
        <f>'6A'!F53</f>
        <v>4343</v>
      </c>
      <c r="G53" s="62">
        <f t="shared" si="1"/>
        <v>100</v>
      </c>
      <c r="H53" s="62">
        <f t="shared" si="2"/>
        <v>2.0323627624921929</v>
      </c>
      <c r="I53" s="62">
        <f t="shared" si="3"/>
        <v>0.13669998113171672</v>
      </c>
      <c r="J53" s="62">
        <f t="shared" si="4"/>
        <v>0.62519837293966385</v>
      </c>
      <c r="K53" s="62">
        <f t="shared" si="5"/>
        <v>1.2704644084208123</v>
      </c>
    </row>
    <row r="54" spans="1:11">
      <c r="A54" s="130">
        <v>2010</v>
      </c>
      <c r="B54" s="8">
        <f>'6A'!B54</f>
        <v>348020.1</v>
      </c>
      <c r="C54" s="8">
        <f>'6A'!C54</f>
        <v>6287.2</v>
      </c>
      <c r="D54" s="8">
        <f>'6A'!D54</f>
        <v>442.9</v>
      </c>
      <c r="E54" s="8">
        <f>'6A'!E54</f>
        <v>2047.2</v>
      </c>
      <c r="F54" s="8">
        <f>'6A'!F54</f>
        <v>3797.1</v>
      </c>
      <c r="G54" s="62">
        <f t="shared" si="1"/>
        <v>100</v>
      </c>
      <c r="H54" s="62">
        <f t="shared" si="2"/>
        <v>1.8065623221187512</v>
      </c>
      <c r="I54" s="62">
        <f t="shared" si="3"/>
        <v>0.12726276442079063</v>
      </c>
      <c r="J54" s="62">
        <f t="shared" si="4"/>
        <v>0.58824188602899663</v>
      </c>
      <c r="K54" s="62">
        <f t="shared" si="5"/>
        <v>1.0910576716689639</v>
      </c>
    </row>
    <row r="55" spans="1:11">
      <c r="A55" s="130">
        <v>2011</v>
      </c>
      <c r="B55" s="8">
        <f>'6A'!B55</f>
        <v>363430.1</v>
      </c>
      <c r="C55" s="8">
        <f>'6A'!C55</f>
        <v>6087.2999999999993</v>
      </c>
      <c r="D55" s="8">
        <f>'6A'!D55</f>
        <v>425.2</v>
      </c>
      <c r="E55" s="8">
        <f>'6A'!E55</f>
        <v>1999.1</v>
      </c>
      <c r="F55" s="8">
        <f>'6A'!F55</f>
        <v>3663</v>
      </c>
      <c r="G55" s="62">
        <f t="shared" si="1"/>
        <v>100</v>
      </c>
      <c r="H55" s="62">
        <f t="shared" si="2"/>
        <v>1.6749575778120744</v>
      </c>
      <c r="I55" s="62">
        <f t="shared" si="3"/>
        <v>0.11699636326215138</v>
      </c>
      <c r="J55" s="62">
        <f t="shared" si="4"/>
        <v>0.55006451034187864</v>
      </c>
      <c r="K55" s="62">
        <f t="shared" si="5"/>
        <v>1.0078967042080444</v>
      </c>
    </row>
    <row r="56" spans="1:11">
      <c r="A56" s="130">
        <v>2012</v>
      </c>
      <c r="B56" s="8">
        <f>'6A'!B56</f>
        <v>382416.8</v>
      </c>
      <c r="C56" s="8">
        <f>'6A'!C56</f>
        <v>6010.1</v>
      </c>
      <c r="D56" s="8">
        <f>'6A'!D56</f>
        <v>415.5</v>
      </c>
      <c r="E56" s="8">
        <f>'6A'!E56</f>
        <v>1965.9</v>
      </c>
      <c r="F56" s="8">
        <f>'6A'!F56</f>
        <v>3628.7</v>
      </c>
      <c r="G56" s="62">
        <f t="shared" si="1"/>
        <v>100</v>
      </c>
      <c r="H56" s="62">
        <f t="shared" si="2"/>
        <v>1.5716098246729748</v>
      </c>
      <c r="I56" s="62">
        <f t="shared" si="3"/>
        <v>0.10865108436658641</v>
      </c>
      <c r="J56" s="62">
        <f t="shared" si="4"/>
        <v>0.51407260350486694</v>
      </c>
      <c r="K56" s="62">
        <f t="shared" si="5"/>
        <v>0.94888613680152134</v>
      </c>
    </row>
    <row r="57" spans="1:11">
      <c r="A57" s="130">
        <v>2013</v>
      </c>
      <c r="B57" s="8">
        <f>'6A'!B57</f>
        <v>397510.8</v>
      </c>
      <c r="C57" s="8">
        <f>'6A'!C57</f>
        <v>5938.4</v>
      </c>
      <c r="D57" s="8">
        <f>'6A'!D57</f>
        <v>398.2</v>
      </c>
      <c r="E57" s="8">
        <f>'6A'!E57</f>
        <v>1925.7</v>
      </c>
      <c r="F57" s="8">
        <f>'6A'!F57</f>
        <v>3614.5</v>
      </c>
      <c r="G57" s="62">
        <f t="shared" si="1"/>
        <v>100</v>
      </c>
      <c r="H57" s="62">
        <f t="shared" si="2"/>
        <v>1.4938965180317112</v>
      </c>
      <c r="I57" s="62">
        <f t="shared" si="3"/>
        <v>0.10017337893712573</v>
      </c>
      <c r="J57" s="62">
        <f t="shared" si="4"/>
        <v>0.48443966805430194</v>
      </c>
      <c r="K57" s="62">
        <f t="shared" si="5"/>
        <v>0.90928347104028362</v>
      </c>
    </row>
    <row r="58" spans="1:1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</row>
    <row r="59" spans="1:11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</row>
    <row r="60" spans="1:11" ht="30">
      <c r="A60" s="130" t="s">
        <v>282</v>
      </c>
      <c r="B60" s="7">
        <f>((B5/B44)^(1/39)-1)*100</f>
        <v>-7.0819394516312144</v>
      </c>
      <c r="C60" s="7">
        <f t="shared" ref="C60:K60" si="6">((C5/C44)^(1/39)-1)*100</f>
        <v>-7.138645510073804</v>
      </c>
      <c r="D60" s="7">
        <f t="shared" si="6"/>
        <v>-4.0468208620208497</v>
      </c>
      <c r="E60" s="7">
        <f t="shared" si="6"/>
        <v>-9.1504573604832338</v>
      </c>
      <c r="F60" s="7">
        <f t="shared" si="6"/>
        <v>-7.1665027732047415</v>
      </c>
      <c r="G60" s="7">
        <f t="shared" si="6"/>
        <v>0</v>
      </c>
      <c r="H60" s="7">
        <f t="shared" si="6"/>
        <v>-6.1028026314735584E-2</v>
      </c>
      <c r="I60" s="7">
        <f t="shared" si="6"/>
        <v>3.2664463417533707</v>
      </c>
      <c r="J60" s="7">
        <f t="shared" si="6"/>
        <v>-2.2261742191392875</v>
      </c>
      <c r="K60" s="7">
        <f t="shared" si="6"/>
        <v>-9.100848755825286E-2</v>
      </c>
    </row>
    <row r="61" spans="1:11" ht="30">
      <c r="A61" s="130" t="s">
        <v>68</v>
      </c>
      <c r="B61" s="7">
        <f>((B51/B44)^(1/7)-1)*100</f>
        <v>3.2086043442774104</v>
      </c>
      <c r="C61" s="7">
        <f t="shared" ref="C61:K61" si="7">((C51/C44)^(1/7)-1)*100</f>
        <v>-3.2437180292148482</v>
      </c>
      <c r="D61" s="7">
        <f t="shared" si="7"/>
        <v>-2.3668089714946161</v>
      </c>
      <c r="E61" s="7">
        <f t="shared" si="7"/>
        <v>-1.0607422667678557</v>
      </c>
      <c r="F61" s="7">
        <f t="shared" si="7"/>
        <v>-4.1873296808827227</v>
      </c>
      <c r="G61" s="7">
        <f t="shared" si="7"/>
        <v>0</v>
      </c>
      <c r="H61" s="7">
        <f t="shared" si="7"/>
        <v>-6.2517291213133319</v>
      </c>
      <c r="I61" s="7">
        <f t="shared" si="7"/>
        <v>-5.4020818818301901</v>
      </c>
      <c r="J61" s="7">
        <f t="shared" si="7"/>
        <v>-4.1366188780189495</v>
      </c>
      <c r="K61" s="7">
        <f t="shared" si="7"/>
        <v>-7.1660052687944393</v>
      </c>
    </row>
    <row r="62" spans="1:11" ht="30">
      <c r="A62" s="130" t="s">
        <v>69</v>
      </c>
      <c r="B62" s="7">
        <f>((B57/B51)^(1/6)-1)*100</f>
        <v>4.5612655953118475</v>
      </c>
      <c r="C62" s="7">
        <f t="shared" ref="C62:K62" si="8">((C57/C51)^(1/6)-1)*100</f>
        <v>-3.685752585082136</v>
      </c>
      <c r="D62" s="7">
        <f t="shared" si="8"/>
        <v>-2.4780569192934254</v>
      </c>
      <c r="E62" s="7">
        <f t="shared" si="8"/>
        <v>-1.9430595313080667</v>
      </c>
      <c r="F62" s="7">
        <f t="shared" si="8"/>
        <v>-4.6507695827865181</v>
      </c>
      <c r="G62" s="7">
        <f t="shared" si="8"/>
        <v>0</v>
      </c>
      <c r="H62" s="7">
        <f t="shared" si="8"/>
        <v>-7.8872593339801345</v>
      </c>
      <c r="I62" s="7">
        <f t="shared" si="8"/>
        <v>-6.732246855015978</v>
      </c>
      <c r="J62" s="7">
        <f t="shared" si="8"/>
        <v>-6.2205876043944457</v>
      </c>
      <c r="K62" s="7">
        <f t="shared" si="8"/>
        <v>-8.8101794920426144</v>
      </c>
    </row>
    <row r="63" spans="1:11" ht="30">
      <c r="A63" s="130" t="s">
        <v>15</v>
      </c>
      <c r="B63" s="7">
        <f>((B57/B44)^(1/13)-1)*100</f>
        <v>3.8307213208957691</v>
      </c>
      <c r="C63" s="7">
        <f t="shared" ref="C63:K63" si="9">((C57/C44)^(1/13)-1)*100</f>
        <v>-3.4479855053634711</v>
      </c>
      <c r="D63" s="7">
        <f t="shared" si="9"/>
        <v>-2.4181699387803346</v>
      </c>
      <c r="E63" s="7">
        <f t="shared" si="9"/>
        <v>-1.4689478341540441</v>
      </c>
      <c r="F63" s="7">
        <f t="shared" si="9"/>
        <v>-4.4015042590005553</v>
      </c>
      <c r="G63" s="7">
        <f t="shared" si="9"/>
        <v>0</v>
      </c>
      <c r="H63" s="7">
        <f t="shared" si="9"/>
        <v>-7.0101668693641432</v>
      </c>
      <c r="I63" s="7">
        <f t="shared" si="9"/>
        <v>-6.0183452259408803</v>
      </c>
      <c r="J63" s="7">
        <f t="shared" si="9"/>
        <v>-5.1041436365166337</v>
      </c>
      <c r="K63" s="7">
        <f t="shared" si="9"/>
        <v>-7.9285065876159022</v>
      </c>
    </row>
    <row r="65" spans="1:11">
      <c r="A65" s="217" t="s">
        <v>283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64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6384" width="9.140625" style="181"/>
  </cols>
  <sheetData>
    <row r="1" spans="1:11">
      <c r="A1" s="454" t="s">
        <v>348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226</v>
      </c>
      <c r="C2" s="454"/>
      <c r="D2" s="454"/>
      <c r="E2" s="454"/>
      <c r="F2" s="454"/>
      <c r="G2" s="454" t="s">
        <v>240</v>
      </c>
      <c r="H2" s="454"/>
      <c r="I2" s="454"/>
      <c r="J2" s="454"/>
      <c r="K2" s="454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  <c r="G4" s="9"/>
      <c r="H4" s="9"/>
      <c r="I4" s="9"/>
      <c r="J4" s="9"/>
      <c r="K4" s="9"/>
    </row>
    <row r="5" spans="1:11">
      <c r="A5" s="130">
        <v>1961</v>
      </c>
      <c r="B5" s="8">
        <f>'6B'!B5</f>
        <v>20360.099999999999</v>
      </c>
      <c r="C5" s="8">
        <f>'6B'!C5</f>
        <v>445.29999999999995</v>
      </c>
      <c r="D5" s="8">
        <f>'6B'!D5</f>
        <v>59.6</v>
      </c>
      <c r="E5" s="8">
        <f>'6B'!E5</f>
        <v>73.5</v>
      </c>
      <c r="F5" s="8">
        <f>'6B'!F5</f>
        <v>312.2</v>
      </c>
      <c r="G5" s="62">
        <f>B5/$B5*100</f>
        <v>100</v>
      </c>
      <c r="H5" s="62">
        <f t="shared" ref="H5:K5" si="0">C5/$B5*100</f>
        <v>2.1871208884042805</v>
      </c>
      <c r="I5" s="62">
        <f t="shared" si="0"/>
        <v>0.29272940702648809</v>
      </c>
      <c r="J5" s="62">
        <f t="shared" si="0"/>
        <v>0.36100019155112212</v>
      </c>
      <c r="K5" s="62">
        <f t="shared" si="0"/>
        <v>1.5333912898266708</v>
      </c>
    </row>
    <row r="6" spans="1:11">
      <c r="A6" s="130">
        <v>1962</v>
      </c>
      <c r="B6" s="8">
        <f>'6B'!B6</f>
        <v>21524.400000000001</v>
      </c>
      <c r="C6" s="8">
        <f>'6B'!C6</f>
        <v>450.5</v>
      </c>
      <c r="D6" s="8">
        <f>'6B'!D6</f>
        <v>62</v>
      </c>
      <c r="E6" s="8">
        <f>'6B'!E6</f>
        <v>74.8</v>
      </c>
      <c r="F6" s="8">
        <f>'6B'!F6</f>
        <v>313.7</v>
      </c>
      <c r="G6" s="62">
        <f t="shared" ref="G6:G57" si="1">B6/$B6*100</f>
        <v>100</v>
      </c>
      <c r="H6" s="62">
        <f t="shared" ref="H6:H57" si="2">C6/$B6*100</f>
        <v>2.0929735555927227</v>
      </c>
      <c r="I6" s="62">
        <f t="shared" ref="I6:I57" si="3">D6/$B6*100</f>
        <v>0.28804519522030814</v>
      </c>
      <c r="J6" s="62">
        <f t="shared" ref="J6:J57" si="4">E6/$B6*100</f>
        <v>0.34751259036256527</v>
      </c>
      <c r="K6" s="62">
        <f t="shared" ref="K6:K57" si="5">F6/$B6*100</f>
        <v>1.4574157700098491</v>
      </c>
    </row>
    <row r="7" spans="1:11">
      <c r="A7" s="130">
        <v>1963</v>
      </c>
      <c r="B7" s="8">
        <f>'6B'!B7</f>
        <v>23247</v>
      </c>
      <c r="C7" s="8">
        <f>'6B'!C7</f>
        <v>474.9</v>
      </c>
      <c r="D7" s="8">
        <f>'6B'!D7</f>
        <v>66.900000000000006</v>
      </c>
      <c r="E7" s="8">
        <f>'6B'!E7</f>
        <v>77.099999999999994</v>
      </c>
      <c r="F7" s="8">
        <f>'6B'!F7</f>
        <v>330.9</v>
      </c>
      <c r="G7" s="62">
        <f t="shared" si="1"/>
        <v>100</v>
      </c>
      <c r="H7" s="62">
        <f t="shared" si="2"/>
        <v>2.0428442379661891</v>
      </c>
      <c r="I7" s="62">
        <f t="shared" si="3"/>
        <v>0.28777906826687316</v>
      </c>
      <c r="J7" s="62">
        <f t="shared" si="4"/>
        <v>0.33165569750935603</v>
      </c>
      <c r="K7" s="62">
        <f t="shared" si="5"/>
        <v>1.4234094721899599</v>
      </c>
    </row>
    <row r="8" spans="1:11">
      <c r="A8" s="130">
        <v>1964</v>
      </c>
      <c r="B8" s="8">
        <f>'6B'!B8</f>
        <v>24755.9</v>
      </c>
      <c r="C8" s="8">
        <f>'6B'!C8</f>
        <v>515.20000000000005</v>
      </c>
      <c r="D8" s="8">
        <f>'6B'!D8</f>
        <v>68.400000000000006</v>
      </c>
      <c r="E8" s="8">
        <f>'6B'!E8</f>
        <v>82.8</v>
      </c>
      <c r="F8" s="8">
        <f>'6B'!F8</f>
        <v>364</v>
      </c>
      <c r="G8" s="62">
        <f t="shared" si="1"/>
        <v>100</v>
      </c>
      <c r="H8" s="62">
        <f t="shared" si="2"/>
        <v>2.0811200562290204</v>
      </c>
      <c r="I8" s="62">
        <f t="shared" si="3"/>
        <v>0.27629777144034351</v>
      </c>
      <c r="J8" s="62">
        <f t="shared" si="4"/>
        <v>0.33446572332252111</v>
      </c>
      <c r="K8" s="62">
        <f t="shared" si="5"/>
        <v>1.4703565614661553</v>
      </c>
    </row>
    <row r="9" spans="1:11">
      <c r="A9" s="130">
        <v>1965</v>
      </c>
      <c r="B9" s="8">
        <f>'6B'!B9</f>
        <v>27647.7</v>
      </c>
      <c r="C9" s="8">
        <f>'6B'!C9</f>
        <v>603.29999999999995</v>
      </c>
      <c r="D9" s="8">
        <f>'6B'!D9</f>
        <v>74.900000000000006</v>
      </c>
      <c r="E9" s="8">
        <f>'6B'!E9</f>
        <v>93.5</v>
      </c>
      <c r="F9" s="8">
        <f>'6B'!F9</f>
        <v>434.9</v>
      </c>
      <c r="G9" s="62">
        <f t="shared" si="1"/>
        <v>100</v>
      </c>
      <c r="H9" s="62">
        <f t="shared" si="2"/>
        <v>2.1820983300600045</v>
      </c>
      <c r="I9" s="62">
        <f t="shared" si="3"/>
        <v>0.27090861084285495</v>
      </c>
      <c r="J9" s="62">
        <f t="shared" si="4"/>
        <v>0.33818364637926479</v>
      </c>
      <c r="K9" s="62">
        <f t="shared" si="5"/>
        <v>1.5730060728378852</v>
      </c>
    </row>
    <row r="10" spans="1:11">
      <c r="A10" s="130">
        <v>1966</v>
      </c>
      <c r="B10" s="8">
        <f>'6B'!B10</f>
        <v>31085.599999999999</v>
      </c>
      <c r="C10" s="8">
        <f>'6B'!C10</f>
        <v>663.4</v>
      </c>
      <c r="D10" s="8">
        <f>'6B'!D10</f>
        <v>82.6</v>
      </c>
      <c r="E10" s="8">
        <f>'6B'!E10</f>
        <v>102.3</v>
      </c>
      <c r="F10" s="8">
        <f>'6B'!F10</f>
        <v>478.5</v>
      </c>
      <c r="G10" s="62">
        <f t="shared" si="1"/>
        <v>100</v>
      </c>
      <c r="H10" s="62">
        <f t="shared" si="2"/>
        <v>2.134107110687907</v>
      </c>
      <c r="I10" s="62">
        <f t="shared" si="3"/>
        <v>0.26571788866870832</v>
      </c>
      <c r="J10" s="62">
        <f t="shared" si="4"/>
        <v>0.32909128342383609</v>
      </c>
      <c r="K10" s="62">
        <f t="shared" si="5"/>
        <v>1.5392979385953627</v>
      </c>
    </row>
    <row r="11" spans="1:11">
      <c r="A11" s="130">
        <v>1967</v>
      </c>
      <c r="B11" s="8">
        <f>'6B'!B11</f>
        <v>33769.599999999999</v>
      </c>
      <c r="C11" s="8">
        <f>'6B'!C11</f>
        <v>687.2</v>
      </c>
      <c r="D11" s="8">
        <f>'6B'!D11</f>
        <v>84.7</v>
      </c>
      <c r="E11" s="8">
        <f>'6B'!E11</f>
        <v>104.7</v>
      </c>
      <c r="F11" s="8">
        <f>'6B'!F11</f>
        <v>497.8</v>
      </c>
      <c r="G11" s="62">
        <f t="shared" si="1"/>
        <v>100</v>
      </c>
      <c r="H11" s="62">
        <f t="shared" si="2"/>
        <v>2.034966360276699</v>
      </c>
      <c r="I11" s="62">
        <f t="shared" si="3"/>
        <v>0.25081730313654887</v>
      </c>
      <c r="J11" s="62">
        <f t="shared" si="4"/>
        <v>0.31004216810385676</v>
      </c>
      <c r="K11" s="62">
        <f t="shared" si="5"/>
        <v>1.4741068890362929</v>
      </c>
    </row>
    <row r="12" spans="1:11">
      <c r="A12" s="130">
        <v>1968</v>
      </c>
      <c r="B12" s="8">
        <f>'6B'!B12</f>
        <v>35585.300000000003</v>
      </c>
      <c r="C12" s="8">
        <f>'6B'!C12</f>
        <v>675.6</v>
      </c>
      <c r="D12" s="8">
        <f>'6B'!D12</f>
        <v>81.900000000000006</v>
      </c>
      <c r="E12" s="8">
        <f>'6B'!E12</f>
        <v>104.9</v>
      </c>
      <c r="F12" s="8">
        <f>'6B'!F12</f>
        <v>488.8</v>
      </c>
      <c r="G12" s="62">
        <f t="shared" si="1"/>
        <v>100</v>
      </c>
      <c r="H12" s="62">
        <f t="shared" si="2"/>
        <v>1.8985367553456061</v>
      </c>
      <c r="I12" s="62">
        <f t="shared" si="3"/>
        <v>0.23015121412493358</v>
      </c>
      <c r="J12" s="62">
        <f t="shared" si="4"/>
        <v>0.29478464422106876</v>
      </c>
      <c r="K12" s="62">
        <f t="shared" si="5"/>
        <v>1.3736008969996039</v>
      </c>
    </row>
    <row r="13" spans="1:11">
      <c r="A13" s="130">
        <v>1969</v>
      </c>
      <c r="B13" s="8">
        <f>'6B'!B13</f>
        <v>38889</v>
      </c>
      <c r="C13" s="8">
        <f>'6B'!C13</f>
        <v>709.5</v>
      </c>
      <c r="D13" s="8">
        <f>'6B'!D13</f>
        <v>83.4</v>
      </c>
      <c r="E13" s="8">
        <f>'6B'!E13</f>
        <v>117.9</v>
      </c>
      <c r="F13" s="8">
        <f>'6B'!F13</f>
        <v>508.2</v>
      </c>
      <c r="G13" s="62">
        <f t="shared" si="1"/>
        <v>100</v>
      </c>
      <c r="H13" s="62">
        <f t="shared" si="2"/>
        <v>1.8244233587904033</v>
      </c>
      <c r="I13" s="62">
        <f t="shared" si="3"/>
        <v>0.21445653012419968</v>
      </c>
      <c r="J13" s="62">
        <f t="shared" si="4"/>
        <v>0.30317056236982182</v>
      </c>
      <c r="K13" s="62">
        <f t="shared" si="5"/>
        <v>1.3067962662963819</v>
      </c>
    </row>
    <row r="14" spans="1:11">
      <c r="A14" s="130">
        <v>1970</v>
      </c>
      <c r="B14" s="8">
        <f>'6B'!B14</f>
        <v>43042.9</v>
      </c>
      <c r="C14" s="8">
        <f>'6B'!C14</f>
        <v>781.59999999999991</v>
      </c>
      <c r="D14" s="8">
        <f>'6B'!D14</f>
        <v>86</v>
      </c>
      <c r="E14" s="8">
        <f>'6B'!E14</f>
        <v>129.19999999999999</v>
      </c>
      <c r="F14" s="8">
        <f>'6B'!F14</f>
        <v>566.4</v>
      </c>
      <c r="G14" s="62">
        <f t="shared" si="1"/>
        <v>100</v>
      </c>
      <c r="H14" s="62">
        <f t="shared" si="2"/>
        <v>1.8158627787625832</v>
      </c>
      <c r="I14" s="62">
        <f t="shared" si="3"/>
        <v>0.19980066398871824</v>
      </c>
      <c r="J14" s="62">
        <f t="shared" si="4"/>
        <v>0.30016564869002782</v>
      </c>
      <c r="K14" s="62">
        <f t="shared" si="5"/>
        <v>1.3158964660838373</v>
      </c>
    </row>
    <row r="15" spans="1:11">
      <c r="A15" s="130">
        <v>1971</v>
      </c>
      <c r="B15" s="8">
        <f>'6B'!B15</f>
        <v>47062.1</v>
      </c>
      <c r="C15" s="8">
        <f>'6B'!C15</f>
        <v>824.1</v>
      </c>
      <c r="D15" s="8">
        <f>'6B'!D15</f>
        <v>86.5</v>
      </c>
      <c r="E15" s="8">
        <f>'6B'!E15</f>
        <v>134.4</v>
      </c>
      <c r="F15" s="8">
        <f>'6B'!F15</f>
        <v>603.20000000000005</v>
      </c>
      <c r="G15" s="62">
        <f t="shared" si="1"/>
        <v>100</v>
      </c>
      <c r="H15" s="62">
        <f t="shared" si="2"/>
        <v>1.7510905803183454</v>
      </c>
      <c r="I15" s="62">
        <f t="shared" si="3"/>
        <v>0.18379970294568243</v>
      </c>
      <c r="J15" s="62">
        <f t="shared" si="4"/>
        <v>0.2855801164843898</v>
      </c>
      <c r="K15" s="62">
        <f t="shared" si="5"/>
        <v>1.2817107608882734</v>
      </c>
    </row>
    <row r="16" spans="1:11">
      <c r="A16" s="130">
        <v>1972</v>
      </c>
      <c r="B16" s="8">
        <f>'6B'!B16</f>
        <v>51417</v>
      </c>
      <c r="C16" s="8">
        <f>'6B'!C16</f>
        <v>847</v>
      </c>
      <c r="D16" s="8">
        <f>'6B'!D16</f>
        <v>90.2</v>
      </c>
      <c r="E16" s="8">
        <f>'6B'!E16</f>
        <v>148.69999999999999</v>
      </c>
      <c r="F16" s="8">
        <f>'6B'!F16</f>
        <v>608.1</v>
      </c>
      <c r="G16" s="62">
        <f t="shared" si="1"/>
        <v>100</v>
      </c>
      <c r="H16" s="62">
        <f t="shared" si="2"/>
        <v>1.6473150903397711</v>
      </c>
      <c r="I16" s="62">
        <f t="shared" si="3"/>
        <v>0.17542836026994962</v>
      </c>
      <c r="J16" s="62">
        <f t="shared" si="4"/>
        <v>0.28920395977983931</v>
      </c>
      <c r="K16" s="62">
        <f t="shared" si="5"/>
        <v>1.182682770289982</v>
      </c>
    </row>
    <row r="17" spans="1:11">
      <c r="A17" s="130">
        <v>1973</v>
      </c>
      <c r="B17" s="8">
        <f>'6B'!B17</f>
        <v>58917.5</v>
      </c>
      <c r="C17" s="8">
        <f>'6B'!C17</f>
        <v>963.5</v>
      </c>
      <c r="D17" s="8">
        <f>'6B'!D17</f>
        <v>103.1</v>
      </c>
      <c r="E17" s="8">
        <f>'6B'!E17</f>
        <v>194.6</v>
      </c>
      <c r="F17" s="8">
        <f>'6B'!F17</f>
        <v>665.8</v>
      </c>
      <c r="G17" s="62">
        <f t="shared" si="1"/>
        <v>100</v>
      </c>
      <c r="H17" s="62">
        <f t="shared" si="2"/>
        <v>1.6353375482666441</v>
      </c>
      <c r="I17" s="62">
        <f t="shared" si="3"/>
        <v>0.17499045275172909</v>
      </c>
      <c r="J17" s="62">
        <f t="shared" si="4"/>
        <v>0.33029235795816181</v>
      </c>
      <c r="K17" s="62">
        <f t="shared" si="5"/>
        <v>1.1300547375567529</v>
      </c>
    </row>
    <row r="18" spans="1:11">
      <c r="A18" s="130">
        <v>1974</v>
      </c>
      <c r="B18" s="8">
        <f>'6B'!B18</f>
        <v>72430.600000000006</v>
      </c>
      <c r="C18" s="8">
        <f>'6B'!C18</f>
        <v>1223.8</v>
      </c>
      <c r="D18" s="8">
        <f>'6B'!D18</f>
        <v>135.19999999999999</v>
      </c>
      <c r="E18" s="8">
        <f>'6B'!E18</f>
        <v>271.10000000000002</v>
      </c>
      <c r="F18" s="8">
        <f>'6B'!F18</f>
        <v>817.5</v>
      </c>
      <c r="G18" s="62">
        <f t="shared" si="1"/>
        <v>100</v>
      </c>
      <c r="H18" s="62">
        <f t="shared" si="2"/>
        <v>1.6896173716633576</v>
      </c>
      <c r="I18" s="62">
        <f t="shared" si="3"/>
        <v>0.18666143867370968</v>
      </c>
      <c r="J18" s="62">
        <f t="shared" si="4"/>
        <v>0.37428931970741647</v>
      </c>
      <c r="K18" s="62">
        <f t="shared" si="5"/>
        <v>1.1286666132822314</v>
      </c>
    </row>
    <row r="19" spans="1:11">
      <c r="A19" s="130">
        <v>1975</v>
      </c>
      <c r="B19" s="8">
        <f>'6B'!B19</f>
        <v>83534.7</v>
      </c>
      <c r="C19" s="8">
        <f>'6B'!C19</f>
        <v>1471.2</v>
      </c>
      <c r="D19" s="8">
        <f>'6B'!D19</f>
        <v>155.9</v>
      </c>
      <c r="E19" s="8">
        <f>'6B'!E19</f>
        <v>325.60000000000002</v>
      </c>
      <c r="F19" s="8">
        <f>'6B'!F19</f>
        <v>989.7</v>
      </c>
      <c r="G19" s="62">
        <f t="shared" si="1"/>
        <v>100</v>
      </c>
      <c r="H19" s="62">
        <f t="shared" si="2"/>
        <v>1.7611842743195345</v>
      </c>
      <c r="I19" s="62">
        <f t="shared" si="3"/>
        <v>0.18662902961284353</v>
      </c>
      <c r="J19" s="62">
        <f t="shared" si="4"/>
        <v>0.38977814010225698</v>
      </c>
      <c r="K19" s="62">
        <f t="shared" si="5"/>
        <v>1.184777104604434</v>
      </c>
    </row>
    <row r="20" spans="1:11">
      <c r="A20" s="130">
        <v>1976</v>
      </c>
      <c r="B20" s="8">
        <f>'6B'!B20</f>
        <v>90413.4</v>
      </c>
      <c r="C20" s="8">
        <f>'6B'!C20</f>
        <v>1660.4</v>
      </c>
      <c r="D20" s="8">
        <f>'6B'!D20</f>
        <v>161.4</v>
      </c>
      <c r="E20" s="8">
        <f>'6B'!E20</f>
        <v>339.2</v>
      </c>
      <c r="F20" s="8">
        <f>'6B'!F20</f>
        <v>1159.8</v>
      </c>
      <c r="G20" s="62">
        <f t="shared" si="1"/>
        <v>100</v>
      </c>
      <c r="H20" s="62">
        <f t="shared" si="2"/>
        <v>1.8364534460599868</v>
      </c>
      <c r="I20" s="62">
        <f t="shared" si="3"/>
        <v>0.17851336195740899</v>
      </c>
      <c r="J20" s="62">
        <f t="shared" si="4"/>
        <v>0.37516562810379878</v>
      </c>
      <c r="K20" s="62">
        <f t="shared" si="5"/>
        <v>1.2827744559987788</v>
      </c>
    </row>
    <row r="21" spans="1:11">
      <c r="A21" s="130">
        <v>1977</v>
      </c>
      <c r="B21" s="8">
        <f>'6B'!B21</f>
        <v>98098.2</v>
      </c>
      <c r="C21" s="8">
        <f>'6B'!C21</f>
        <v>1834.3</v>
      </c>
      <c r="D21" s="8">
        <f>'6B'!D21</f>
        <v>175.5</v>
      </c>
      <c r="E21" s="8">
        <f>'6B'!E21</f>
        <v>354.7</v>
      </c>
      <c r="F21" s="8">
        <f>'6B'!F21</f>
        <v>1304.0999999999999</v>
      </c>
      <c r="G21" s="62">
        <f t="shared" si="1"/>
        <v>100</v>
      </c>
      <c r="H21" s="62">
        <f t="shared" si="2"/>
        <v>1.8698610168178416</v>
      </c>
      <c r="I21" s="62">
        <f t="shared" si="3"/>
        <v>0.17890236518101249</v>
      </c>
      <c r="J21" s="62">
        <f t="shared" si="4"/>
        <v>0.36157646113792097</v>
      </c>
      <c r="K21" s="62">
        <f t="shared" si="5"/>
        <v>1.329382190498908</v>
      </c>
    </row>
    <row r="22" spans="1:11">
      <c r="A22" s="130">
        <v>1978</v>
      </c>
      <c r="B22" s="8">
        <f>'6B'!B22</f>
        <v>107912.6</v>
      </c>
      <c r="C22" s="8">
        <f>'6B'!C22</f>
        <v>1943.7</v>
      </c>
      <c r="D22" s="8">
        <f>'6B'!D22</f>
        <v>183.8</v>
      </c>
      <c r="E22" s="8">
        <f>'6B'!E22</f>
        <v>380.7</v>
      </c>
      <c r="F22" s="8">
        <f>'6B'!F22</f>
        <v>1379.2</v>
      </c>
      <c r="G22" s="62">
        <f t="shared" si="1"/>
        <v>100</v>
      </c>
      <c r="H22" s="62">
        <f t="shared" si="2"/>
        <v>1.8011798436883182</v>
      </c>
      <c r="I22" s="62">
        <f t="shared" si="3"/>
        <v>0.17032302066672472</v>
      </c>
      <c r="J22" s="62">
        <f t="shared" si="4"/>
        <v>0.35278549492830308</v>
      </c>
      <c r="K22" s="62">
        <f t="shared" si="5"/>
        <v>1.2780713280932903</v>
      </c>
    </row>
    <row r="23" spans="1:11">
      <c r="A23" s="130">
        <v>1979</v>
      </c>
      <c r="B23" s="8">
        <f>'6B'!B23</f>
        <v>121081.3</v>
      </c>
      <c r="C23" s="8">
        <f>'6B'!C23</f>
        <v>2146</v>
      </c>
      <c r="D23" s="8">
        <f>'6B'!D23</f>
        <v>204.1</v>
      </c>
      <c r="E23" s="8">
        <f>'6B'!E23</f>
        <v>418.6</v>
      </c>
      <c r="F23" s="8">
        <f>'6B'!F23</f>
        <v>1523.3</v>
      </c>
      <c r="G23" s="62">
        <f t="shared" si="1"/>
        <v>100</v>
      </c>
      <c r="H23" s="62">
        <f t="shared" si="2"/>
        <v>1.7723628669332092</v>
      </c>
      <c r="I23" s="62">
        <f t="shared" si="3"/>
        <v>0.16856442737235228</v>
      </c>
      <c r="J23" s="62">
        <f t="shared" si="4"/>
        <v>0.34571812492928305</v>
      </c>
      <c r="K23" s="62">
        <f t="shared" si="5"/>
        <v>1.2580803146315738</v>
      </c>
    </row>
    <row r="24" spans="1:11">
      <c r="A24" s="130">
        <v>1980</v>
      </c>
      <c r="B24" s="8">
        <f>'6B'!B24</f>
        <v>137420.70000000001</v>
      </c>
      <c r="C24" s="8">
        <f>'6B'!C24</f>
        <v>2488.6999999999998</v>
      </c>
      <c r="D24" s="8">
        <f>'6B'!D24</f>
        <v>232.8</v>
      </c>
      <c r="E24" s="8">
        <f>'6B'!E24</f>
        <v>479.7</v>
      </c>
      <c r="F24" s="8">
        <f>'6B'!F24</f>
        <v>1776.2</v>
      </c>
      <c r="G24" s="62">
        <f t="shared" si="1"/>
        <v>100</v>
      </c>
      <c r="H24" s="62">
        <f t="shared" si="2"/>
        <v>1.8110080941226465</v>
      </c>
      <c r="I24" s="62">
        <f t="shared" si="3"/>
        <v>0.1694067924264685</v>
      </c>
      <c r="J24" s="62">
        <f t="shared" si="4"/>
        <v>0.34907404779629264</v>
      </c>
      <c r="K24" s="62">
        <f t="shared" si="5"/>
        <v>1.2925272538998853</v>
      </c>
    </row>
    <row r="25" spans="1:11">
      <c r="A25" s="130">
        <v>1981</v>
      </c>
      <c r="B25" s="8">
        <f>'6B'!B25</f>
        <v>156993.4</v>
      </c>
      <c r="C25" s="8">
        <f>'6B'!C25</f>
        <v>3074.2</v>
      </c>
      <c r="D25" s="8">
        <f>'6B'!D25</f>
        <v>273.7</v>
      </c>
      <c r="E25" s="8">
        <f>'6B'!E25</f>
        <v>534</v>
      </c>
      <c r="F25" s="8">
        <f>'6B'!F25</f>
        <v>2266.5</v>
      </c>
      <c r="G25" s="62">
        <f t="shared" si="1"/>
        <v>100</v>
      </c>
      <c r="H25" s="62">
        <f t="shared" si="2"/>
        <v>1.9581714900116822</v>
      </c>
      <c r="I25" s="62">
        <f t="shared" si="3"/>
        <v>0.17433853907234317</v>
      </c>
      <c r="J25" s="62">
        <f t="shared" si="4"/>
        <v>0.3401416874849516</v>
      </c>
      <c r="K25" s="62">
        <f t="shared" si="5"/>
        <v>1.4436912634543875</v>
      </c>
    </row>
    <row r="26" spans="1:11">
      <c r="A26" s="130">
        <v>1982</v>
      </c>
      <c r="B26" s="8">
        <f>'6B'!B26</f>
        <v>172591.4</v>
      </c>
      <c r="C26" s="8">
        <f>'6B'!C26</f>
        <v>3448.2</v>
      </c>
      <c r="D26" s="8">
        <f>'6B'!D26</f>
        <v>268.2</v>
      </c>
      <c r="E26" s="8">
        <f>'6B'!E26</f>
        <v>563</v>
      </c>
      <c r="F26" s="8">
        <f>'6B'!F26</f>
        <v>2617</v>
      </c>
      <c r="G26" s="62">
        <f t="shared" si="1"/>
        <v>100</v>
      </c>
      <c r="H26" s="62">
        <f t="shared" si="2"/>
        <v>1.9978979253890983</v>
      </c>
      <c r="I26" s="62">
        <f t="shared" si="3"/>
        <v>0.15539592355123141</v>
      </c>
      <c r="J26" s="62">
        <f t="shared" si="4"/>
        <v>0.32620397076563495</v>
      </c>
      <c r="K26" s="62">
        <f t="shared" si="5"/>
        <v>1.5162980310722318</v>
      </c>
    </row>
    <row r="27" spans="1:11">
      <c r="A27" s="130">
        <v>1983</v>
      </c>
      <c r="B27" s="8">
        <f>'6B'!B27</f>
        <v>180911.5</v>
      </c>
      <c r="C27" s="8">
        <f>'6B'!C27</f>
        <v>3366</v>
      </c>
      <c r="D27" s="8">
        <f>'6B'!D27</f>
        <v>259.10000000000002</v>
      </c>
      <c r="E27" s="8">
        <f>'6B'!E27</f>
        <v>553.5</v>
      </c>
      <c r="F27" s="8">
        <f>'6B'!F27</f>
        <v>2553.4</v>
      </c>
      <c r="G27" s="62">
        <f t="shared" si="1"/>
        <v>100</v>
      </c>
      <c r="H27" s="62">
        <f t="shared" si="2"/>
        <v>1.8605782385309946</v>
      </c>
      <c r="I27" s="62">
        <f t="shared" si="3"/>
        <v>0.14321919833730859</v>
      </c>
      <c r="J27" s="62">
        <f t="shared" si="4"/>
        <v>0.30595069965148708</v>
      </c>
      <c r="K27" s="62">
        <f t="shared" si="5"/>
        <v>1.4114083405421989</v>
      </c>
    </row>
    <row r="28" spans="1:11">
      <c r="A28" s="130">
        <v>1984</v>
      </c>
      <c r="B28" s="8">
        <f>'6B'!B28</f>
        <v>190769.9</v>
      </c>
      <c r="C28" s="8">
        <f>'6B'!C28</f>
        <v>3439.2000000000003</v>
      </c>
      <c r="D28" s="8">
        <f>'6B'!D28</f>
        <v>267.8</v>
      </c>
      <c r="E28" s="8">
        <f>'6B'!E28</f>
        <v>571.1</v>
      </c>
      <c r="F28" s="8">
        <f>'6B'!F28</f>
        <v>2600.3000000000002</v>
      </c>
      <c r="G28" s="62">
        <f t="shared" si="1"/>
        <v>100</v>
      </c>
      <c r="H28" s="62">
        <f t="shared" si="2"/>
        <v>1.8028001272737473</v>
      </c>
      <c r="I28" s="62">
        <f t="shared" si="3"/>
        <v>0.14037853980109022</v>
      </c>
      <c r="J28" s="62">
        <f t="shared" si="4"/>
        <v>0.29936588528903146</v>
      </c>
      <c r="K28" s="62">
        <f t="shared" si="5"/>
        <v>1.3630557021836254</v>
      </c>
    </row>
    <row r="29" spans="1:11">
      <c r="A29" s="130">
        <v>1985</v>
      </c>
      <c r="B29" s="8">
        <f>'6B'!B29</f>
        <v>204693.6</v>
      </c>
      <c r="C29" s="8">
        <f>'6B'!C29</f>
        <v>3748.9</v>
      </c>
      <c r="D29" s="8">
        <f>'6B'!D29</f>
        <v>286</v>
      </c>
      <c r="E29" s="8">
        <f>'6B'!E29</f>
        <v>582</v>
      </c>
      <c r="F29" s="8">
        <f>'6B'!F29</f>
        <v>2880.9</v>
      </c>
      <c r="G29" s="62">
        <f t="shared" si="1"/>
        <v>100</v>
      </c>
      <c r="H29" s="62">
        <f t="shared" si="2"/>
        <v>1.8314690835473115</v>
      </c>
      <c r="I29" s="62">
        <f t="shared" si="3"/>
        <v>0.13972102693977731</v>
      </c>
      <c r="J29" s="62">
        <f t="shared" si="4"/>
        <v>0.28432740447185451</v>
      </c>
      <c r="K29" s="62">
        <f t="shared" si="5"/>
        <v>1.4074206521356798</v>
      </c>
    </row>
    <row r="30" spans="1:11">
      <c r="A30" s="130">
        <v>1986</v>
      </c>
      <c r="B30" s="8">
        <f>'6B'!B30</f>
        <v>218879</v>
      </c>
      <c r="C30" s="8">
        <f>'6B'!C30</f>
        <v>3764.7</v>
      </c>
      <c r="D30" s="8">
        <f>'6B'!D30</f>
        <v>285.3</v>
      </c>
      <c r="E30" s="8">
        <f>'6B'!E30</f>
        <v>587.20000000000005</v>
      </c>
      <c r="F30" s="8">
        <f>'6B'!F30</f>
        <v>2892.2</v>
      </c>
      <c r="G30" s="62">
        <f t="shared" si="1"/>
        <v>100</v>
      </c>
      <c r="H30" s="62">
        <f t="shared" si="2"/>
        <v>1.7199914107794718</v>
      </c>
      <c r="I30" s="62">
        <f t="shared" si="3"/>
        <v>0.13034599025032095</v>
      </c>
      <c r="J30" s="62">
        <f t="shared" si="4"/>
        <v>0.26827607947770232</v>
      </c>
      <c r="K30" s="62">
        <f t="shared" si="5"/>
        <v>1.3213693410514484</v>
      </c>
    </row>
    <row r="31" spans="1:11">
      <c r="A31" s="130">
        <v>1987</v>
      </c>
      <c r="B31" s="8">
        <f>'6B'!B31</f>
        <v>237339</v>
      </c>
      <c r="C31" s="8">
        <f>'6B'!C31</f>
        <v>3873.5</v>
      </c>
      <c r="D31" s="8">
        <f>'6B'!D31</f>
        <v>295.10000000000002</v>
      </c>
      <c r="E31" s="8">
        <f>'6B'!E31</f>
        <v>653.6</v>
      </c>
      <c r="F31" s="8">
        <f>'6B'!F31</f>
        <v>2924.8</v>
      </c>
      <c r="G31" s="62">
        <f t="shared" si="1"/>
        <v>100</v>
      </c>
      <c r="H31" s="62">
        <f t="shared" si="2"/>
        <v>1.6320537290542221</v>
      </c>
      <c r="I31" s="62">
        <f t="shared" si="3"/>
        <v>0.12433691892187969</v>
      </c>
      <c r="J31" s="62">
        <f t="shared" si="4"/>
        <v>0.27538668318312626</v>
      </c>
      <c r="K31" s="62">
        <f t="shared" si="5"/>
        <v>1.2323301269492162</v>
      </c>
    </row>
    <row r="32" spans="1:11">
      <c r="A32" s="130">
        <v>1988</v>
      </c>
      <c r="B32" s="8">
        <f>'6B'!B32</f>
        <v>258917.6</v>
      </c>
      <c r="C32" s="8">
        <f>'6B'!C32</f>
        <v>4180.5</v>
      </c>
      <c r="D32" s="8">
        <f>'6B'!D32</f>
        <v>299.2</v>
      </c>
      <c r="E32" s="8">
        <f>'6B'!E32</f>
        <v>762.7</v>
      </c>
      <c r="F32" s="8">
        <f>'6B'!F32</f>
        <v>3118.6</v>
      </c>
      <c r="G32" s="62">
        <f t="shared" si="1"/>
        <v>100</v>
      </c>
      <c r="H32" s="62">
        <f t="shared" si="2"/>
        <v>1.61460634580268</v>
      </c>
      <c r="I32" s="62">
        <f t="shared" si="3"/>
        <v>0.11555799991966556</v>
      </c>
      <c r="J32" s="62">
        <f t="shared" si="4"/>
        <v>0.29457248174708867</v>
      </c>
      <c r="K32" s="62">
        <f t="shared" si="5"/>
        <v>1.2044758641359259</v>
      </c>
    </row>
    <row r="33" spans="1:11">
      <c r="A33" s="130">
        <v>1989</v>
      </c>
      <c r="B33" s="8">
        <f>'6B'!B33</f>
        <v>282004.40000000002</v>
      </c>
      <c r="C33" s="8">
        <f>'6B'!C33</f>
        <v>4810.8999999999996</v>
      </c>
      <c r="D33" s="8">
        <f>'6B'!D33</f>
        <v>301.5</v>
      </c>
      <c r="E33" s="8">
        <f>'6B'!E33</f>
        <v>837.8</v>
      </c>
      <c r="F33" s="8">
        <f>'6B'!F33</f>
        <v>3671.6</v>
      </c>
      <c r="G33" s="62">
        <f t="shared" si="1"/>
        <v>100</v>
      </c>
      <c r="H33" s="62">
        <f t="shared" si="2"/>
        <v>1.7059662898876753</v>
      </c>
      <c r="I33" s="62">
        <f t="shared" si="3"/>
        <v>0.10691322546740405</v>
      </c>
      <c r="J33" s="62">
        <f t="shared" si="4"/>
        <v>0.29708756317277313</v>
      </c>
      <c r="K33" s="62">
        <f t="shared" si="5"/>
        <v>1.301965501247498</v>
      </c>
    </row>
    <row r="34" spans="1:11">
      <c r="A34" s="130">
        <v>1990</v>
      </c>
      <c r="B34" s="8">
        <f>'6B'!B34</f>
        <v>298462.09999999998</v>
      </c>
      <c r="C34" s="8">
        <f>'6B'!C34</f>
        <v>5008.7</v>
      </c>
      <c r="D34" s="8">
        <f>'6B'!D34</f>
        <v>294.39999999999998</v>
      </c>
      <c r="E34" s="8">
        <f>'6B'!E34</f>
        <v>828.3</v>
      </c>
      <c r="F34" s="8">
        <f>'6B'!F34</f>
        <v>3886</v>
      </c>
      <c r="G34" s="62">
        <f t="shared" si="1"/>
        <v>100</v>
      </c>
      <c r="H34" s="62">
        <f t="shared" si="2"/>
        <v>1.6781695230315676</v>
      </c>
      <c r="I34" s="62">
        <f t="shared" si="3"/>
        <v>9.8638989674065813E-2</v>
      </c>
      <c r="J34" s="62">
        <f t="shared" si="4"/>
        <v>0.27752267373311384</v>
      </c>
      <c r="K34" s="62">
        <f t="shared" si="5"/>
        <v>1.302007859624388</v>
      </c>
    </row>
    <row r="35" spans="1:11">
      <c r="A35" s="130">
        <v>1991</v>
      </c>
      <c r="B35" s="8">
        <f>'6B'!B35</f>
        <v>298655</v>
      </c>
      <c r="C35" s="8">
        <f>'6B'!C35</f>
        <v>4740.8</v>
      </c>
      <c r="D35" s="8">
        <f>'6B'!D35</f>
        <v>259</v>
      </c>
      <c r="E35" s="8">
        <f>'6B'!E35</f>
        <v>764.6</v>
      </c>
      <c r="F35" s="8">
        <f>'6B'!F35</f>
        <v>3717.2</v>
      </c>
      <c r="G35" s="62">
        <f t="shared" si="1"/>
        <v>100</v>
      </c>
      <c r="H35" s="62">
        <f t="shared" si="2"/>
        <v>1.587383435736887</v>
      </c>
      <c r="I35" s="62">
        <f t="shared" si="3"/>
        <v>8.6722137583499365E-2</v>
      </c>
      <c r="J35" s="62">
        <f t="shared" si="4"/>
        <v>0.25601446485074753</v>
      </c>
      <c r="K35" s="62">
        <f t="shared" si="5"/>
        <v>1.2446468333026401</v>
      </c>
    </row>
    <row r="36" spans="1:11">
      <c r="A36" s="130">
        <v>1992</v>
      </c>
      <c r="B36" s="8">
        <f>'6B'!B36</f>
        <v>303186</v>
      </c>
      <c r="C36" s="8">
        <f>'6B'!C36</f>
        <v>4667.8999999999996</v>
      </c>
      <c r="D36" s="8">
        <f>'6B'!D36</f>
        <v>255.2</v>
      </c>
      <c r="E36" s="8">
        <f>'6B'!E36</f>
        <v>728.7</v>
      </c>
      <c r="F36" s="8">
        <f>'6B'!F36</f>
        <v>3684</v>
      </c>
      <c r="G36" s="62">
        <f t="shared" si="1"/>
        <v>100</v>
      </c>
      <c r="H36" s="62">
        <f t="shared" si="2"/>
        <v>1.5396159453272906</v>
      </c>
      <c r="I36" s="62">
        <f t="shared" si="3"/>
        <v>8.4172752040001839E-2</v>
      </c>
      <c r="J36" s="62">
        <f t="shared" si="4"/>
        <v>0.24034750944964481</v>
      </c>
      <c r="K36" s="62">
        <f t="shared" si="5"/>
        <v>1.2150956838376441</v>
      </c>
    </row>
    <row r="37" spans="1:11">
      <c r="A37" s="130">
        <v>1993</v>
      </c>
      <c r="B37" s="8">
        <f>'6B'!B37</f>
        <v>306836.7</v>
      </c>
      <c r="C37" s="8">
        <f>'6B'!C37</f>
        <v>4669.3</v>
      </c>
      <c r="D37" s="8">
        <f>'6B'!D37</f>
        <v>261.5</v>
      </c>
      <c r="E37" s="8">
        <f>'6B'!E37</f>
        <v>717.1</v>
      </c>
      <c r="F37" s="8">
        <f>'6B'!F37</f>
        <v>3690.7</v>
      </c>
      <c r="G37" s="62">
        <f t="shared" si="1"/>
        <v>100</v>
      </c>
      <c r="H37" s="62">
        <f t="shared" si="2"/>
        <v>1.521754079613032</v>
      </c>
      <c r="I37" s="62">
        <f t="shared" si="3"/>
        <v>8.5224485858438698E-2</v>
      </c>
      <c r="J37" s="62">
        <f t="shared" si="4"/>
        <v>0.233707375942969</v>
      </c>
      <c r="K37" s="62">
        <f t="shared" si="5"/>
        <v>1.2028222178116241</v>
      </c>
    </row>
    <row r="38" spans="1:11">
      <c r="A38" s="130">
        <v>1994</v>
      </c>
      <c r="B38" s="8">
        <f>'6B'!B38</f>
        <v>318911.5</v>
      </c>
      <c r="C38" s="8">
        <f>'6B'!C38</f>
        <v>4760.7999999999993</v>
      </c>
      <c r="D38" s="8">
        <f>'6B'!D38</f>
        <v>262.89999999999998</v>
      </c>
      <c r="E38" s="8">
        <f>'6B'!E38</f>
        <v>774.3</v>
      </c>
      <c r="F38" s="8">
        <f>'6B'!F38</f>
        <v>3723.6</v>
      </c>
      <c r="G38" s="62">
        <f t="shared" si="1"/>
        <v>100</v>
      </c>
      <c r="H38" s="62">
        <f t="shared" si="2"/>
        <v>1.4928279475653901</v>
      </c>
      <c r="I38" s="62">
        <f t="shared" si="3"/>
        <v>8.2436663463061069E-2</v>
      </c>
      <c r="J38" s="62">
        <f t="shared" si="4"/>
        <v>0.24279463111239324</v>
      </c>
      <c r="K38" s="62">
        <f t="shared" si="5"/>
        <v>1.167596652989936</v>
      </c>
    </row>
    <row r="39" spans="1:11">
      <c r="A39" s="130">
        <v>1995</v>
      </c>
      <c r="B39" s="8">
        <f>'6B'!B39</f>
        <v>330532.90000000002</v>
      </c>
      <c r="C39" s="8">
        <f>'6B'!C39</f>
        <v>5607.2</v>
      </c>
      <c r="D39" s="8">
        <f>'6B'!D39</f>
        <v>304.5</v>
      </c>
      <c r="E39" s="8">
        <f>'6B'!E39</f>
        <v>928.8</v>
      </c>
      <c r="F39" s="8">
        <f>'6B'!F39</f>
        <v>4373.8999999999996</v>
      </c>
      <c r="G39" s="62">
        <f t="shared" si="1"/>
        <v>100</v>
      </c>
      <c r="H39" s="62">
        <f t="shared" si="2"/>
        <v>1.6964120666959324</v>
      </c>
      <c r="I39" s="62">
        <f t="shared" si="3"/>
        <v>9.2123961033833537E-2</v>
      </c>
      <c r="J39" s="62">
        <f t="shared" si="4"/>
        <v>0.2810007717839888</v>
      </c>
      <c r="K39" s="62">
        <f t="shared" si="5"/>
        <v>1.3232873338781099</v>
      </c>
    </row>
    <row r="40" spans="1:11">
      <c r="A40" s="130">
        <v>1996</v>
      </c>
      <c r="B40" s="8">
        <f>'6B'!B40</f>
        <v>343484.9</v>
      </c>
      <c r="C40" s="8">
        <f>'6B'!C40</f>
        <v>5954.5</v>
      </c>
      <c r="D40" s="8">
        <f>'6B'!D40</f>
        <v>320.10000000000002</v>
      </c>
      <c r="E40" s="8">
        <f>'6B'!E40</f>
        <v>958.9</v>
      </c>
      <c r="F40" s="8">
        <f>'6B'!F40</f>
        <v>4675.5</v>
      </c>
      <c r="G40" s="62">
        <f t="shared" si="1"/>
        <v>100</v>
      </c>
      <c r="H40" s="62">
        <f t="shared" si="2"/>
        <v>1.7335550995109246</v>
      </c>
      <c r="I40" s="62">
        <f t="shared" si="3"/>
        <v>9.3191869569812236E-2</v>
      </c>
      <c r="J40" s="62">
        <f t="shared" si="4"/>
        <v>0.2791680216510245</v>
      </c>
      <c r="K40" s="62">
        <f t="shared" si="5"/>
        <v>1.3611952082900878</v>
      </c>
    </row>
    <row r="41" spans="1:11">
      <c r="A41" s="130">
        <v>1997</v>
      </c>
      <c r="B41" s="8">
        <f>'6B'!B41</f>
        <v>360655.8</v>
      </c>
      <c r="C41" s="8">
        <f>'6B'!C41</f>
        <v>5982.3</v>
      </c>
      <c r="D41" s="8">
        <f>'6B'!D41</f>
        <v>325</v>
      </c>
      <c r="E41" s="8">
        <f>'6B'!E41</f>
        <v>1064.7</v>
      </c>
      <c r="F41" s="8">
        <f>'6B'!F41</f>
        <v>4592.6000000000004</v>
      </c>
      <c r="G41" s="62">
        <f t="shared" si="1"/>
        <v>100</v>
      </c>
      <c r="H41" s="62">
        <f t="shared" si="2"/>
        <v>1.6587283498560126</v>
      </c>
      <c r="I41" s="62">
        <f t="shared" si="3"/>
        <v>9.0113620798556407E-2</v>
      </c>
      <c r="J41" s="62">
        <f t="shared" si="4"/>
        <v>0.29521222173607081</v>
      </c>
      <c r="K41" s="62">
        <f t="shared" si="5"/>
        <v>1.2734025073213853</v>
      </c>
    </row>
    <row r="42" spans="1:11">
      <c r="A42" s="130">
        <v>1998</v>
      </c>
      <c r="B42" s="8">
        <f>'6B'!B42</f>
        <v>377126.40000000002</v>
      </c>
      <c r="C42" s="8">
        <f>'6B'!C42</f>
        <v>6111.6</v>
      </c>
      <c r="D42" s="8">
        <f>'6B'!D42</f>
        <v>336.4</v>
      </c>
      <c r="E42" s="8">
        <f>'6B'!E42</f>
        <v>1121.4000000000001</v>
      </c>
      <c r="F42" s="8">
        <f>'6B'!F42</f>
        <v>4653.8</v>
      </c>
      <c r="G42" s="62">
        <f t="shared" si="1"/>
        <v>100</v>
      </c>
      <c r="H42" s="62">
        <f t="shared" si="2"/>
        <v>1.6205707158130536</v>
      </c>
      <c r="I42" s="62">
        <f t="shared" si="3"/>
        <v>8.9200862098224878E-2</v>
      </c>
      <c r="J42" s="62">
        <f t="shared" si="4"/>
        <v>0.29735388453314326</v>
      </c>
      <c r="K42" s="62">
        <f t="shared" si="5"/>
        <v>1.2340159691816854</v>
      </c>
    </row>
    <row r="43" spans="1:11">
      <c r="A43" s="130">
        <v>1999</v>
      </c>
      <c r="B43" s="8">
        <f>'6B'!B43</f>
        <v>390669.1</v>
      </c>
      <c r="C43" s="8">
        <f>'6B'!C43</f>
        <v>5956.6</v>
      </c>
      <c r="D43" s="8">
        <f>'6B'!D43</f>
        <v>325.10000000000002</v>
      </c>
      <c r="E43" s="8">
        <f>'6B'!E43</f>
        <v>1127.7</v>
      </c>
      <c r="F43" s="8">
        <f>'6B'!F43</f>
        <v>4503.8</v>
      </c>
      <c r="G43" s="62">
        <f t="shared" si="1"/>
        <v>100</v>
      </c>
      <c r="H43" s="62">
        <f t="shared" si="2"/>
        <v>1.5247174654970155</v>
      </c>
      <c r="I43" s="62">
        <f t="shared" si="3"/>
        <v>8.321620522329512E-2</v>
      </c>
      <c r="J43" s="62">
        <f t="shared" si="4"/>
        <v>0.2886586115973851</v>
      </c>
      <c r="K43" s="62">
        <f t="shared" si="5"/>
        <v>1.1528426486763352</v>
      </c>
    </row>
    <row r="44" spans="1:11">
      <c r="A44" s="130">
        <v>2000</v>
      </c>
      <c r="B44" s="8">
        <f>'6B'!B44</f>
        <v>412880.8</v>
      </c>
      <c r="C44" s="8">
        <f>'6B'!C44</f>
        <v>6112.3</v>
      </c>
      <c r="D44" s="8">
        <f>'6B'!D44</f>
        <v>317.2</v>
      </c>
      <c r="E44" s="8">
        <f>'6B'!E44</f>
        <v>1171.3</v>
      </c>
      <c r="F44" s="8">
        <f>'6B'!F44</f>
        <v>4623.8</v>
      </c>
      <c r="G44" s="62">
        <f t="shared" si="1"/>
        <v>100</v>
      </c>
      <c r="H44" s="62">
        <f t="shared" si="2"/>
        <v>1.4804030606412313</v>
      </c>
      <c r="I44" s="62">
        <f t="shared" si="3"/>
        <v>7.6826047614711082E-2</v>
      </c>
      <c r="J44" s="62">
        <f t="shared" si="4"/>
        <v>0.28368962664284703</v>
      </c>
      <c r="K44" s="62">
        <f t="shared" si="5"/>
        <v>1.1198873863836731</v>
      </c>
    </row>
    <row r="45" spans="1:11">
      <c r="A45" s="130">
        <v>2001</v>
      </c>
      <c r="B45" s="8">
        <f>'6B'!B45</f>
        <v>428076.6</v>
      </c>
      <c r="C45" s="8">
        <f>'6B'!C45</f>
        <v>6103.8</v>
      </c>
      <c r="D45" s="8">
        <f>'6B'!D45</f>
        <v>307.3</v>
      </c>
      <c r="E45" s="8">
        <f>'6B'!E45</f>
        <v>1155.9000000000001</v>
      </c>
      <c r="F45" s="8">
        <f>'6B'!F45</f>
        <v>4640.6000000000004</v>
      </c>
      <c r="G45" s="62">
        <f t="shared" si="1"/>
        <v>100</v>
      </c>
      <c r="H45" s="62">
        <f t="shared" si="2"/>
        <v>1.4258663052360256</v>
      </c>
      <c r="I45" s="62">
        <f t="shared" si="3"/>
        <v>7.1786217700290089E-2</v>
      </c>
      <c r="J45" s="62">
        <f t="shared" si="4"/>
        <v>0.270021767132331</v>
      </c>
      <c r="K45" s="62">
        <f t="shared" si="5"/>
        <v>1.0840583204034047</v>
      </c>
    </row>
    <row r="46" spans="1:11">
      <c r="A46" s="130">
        <v>2002</v>
      </c>
      <c r="B46" s="8">
        <f>'6B'!B46</f>
        <v>434703.7</v>
      </c>
      <c r="C46" s="8">
        <f>'6B'!C46</f>
        <v>5858.9</v>
      </c>
      <c r="D46" s="8">
        <f>'6B'!D46</f>
        <v>312.10000000000002</v>
      </c>
      <c r="E46" s="8">
        <f>'6B'!E46</f>
        <v>1123.0999999999999</v>
      </c>
      <c r="F46" s="8">
        <f>'6B'!F46</f>
        <v>4423.7</v>
      </c>
      <c r="G46" s="62">
        <f t="shared" si="1"/>
        <v>100</v>
      </c>
      <c r="H46" s="62">
        <f t="shared" si="2"/>
        <v>1.3477916106994257</v>
      </c>
      <c r="I46" s="62">
        <f t="shared" si="3"/>
        <v>7.1796030261532168E-2</v>
      </c>
      <c r="J46" s="62">
        <f t="shared" si="4"/>
        <v>0.25835988973638824</v>
      </c>
      <c r="K46" s="62">
        <f t="shared" si="5"/>
        <v>1.0176356907015054</v>
      </c>
    </row>
    <row r="47" spans="1:11">
      <c r="A47" s="130">
        <v>2003</v>
      </c>
      <c r="B47" s="8">
        <f>'6B'!B47</f>
        <v>442723.6</v>
      </c>
      <c r="C47" s="8">
        <f>'6B'!C47</f>
        <v>5505.7</v>
      </c>
      <c r="D47" s="8">
        <f>'6B'!D47</f>
        <v>314.8</v>
      </c>
      <c r="E47" s="8">
        <f>'6B'!E47</f>
        <v>1044.5</v>
      </c>
      <c r="F47" s="8">
        <f>'6B'!F47</f>
        <v>4146.3999999999996</v>
      </c>
      <c r="G47" s="62">
        <f t="shared" si="1"/>
        <v>100</v>
      </c>
      <c r="H47" s="62">
        <f t="shared" si="2"/>
        <v>1.2435975854912635</v>
      </c>
      <c r="I47" s="62">
        <f t="shared" si="3"/>
        <v>7.1105312660088599E-2</v>
      </c>
      <c r="J47" s="62">
        <f t="shared" si="4"/>
        <v>0.23592598180896615</v>
      </c>
      <c r="K47" s="62">
        <f t="shared" si="5"/>
        <v>0.9365662910222089</v>
      </c>
    </row>
    <row r="48" spans="1:11">
      <c r="A48" s="130">
        <v>2004</v>
      </c>
      <c r="B48" s="8">
        <f>'6B'!B48</f>
        <v>462637.5</v>
      </c>
      <c r="C48" s="8">
        <f>'6B'!C48</f>
        <v>5361.9</v>
      </c>
      <c r="D48" s="8">
        <f>'6B'!D48</f>
        <v>307.3</v>
      </c>
      <c r="E48" s="8">
        <f>'6B'!E48</f>
        <v>1075</v>
      </c>
      <c r="F48" s="8">
        <f>'6B'!F48</f>
        <v>3979.6</v>
      </c>
      <c r="G48" s="62">
        <f t="shared" si="1"/>
        <v>100</v>
      </c>
      <c r="H48" s="62">
        <f t="shared" si="2"/>
        <v>1.1589851665721</v>
      </c>
      <c r="I48" s="62">
        <f t="shared" si="3"/>
        <v>6.64234957174894E-2</v>
      </c>
      <c r="J48" s="62">
        <f t="shared" si="4"/>
        <v>0.23236335143605957</v>
      </c>
      <c r="K48" s="62">
        <f t="shared" si="5"/>
        <v>0.86019831941855118</v>
      </c>
    </row>
    <row r="49" spans="1:11">
      <c r="A49" s="130">
        <v>2005</v>
      </c>
      <c r="B49" s="8">
        <f>'6B'!B49</f>
        <v>483963.5</v>
      </c>
      <c r="C49" s="8">
        <f>'6B'!C49</f>
        <v>5211.8</v>
      </c>
      <c r="D49" s="8">
        <f>'6B'!D49</f>
        <v>306.7</v>
      </c>
      <c r="E49" s="8">
        <f>'6B'!E49</f>
        <v>1124.0999999999999</v>
      </c>
      <c r="F49" s="8">
        <f>'6B'!F49</f>
        <v>3781</v>
      </c>
      <c r="G49" s="62">
        <f t="shared" si="1"/>
        <v>100</v>
      </c>
      <c r="H49" s="62">
        <f t="shared" si="2"/>
        <v>1.076899394272502</v>
      </c>
      <c r="I49" s="62">
        <f t="shared" si="3"/>
        <v>6.3372547723123743E-2</v>
      </c>
      <c r="J49" s="62">
        <f t="shared" si="4"/>
        <v>0.23226958231354222</v>
      </c>
      <c r="K49" s="62">
        <f t="shared" si="5"/>
        <v>0.78125726423583597</v>
      </c>
    </row>
    <row r="50" spans="1:11">
      <c r="A50" s="130">
        <v>2006</v>
      </c>
      <c r="B50" s="8">
        <f>'6B'!B50</f>
        <v>511615</v>
      </c>
      <c r="C50" s="8">
        <f>'6B'!C50</f>
        <v>5087.6000000000004</v>
      </c>
      <c r="D50" s="8">
        <f>'6B'!D50</f>
        <v>309.39999999999998</v>
      </c>
      <c r="E50" s="8">
        <f>'6B'!E50</f>
        <v>1167.7</v>
      </c>
      <c r="F50" s="8">
        <f>'6B'!F50</f>
        <v>3610.5</v>
      </c>
      <c r="G50" s="62">
        <f t="shared" si="1"/>
        <v>100</v>
      </c>
      <c r="H50" s="62">
        <f t="shared" si="2"/>
        <v>0.99441963194980609</v>
      </c>
      <c r="I50" s="62">
        <f t="shared" si="3"/>
        <v>6.0475161987041039E-2</v>
      </c>
      <c r="J50" s="62">
        <f t="shared" si="4"/>
        <v>0.22823803055031616</v>
      </c>
      <c r="K50" s="62">
        <f t="shared" si="5"/>
        <v>0.70570643941244882</v>
      </c>
    </row>
    <row r="51" spans="1:11">
      <c r="A51" s="130">
        <v>2007</v>
      </c>
      <c r="B51" s="8">
        <f>'6B'!B51</f>
        <v>539562.5</v>
      </c>
      <c r="C51" s="8">
        <f>'6B'!C51</f>
        <v>4963.7999999999993</v>
      </c>
      <c r="D51" s="8">
        <f>'6B'!D51</f>
        <v>299.89999999999998</v>
      </c>
      <c r="E51" s="8">
        <f>'6B'!E51</f>
        <v>1178.8</v>
      </c>
      <c r="F51" s="8">
        <f>'6B'!F51</f>
        <v>3485.1</v>
      </c>
      <c r="G51" s="62">
        <f t="shared" si="1"/>
        <v>100</v>
      </c>
      <c r="H51" s="62">
        <f t="shared" si="2"/>
        <v>0.91996756631530163</v>
      </c>
      <c r="I51" s="62">
        <f t="shared" si="3"/>
        <v>5.5582068805745392E-2</v>
      </c>
      <c r="J51" s="62">
        <f t="shared" si="4"/>
        <v>0.21847330012741803</v>
      </c>
      <c r="K51" s="62">
        <f t="shared" si="5"/>
        <v>0.64591219738213823</v>
      </c>
    </row>
    <row r="52" spans="1:11">
      <c r="A52" s="130">
        <v>2008</v>
      </c>
      <c r="B52" s="8">
        <f>'6B'!B52</f>
        <v>582345.1</v>
      </c>
      <c r="C52" s="8">
        <f>'6B'!C52</f>
        <v>5039.5</v>
      </c>
      <c r="D52" s="8">
        <f>'6B'!D52</f>
        <v>307.8</v>
      </c>
      <c r="E52" s="8">
        <f>'6B'!E52</f>
        <v>1228.3</v>
      </c>
      <c r="F52" s="8">
        <f>'6B'!F52</f>
        <v>3503.4</v>
      </c>
      <c r="G52" s="62">
        <f t="shared" si="1"/>
        <v>100</v>
      </c>
      <c r="H52" s="62">
        <f t="shared" si="2"/>
        <v>0.86538033890900778</v>
      </c>
      <c r="I52" s="62">
        <f t="shared" si="3"/>
        <v>5.2855257131896538E-2</v>
      </c>
      <c r="J52" s="62">
        <f t="shared" si="4"/>
        <v>0.21092304202439413</v>
      </c>
      <c r="K52" s="62">
        <f t="shared" si="5"/>
        <v>0.60160203975271709</v>
      </c>
    </row>
    <row r="53" spans="1:11">
      <c r="A53" s="130">
        <v>2009</v>
      </c>
      <c r="B53" s="8">
        <f>'6B'!B53</f>
        <v>591626.19999999995</v>
      </c>
      <c r="C53" s="8">
        <f>'6B'!C53</f>
        <v>4711.2000000000007</v>
      </c>
      <c r="D53" s="8">
        <f>'6B'!D53</f>
        <v>301.7</v>
      </c>
      <c r="E53" s="8">
        <f>'6B'!E53</f>
        <v>1135.7</v>
      </c>
      <c r="F53" s="8">
        <f>'6B'!F53</f>
        <v>3273.8</v>
      </c>
      <c r="G53" s="62">
        <f t="shared" si="1"/>
        <v>100</v>
      </c>
      <c r="H53" s="62">
        <f t="shared" si="2"/>
        <v>0.79631361829479508</v>
      </c>
      <c r="I53" s="62">
        <f t="shared" si="3"/>
        <v>5.099503706901419E-2</v>
      </c>
      <c r="J53" s="62">
        <f t="shared" si="4"/>
        <v>0.1919624249230342</v>
      </c>
      <c r="K53" s="62">
        <f t="shared" si="5"/>
        <v>0.55335615630274659</v>
      </c>
    </row>
    <row r="54" spans="1:11">
      <c r="A54" s="130">
        <v>2010</v>
      </c>
      <c r="B54" s="8">
        <f>'6B'!B54</f>
        <v>599899.19999999995</v>
      </c>
      <c r="C54" s="8">
        <f>'6B'!C54</f>
        <v>4237.3999999999996</v>
      </c>
      <c r="D54" s="8">
        <f>'6B'!D54</f>
        <v>274.10000000000002</v>
      </c>
      <c r="E54" s="8">
        <f>'6B'!E54</f>
        <v>1046.4000000000001</v>
      </c>
      <c r="F54" s="8">
        <f>'6B'!F54</f>
        <v>2916.9</v>
      </c>
      <c r="G54" s="62">
        <f t="shared" si="1"/>
        <v>100</v>
      </c>
      <c r="H54" s="62">
        <f t="shared" si="2"/>
        <v>0.70635200046941216</v>
      </c>
      <c r="I54" s="62">
        <f t="shared" si="3"/>
        <v>4.5691009422916387E-2</v>
      </c>
      <c r="J54" s="62">
        <f t="shared" si="4"/>
        <v>0.17442930412309271</v>
      </c>
      <c r="K54" s="62">
        <f t="shared" si="5"/>
        <v>0.48623168692340324</v>
      </c>
    </row>
    <row r="55" spans="1:11">
      <c r="A55" s="130">
        <v>2011</v>
      </c>
      <c r="B55" s="8">
        <f>'6B'!B55</f>
        <v>626877.4</v>
      </c>
      <c r="C55" s="8">
        <f>'6B'!C55</f>
        <v>4055.7</v>
      </c>
      <c r="D55" s="8">
        <f>'6B'!D55</f>
        <v>277.39999999999998</v>
      </c>
      <c r="E55" s="8">
        <f>'6B'!E55</f>
        <v>1020.9</v>
      </c>
      <c r="F55" s="8">
        <f>'6B'!F55</f>
        <v>2757.4</v>
      </c>
      <c r="G55" s="62">
        <f t="shared" si="1"/>
        <v>100</v>
      </c>
      <c r="H55" s="62">
        <f t="shared" si="2"/>
        <v>0.64696860981110493</v>
      </c>
      <c r="I55" s="62">
        <f t="shared" si="3"/>
        <v>4.4251076845328925E-2</v>
      </c>
      <c r="J55" s="62">
        <f t="shared" si="4"/>
        <v>0.16285481020690806</v>
      </c>
      <c r="K55" s="62">
        <f t="shared" si="5"/>
        <v>0.43986272275886801</v>
      </c>
    </row>
    <row r="56" spans="1:11">
      <c r="A56" s="130">
        <v>2012</v>
      </c>
      <c r="B56" s="8">
        <f>'6B'!B56</f>
        <v>650340.19999999995</v>
      </c>
      <c r="C56" s="8">
        <f>'6B'!C56</f>
        <v>4009</v>
      </c>
      <c r="D56" s="8">
        <f>'6B'!D56</f>
        <v>292</v>
      </c>
      <c r="E56" s="8">
        <f>'6B'!E56</f>
        <v>1034.5</v>
      </c>
      <c r="F56" s="8">
        <f>'6B'!F56</f>
        <v>2682.5</v>
      </c>
      <c r="G56" s="62">
        <f t="shared" si="1"/>
        <v>100</v>
      </c>
      <c r="H56" s="62">
        <f t="shared" si="2"/>
        <v>0.61644659210671593</v>
      </c>
      <c r="I56" s="62">
        <f t="shared" si="3"/>
        <v>4.4899577175146185E-2</v>
      </c>
      <c r="J56" s="62">
        <f t="shared" si="4"/>
        <v>0.15907059105372851</v>
      </c>
      <c r="K56" s="62">
        <f t="shared" si="5"/>
        <v>0.41247642387784123</v>
      </c>
    </row>
    <row r="57" spans="1:11">
      <c r="A57" s="130">
        <v>2013</v>
      </c>
      <c r="B57" s="8">
        <f>'6B'!B57</f>
        <v>667667.19999999995</v>
      </c>
      <c r="C57" s="8">
        <f>'6B'!C57</f>
        <v>3939.6</v>
      </c>
      <c r="D57" s="8">
        <f>'6B'!D57</f>
        <v>290</v>
      </c>
      <c r="E57" s="8">
        <f>'6B'!E57</f>
        <v>996.4</v>
      </c>
      <c r="F57" s="8">
        <f>'6B'!F57</f>
        <v>2653.2</v>
      </c>
      <c r="G57" s="62">
        <f t="shared" si="1"/>
        <v>100</v>
      </c>
      <c r="H57" s="62">
        <f t="shared" si="2"/>
        <v>0.59005444628701254</v>
      </c>
      <c r="I57" s="62">
        <f t="shared" si="3"/>
        <v>4.3434813032600675E-2</v>
      </c>
      <c r="J57" s="62">
        <f t="shared" si="4"/>
        <v>0.14923602657132176</v>
      </c>
      <c r="K57" s="62">
        <f t="shared" si="5"/>
        <v>0.39738360668308997</v>
      </c>
    </row>
    <row r="58" spans="1:1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</row>
    <row r="59" spans="1:11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</row>
    <row r="60" spans="1:11" ht="30">
      <c r="A60" s="130" t="s">
        <v>282</v>
      </c>
      <c r="B60" s="7">
        <f>((B5/B44)^(1/39)-1)*100</f>
        <v>-7.4266390848223285</v>
      </c>
      <c r="C60" s="7">
        <f t="shared" ref="C60:K60" si="6">((C5/C44)^(1/39)-1)*100</f>
        <v>-6.4956101032093922</v>
      </c>
      <c r="D60" s="7">
        <f t="shared" si="6"/>
        <v>-4.1962769339319639</v>
      </c>
      <c r="E60" s="7">
        <f t="shared" si="6"/>
        <v>-6.8528174993018887</v>
      </c>
      <c r="F60" s="7">
        <f t="shared" si="6"/>
        <v>-6.6776893064119713</v>
      </c>
      <c r="G60" s="7">
        <f t="shared" si="6"/>
        <v>0</v>
      </c>
      <c r="H60" s="7">
        <f t="shared" si="6"/>
        <v>1.0057201903536983</v>
      </c>
      <c r="I60" s="7">
        <f t="shared" si="6"/>
        <v>3.4895159027987122</v>
      </c>
      <c r="J60" s="7">
        <f t="shared" si="6"/>
        <v>0.6198560577769463</v>
      </c>
      <c r="K60" s="7">
        <f t="shared" si="6"/>
        <v>0.80903379871515302</v>
      </c>
    </row>
    <row r="61" spans="1:11" ht="30">
      <c r="A61" s="130" t="s">
        <v>68</v>
      </c>
      <c r="B61" s="7">
        <f>((B51/B44)^(1/7)-1)*100</f>
        <v>3.8968638960156232</v>
      </c>
      <c r="C61" s="7">
        <f t="shared" ref="C61:K61" si="7">((C51/C44)^(1/7)-1)*100</f>
        <v>-2.9295400277165706</v>
      </c>
      <c r="D61" s="7">
        <f t="shared" si="7"/>
        <v>-0.79799050118817272</v>
      </c>
      <c r="E61" s="7">
        <f t="shared" si="7"/>
        <v>9.1223423101838286E-2</v>
      </c>
      <c r="F61" s="7">
        <f t="shared" si="7"/>
        <v>-3.9583842806399039</v>
      </c>
      <c r="G61" s="7">
        <f t="shared" si="7"/>
        <v>0</v>
      </c>
      <c r="H61" s="7">
        <f t="shared" si="7"/>
        <v>-6.5703657143726275</v>
      </c>
      <c r="I61" s="7">
        <f t="shared" si="7"/>
        <v>-4.5187643025516362</v>
      </c>
      <c r="J61" s="7">
        <f t="shared" si="7"/>
        <v>-3.6629021610533274</v>
      </c>
      <c r="K61" s="7">
        <f t="shared" si="7"/>
        <v>-7.5606210640942972</v>
      </c>
    </row>
    <row r="62" spans="1:11" ht="30">
      <c r="A62" s="130" t="s">
        <v>69</v>
      </c>
      <c r="B62" s="7">
        <f>((B57/B51)^(1/6)-1)*100</f>
        <v>3.6143039477710692</v>
      </c>
      <c r="C62" s="7">
        <f t="shared" ref="C62:K62" si="8">((C57/C51)^(1/6)-1)*100</f>
        <v>-3.7783110487945137</v>
      </c>
      <c r="D62" s="7">
        <f t="shared" si="8"/>
        <v>-0.55790726418410985</v>
      </c>
      <c r="E62" s="7">
        <f t="shared" si="8"/>
        <v>-2.7628401482427067</v>
      </c>
      <c r="F62" s="7">
        <f t="shared" si="8"/>
        <v>-4.4437442597497157</v>
      </c>
      <c r="G62" s="7">
        <f t="shared" si="8"/>
        <v>0</v>
      </c>
      <c r="H62" s="7">
        <f t="shared" si="8"/>
        <v>-7.1347436742826398</v>
      </c>
      <c r="I62" s="7">
        <f t="shared" si="8"/>
        <v>-4.0266749406126952</v>
      </c>
      <c r="J62" s="7">
        <f t="shared" si="8"/>
        <v>-6.1546947217136161</v>
      </c>
      <c r="K62" s="7">
        <f t="shared" si="8"/>
        <v>-7.7769650526076095</v>
      </c>
    </row>
    <row r="63" spans="1:11" ht="30">
      <c r="A63" s="130" t="s">
        <v>15</v>
      </c>
      <c r="B63" s="7">
        <f>((B57/B44)^(1/13)-1)*100</f>
        <v>3.7663559902418209</v>
      </c>
      <c r="C63" s="7">
        <f t="shared" ref="C63:K63" si="9">((C57/C44)^(1/13)-1)*100</f>
        <v>-3.3222068603865451</v>
      </c>
      <c r="D63" s="7">
        <f t="shared" si="9"/>
        <v>-0.68725496363748473</v>
      </c>
      <c r="E63" s="7">
        <f t="shared" si="9"/>
        <v>-1.2362999180061673</v>
      </c>
      <c r="F63" s="7">
        <f t="shared" si="9"/>
        <v>-4.1827021613730198</v>
      </c>
      <c r="G63" s="7">
        <f t="shared" si="9"/>
        <v>0</v>
      </c>
      <c r="H63" s="7">
        <f t="shared" si="9"/>
        <v>-6.8312727983769417</v>
      </c>
      <c r="I63" s="7">
        <f t="shared" si="9"/>
        <v>-4.2919604445762038</v>
      </c>
      <c r="J63" s="7">
        <f t="shared" si="9"/>
        <v>-4.8210769863773928</v>
      </c>
      <c r="K63" s="7">
        <f t="shared" si="9"/>
        <v>-7.6605351279391387</v>
      </c>
    </row>
    <row r="64" spans="1:11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</row>
    <row r="65" spans="1:6">
      <c r="A65" s="217" t="s">
        <v>284</v>
      </c>
      <c r="B65" s="168"/>
      <c r="C65" s="168"/>
      <c r="D65" s="168"/>
      <c r="E65" s="168"/>
      <c r="F65" s="168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64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2"/>
  <sheetViews>
    <sheetView view="pageBreakPreview" zoomScaleNormal="100" zoomScaleSheetLayoutView="100" workbookViewId="0">
      <selection activeCell="G18" sqref="G18"/>
    </sheetView>
  </sheetViews>
  <sheetFormatPr defaultRowHeight="15"/>
  <cols>
    <col min="1" max="16384" width="9.140625" style="181"/>
  </cols>
  <sheetData>
    <row r="1" spans="1:11" ht="15" customHeight="1">
      <c r="A1" s="454" t="s">
        <v>252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35</v>
      </c>
      <c r="C2" s="454"/>
      <c r="D2" s="454"/>
      <c r="E2" s="454"/>
      <c r="F2" s="454"/>
      <c r="G2" s="461" t="s">
        <v>241</v>
      </c>
      <c r="H2" s="461"/>
      <c r="I2" s="461"/>
      <c r="J2" s="461"/>
      <c r="K2" s="461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</row>
    <row r="5" spans="1:11">
      <c r="A5" s="130">
        <v>1984</v>
      </c>
      <c r="B5" s="10">
        <f>'1A'!L5/'6A'!L28*1000</f>
        <v>815.89779558806299</v>
      </c>
      <c r="C5" s="10">
        <f>'1A'!M5/'6A'!M28*1000</f>
        <v>856.23693645595017</v>
      </c>
      <c r="D5" s="129">
        <f>'1A'!N5/'6A'!N28*1000</f>
        <v>738.25493318562644</v>
      </c>
      <c r="E5" s="10">
        <f>'1A'!O5/'6A'!O28*1000</f>
        <v>2370.0495242083539</v>
      </c>
      <c r="F5" s="10">
        <f>'1A'!S5/'6A'!P28*1000</f>
        <v>528.37707803647777</v>
      </c>
      <c r="G5" s="71">
        <f t="shared" ref="G5:G27" si="0">B5/B$28*100</f>
        <v>86.97896732517188</v>
      </c>
      <c r="H5" s="71">
        <f t="shared" ref="H5:H27" si="1">C5/C$28*100</f>
        <v>97.238692908788593</v>
      </c>
      <c r="I5" s="71">
        <f t="shared" ref="I5:I27" si="2">D5/D$28*100</f>
        <v>39.257691966872656</v>
      </c>
      <c r="J5" s="71">
        <f t="shared" ref="J5:J27" si="3">E5/E$28*100</f>
        <v>200.32143130286997</v>
      </c>
      <c r="K5" s="71">
        <f t="shared" ref="K5:K27" si="4">F5/F$28*100</f>
        <v>81.53130198111954</v>
      </c>
    </row>
    <row r="6" spans="1:11">
      <c r="A6" s="130">
        <v>1985</v>
      </c>
      <c r="B6" s="10">
        <f>'1A'!L6/'6A'!L29*1000</f>
        <v>833.74563754827864</v>
      </c>
      <c r="C6" s="10">
        <f>'1A'!M6/'6A'!M29*1000</f>
        <v>801.0744608001221</v>
      </c>
      <c r="D6" s="129">
        <f>'1A'!N6/'6A'!N29*1000</f>
        <v>748.52303883218065</v>
      </c>
      <c r="E6" s="10">
        <f>'1A'!O6/'6A'!O29*1000</f>
        <v>2251.7522738463267</v>
      </c>
      <c r="F6" s="10">
        <f>'1A'!S6/'6A'!P29*1000</f>
        <v>489.49318806760294</v>
      </c>
      <c r="G6" s="71">
        <f t="shared" si="0"/>
        <v>88.881640516687909</v>
      </c>
      <c r="H6" s="71">
        <f t="shared" si="1"/>
        <v>90.974157005224995</v>
      </c>
      <c r="I6" s="71">
        <f t="shared" si="2"/>
        <v>39.803712197061039</v>
      </c>
      <c r="J6" s="71">
        <f t="shared" si="3"/>
        <v>190.32270584601241</v>
      </c>
      <c r="K6" s="71">
        <f t="shared" si="4"/>
        <v>75.531317676285454</v>
      </c>
    </row>
    <row r="7" spans="1:11">
      <c r="A7" s="130">
        <v>1986</v>
      </c>
      <c r="B7" s="10">
        <f>'1A'!L7/'6A'!L30*1000</f>
        <v>846.10573477764569</v>
      </c>
      <c r="C7" s="10">
        <f>'1A'!M7/'6A'!M30*1000</f>
        <v>741.96492229034448</v>
      </c>
      <c r="D7" s="129">
        <f>'1A'!N7/'6A'!N30*1000</f>
        <v>812.28150174798634</v>
      </c>
      <c r="E7" s="10">
        <f>'1A'!O7/'6A'!O30*1000</f>
        <v>2207.4669290265956</v>
      </c>
      <c r="F7" s="10">
        <f>'1A'!S7/'6A'!P30*1000</f>
        <v>442.16190400857141</v>
      </c>
      <c r="G7" s="71">
        <f t="shared" si="0"/>
        <v>90.199291451477109</v>
      </c>
      <c r="H7" s="71">
        <f t="shared" si="1"/>
        <v>84.261372239219796</v>
      </c>
      <c r="I7" s="71">
        <f t="shared" si="2"/>
        <v>43.194153608172641</v>
      </c>
      <c r="J7" s="71">
        <f t="shared" si="3"/>
        <v>186.57961796138568</v>
      </c>
      <c r="K7" s="71">
        <f t="shared" si="4"/>
        <v>68.22785699606149</v>
      </c>
    </row>
    <row r="8" spans="1:11">
      <c r="A8" s="130">
        <v>1987</v>
      </c>
      <c r="B8" s="10">
        <f>'1A'!L8/'6A'!L31*1000</f>
        <v>865.43009615555241</v>
      </c>
      <c r="C8" s="10">
        <f>'1A'!M8/'6A'!M31*1000</f>
        <v>648.08132476103799</v>
      </c>
      <c r="D8" s="129">
        <f>'1A'!N8/'6A'!N31*1000</f>
        <v>694.65715271974796</v>
      </c>
      <c r="E8" s="10">
        <f>'1A'!O8/'6A'!O31*1000</f>
        <v>2005.4620589616375</v>
      </c>
      <c r="F8" s="10">
        <f>'1A'!S8/'6A'!P31*1000</f>
        <v>392.40935208246009</v>
      </c>
      <c r="G8" s="71">
        <f t="shared" si="0"/>
        <v>92.259369326374795</v>
      </c>
      <c r="H8" s="71">
        <f t="shared" si="1"/>
        <v>73.599465562884532</v>
      </c>
      <c r="I8" s="71">
        <f t="shared" si="2"/>
        <v>36.939321768405662</v>
      </c>
      <c r="J8" s="71">
        <f t="shared" si="3"/>
        <v>169.50575334875521</v>
      </c>
      <c r="K8" s="71">
        <f t="shared" si="4"/>
        <v>60.550782224965779</v>
      </c>
    </row>
    <row r="9" spans="1:11">
      <c r="A9" s="130">
        <v>1988</v>
      </c>
      <c r="B9" s="10">
        <f>'1A'!L9/'6A'!L32*1000</f>
        <v>876.02144076780178</v>
      </c>
      <c r="C9" s="10">
        <f>'1A'!M9/'6A'!M32*1000</f>
        <v>587.48344774731197</v>
      </c>
      <c r="D9" s="129">
        <f>'1A'!N9/'6A'!N32*1000</f>
        <v>693.00232067947627</v>
      </c>
      <c r="E9" s="10">
        <f>'1A'!O9/'6A'!O32*1000</f>
        <v>1638.7561134585217</v>
      </c>
      <c r="F9" s="10">
        <f>'1A'!S9/'6A'!P32*1000</f>
        <v>377.04734080401198</v>
      </c>
      <c r="G9" s="71">
        <f t="shared" si="0"/>
        <v>93.388461992073815</v>
      </c>
      <c r="H9" s="71">
        <f t="shared" si="1"/>
        <v>66.717657382252057</v>
      </c>
      <c r="I9" s="71">
        <f t="shared" si="2"/>
        <v>36.851323864736308</v>
      </c>
      <c r="J9" s="71">
        <f t="shared" si="3"/>
        <v>138.51101711218087</v>
      </c>
      <c r="K9" s="71">
        <f t="shared" si="4"/>
        <v>58.180344837267349</v>
      </c>
    </row>
    <row r="10" spans="1:11">
      <c r="A10" s="130">
        <v>1989</v>
      </c>
      <c r="B10" s="10">
        <f>'1A'!L10/'6A'!L33*1000</f>
        <v>860.23101697286563</v>
      </c>
      <c r="C10" s="10">
        <f>'1A'!M10/'6A'!M33*1000</f>
        <v>546.18954413990218</v>
      </c>
      <c r="D10" s="129">
        <f>'1A'!N10/'6A'!N33*1000</f>
        <v>690.33154652978249</v>
      </c>
      <c r="E10" s="10">
        <f>'1A'!O10/'6A'!O33*1000</f>
        <v>1725.1430835151971</v>
      </c>
      <c r="F10" s="10">
        <f>'1A'!S10/'6A'!P33*1000</f>
        <v>321.77203823470893</v>
      </c>
      <c r="G10" s="71">
        <f t="shared" si="0"/>
        <v>91.705120325093986</v>
      </c>
      <c r="H10" s="71">
        <f t="shared" si="1"/>
        <v>62.028108215515545</v>
      </c>
      <c r="I10" s="71">
        <f t="shared" si="2"/>
        <v>36.709301882669301</v>
      </c>
      <c r="J10" s="71">
        <f t="shared" si="3"/>
        <v>145.8126204377281</v>
      </c>
      <c r="K10" s="71">
        <f t="shared" si="4"/>
        <v>49.651081223821059</v>
      </c>
    </row>
    <row r="11" spans="1:11">
      <c r="A11" s="130">
        <v>1990</v>
      </c>
      <c r="B11" s="10">
        <f>'1A'!L11/'6A'!L34*1000</f>
        <v>839.932566884675</v>
      </c>
      <c r="C11" s="10">
        <f>'1A'!M11/'6A'!M34*1000</f>
        <v>568.14959230784518</v>
      </c>
      <c r="D11" s="129">
        <f>'1A'!N11/'6A'!N34*1000</f>
        <v>829.79873076223066</v>
      </c>
      <c r="E11" s="10">
        <f>'1A'!O11/'6A'!O34*1000</f>
        <v>1837.9242172849069</v>
      </c>
      <c r="F11" s="10">
        <f>'1A'!S11/'6A'!P34*1000</f>
        <v>331.57127348283359</v>
      </c>
      <c r="G11" s="71">
        <f t="shared" si="0"/>
        <v>89.541199504962549</v>
      </c>
      <c r="H11" s="71">
        <f t="shared" si="1"/>
        <v>64.522004810193295</v>
      </c>
      <c r="I11" s="71">
        <f t="shared" si="2"/>
        <v>44.12565565420293</v>
      </c>
      <c r="J11" s="71">
        <f t="shared" si="3"/>
        <v>155.34511244261779</v>
      </c>
      <c r="K11" s="71">
        <f t="shared" si="4"/>
        <v>51.163153645978113</v>
      </c>
    </row>
    <row r="12" spans="1:11">
      <c r="A12" s="130">
        <v>1991</v>
      </c>
      <c r="B12" s="10">
        <f>'1A'!L12/'6A'!L35*1000</f>
        <v>801.44166526689298</v>
      </c>
      <c r="C12" s="10">
        <f>'1A'!M12/'6A'!M35*1000</f>
        <v>593.35654138067014</v>
      </c>
      <c r="D12" s="129">
        <f>'1A'!N12/'6A'!N35*1000</f>
        <v>1034.3899760577101</v>
      </c>
      <c r="E12" s="10">
        <f>'1A'!O12/'6A'!O35*1000</f>
        <v>1930.4422795995379</v>
      </c>
      <c r="F12" s="10">
        <f>'1A'!S12/'6A'!P35*1000</f>
        <v>333.71724273998694</v>
      </c>
      <c r="G12" s="71">
        <f t="shared" si="0"/>
        <v>85.437868312951593</v>
      </c>
      <c r="H12" s="71">
        <f t="shared" si="1"/>
        <v>67.384636256817416</v>
      </c>
      <c r="I12" s="71">
        <f t="shared" si="2"/>
        <v>55.005068342000449</v>
      </c>
      <c r="J12" s="71">
        <f t="shared" si="3"/>
        <v>163.16492822069759</v>
      </c>
      <c r="K12" s="71">
        <f t="shared" si="4"/>
        <v>51.494287744749691</v>
      </c>
    </row>
    <row r="13" spans="1:11">
      <c r="A13" s="130">
        <v>1992</v>
      </c>
      <c r="B13" s="10">
        <f>'1A'!L13/'6A'!L36*1000</f>
        <v>797.18985376617297</v>
      </c>
      <c r="C13" s="10" t="s">
        <v>10</v>
      </c>
      <c r="D13" s="129">
        <f>'1A'!N13/'6A'!N36*1000</f>
        <v>1132.9878727519433</v>
      </c>
      <c r="E13" s="10">
        <f>'1A'!O13/'6A'!O36*1000</f>
        <v>1973.5581034147747</v>
      </c>
      <c r="F13" s="10" t="s">
        <v>10</v>
      </c>
      <c r="G13" s="71">
        <f t="shared" si="0"/>
        <v>84.984602995170761</v>
      </c>
      <c r="H13" s="71" t="s">
        <v>10</v>
      </c>
      <c r="I13" s="71">
        <f t="shared" si="2"/>
        <v>60.248143170232574</v>
      </c>
      <c r="J13" s="71">
        <f t="shared" si="3"/>
        <v>166.80916579896319</v>
      </c>
      <c r="K13" s="71" t="s">
        <v>10</v>
      </c>
    </row>
    <row r="14" spans="1:11">
      <c r="A14" s="130">
        <v>1993</v>
      </c>
      <c r="B14" s="10">
        <f>'1A'!L14/'6A'!L37*1000</f>
        <v>808.64271826899824</v>
      </c>
      <c r="C14" s="10" t="s">
        <v>10</v>
      </c>
      <c r="D14" s="129">
        <f>'1A'!N14/'6A'!N37*1000</f>
        <v>1212.4527923208934</v>
      </c>
      <c r="E14" s="10">
        <f>'1A'!O14/'6A'!O37*1000</f>
        <v>1880.7658835554491</v>
      </c>
      <c r="F14" s="10" t="s">
        <v>10</v>
      </c>
      <c r="G14" s="71">
        <f t="shared" si="0"/>
        <v>86.205538181854109</v>
      </c>
      <c r="H14" s="71" t="s">
        <v>10</v>
      </c>
      <c r="I14" s="71">
        <f t="shared" si="2"/>
        <v>64.473796388896204</v>
      </c>
      <c r="J14" s="71">
        <f t="shared" si="3"/>
        <v>158.96617766469646</v>
      </c>
      <c r="K14" s="71" t="s">
        <v>10</v>
      </c>
    </row>
    <row r="15" spans="1:11">
      <c r="A15" s="130">
        <v>1994</v>
      </c>
      <c r="B15" s="10">
        <f>'1A'!L15/'6A'!L38*1000</f>
        <v>827.56059059784525</v>
      </c>
      <c r="C15" s="10" t="s">
        <v>10</v>
      </c>
      <c r="D15" s="129">
        <f>'1A'!N15/'6A'!N38*1000</f>
        <v>1108.7604144030802</v>
      </c>
      <c r="E15" s="10" t="s">
        <v>10</v>
      </c>
      <c r="F15" s="10" t="s">
        <v>10</v>
      </c>
      <c r="G15" s="71">
        <f t="shared" si="0"/>
        <v>88.222282200590669</v>
      </c>
      <c r="H15" s="71" t="s">
        <v>10</v>
      </c>
      <c r="I15" s="71">
        <f t="shared" si="2"/>
        <v>58.959815718229272</v>
      </c>
      <c r="J15" s="71" t="s">
        <v>10</v>
      </c>
      <c r="K15" s="71" t="s">
        <v>10</v>
      </c>
    </row>
    <row r="16" spans="1:11">
      <c r="A16" s="130">
        <v>1995</v>
      </c>
      <c r="B16" s="10">
        <f>'1A'!L16/'6A'!L39*1000</f>
        <v>829.82325878755341</v>
      </c>
      <c r="C16" s="10" t="s">
        <v>10</v>
      </c>
      <c r="D16" s="129">
        <f>'1A'!N16/'6A'!N39*1000</f>
        <v>1035.0835884610672</v>
      </c>
      <c r="E16" s="10">
        <f>'1A'!O16/'6A'!O39*1000</f>
        <v>1634.2138734922182</v>
      </c>
      <c r="F16" s="10" t="s">
        <v>10</v>
      </c>
      <c r="G16" s="71">
        <f t="shared" si="0"/>
        <v>88.463494449973552</v>
      </c>
      <c r="H16" s="71" t="s">
        <v>10</v>
      </c>
      <c r="I16" s="71">
        <f t="shared" si="2"/>
        <v>55.041952107826297</v>
      </c>
      <c r="J16" s="71">
        <f t="shared" si="3"/>
        <v>138.12709770371413</v>
      </c>
      <c r="K16" s="71" t="s">
        <v>10</v>
      </c>
    </row>
    <row r="17" spans="1:11">
      <c r="A17" s="130">
        <v>1996</v>
      </c>
      <c r="B17" s="10">
        <f>'1A'!L17/'6A'!L40*1000</f>
        <v>826.30688406084994</v>
      </c>
      <c r="C17" s="10" t="s">
        <v>10</v>
      </c>
      <c r="D17" s="129">
        <f>'1A'!N17/'6A'!N40*1000</f>
        <v>1055.7497635418545</v>
      </c>
      <c r="E17" s="10">
        <f>'1A'!O17/'6A'!O40*1000</f>
        <v>1297.8376576590576</v>
      </c>
      <c r="F17" s="10" t="s">
        <v>10</v>
      </c>
      <c r="G17" s="71">
        <f t="shared" si="0"/>
        <v>88.088630534283524</v>
      </c>
      <c r="H17" s="71" t="s">
        <v>10</v>
      </c>
      <c r="I17" s="71">
        <f t="shared" si="2"/>
        <v>56.140903566171673</v>
      </c>
      <c r="J17" s="71">
        <f t="shared" si="3"/>
        <v>109.69589222734362</v>
      </c>
      <c r="K17" s="71" t="s">
        <v>10</v>
      </c>
    </row>
    <row r="18" spans="1:11">
      <c r="A18" s="130">
        <v>1997</v>
      </c>
      <c r="B18" s="10">
        <f>'1A'!L18/'6A'!L41*1000</f>
        <v>843.6632376522515</v>
      </c>
      <c r="C18" s="10">
        <f>'1A'!M18/'6A'!M41*1000</f>
        <v>586.66133716761613</v>
      </c>
      <c r="D18" s="129">
        <f>'1A'!N18/'6A'!N41*1000</f>
        <v>1046.8168462291871</v>
      </c>
      <c r="E18" s="10">
        <f>'1A'!O18/'6A'!O41*1000</f>
        <v>974.86115171002632</v>
      </c>
      <c r="F18" s="10">
        <f>'1A'!S18/'6A'!P41*1000</f>
        <v>439.92142439479812</v>
      </c>
      <c r="G18" s="71">
        <f t="shared" si="0"/>
        <v>89.938908498109328</v>
      </c>
      <c r="H18" s="71">
        <f t="shared" si="1"/>
        <v>66.624294254836656</v>
      </c>
      <c r="I18" s="71">
        <f t="shared" si="2"/>
        <v>55.665883758700829</v>
      </c>
      <c r="J18" s="71">
        <f t="shared" si="3"/>
        <v>82.397257625806873</v>
      </c>
      <c r="K18" s="71">
        <f t="shared" si="4"/>
        <v>67.882139462946839</v>
      </c>
    </row>
    <row r="19" spans="1:11">
      <c r="A19" s="130">
        <v>1998</v>
      </c>
      <c r="B19" s="10">
        <f>'1A'!L19/'6A'!L42*1000</f>
        <v>857.52849043366132</v>
      </c>
      <c r="C19" s="10">
        <f>'1A'!M19/'6A'!M42*1000</f>
        <v>623.21652065081344</v>
      </c>
      <c r="D19" s="129">
        <f>'1A'!N19/'6A'!N42*1000</f>
        <v>1250.3564880831127</v>
      </c>
      <c r="E19" s="10">
        <f>'1A'!O19/'6A'!O42*1000</f>
        <v>1021.7041038764098</v>
      </c>
      <c r="F19" s="10">
        <f>'1A'!S19/'6A'!P42*1000</f>
        <v>458.84440882222447</v>
      </c>
      <c r="G19" s="71">
        <f t="shared" si="0"/>
        <v>91.417016877799554</v>
      </c>
      <c r="H19" s="71">
        <f t="shared" si="1"/>
        <v>70.775689866966871</v>
      </c>
      <c r="I19" s="71">
        <f t="shared" si="2"/>
        <v>66.489376029141042</v>
      </c>
      <c r="J19" s="71">
        <f t="shared" si="3"/>
        <v>86.356519712347506</v>
      </c>
      <c r="K19" s="71">
        <f t="shared" si="4"/>
        <v>70.802053331031047</v>
      </c>
    </row>
    <row r="20" spans="1:11">
      <c r="A20" s="130">
        <v>1999</v>
      </c>
      <c r="B20" s="10">
        <f>'1A'!L20/'6A'!L43*1000</f>
        <v>896.02109862601912</v>
      </c>
      <c r="C20" s="10">
        <f>'1A'!M20/'6A'!M43*1000</f>
        <v>653.9775704852741</v>
      </c>
      <c r="D20" s="129">
        <f>'1A'!N20/'6A'!N43*1000</f>
        <v>1297.4154313949068</v>
      </c>
      <c r="E20" s="10">
        <f>'1A'!O20/'6A'!O43*1000</f>
        <v>1002.5029051577723</v>
      </c>
      <c r="F20" s="10">
        <f>'1A'!S20/'6A'!P43*1000</f>
        <v>489.00758402927374</v>
      </c>
      <c r="G20" s="71">
        <f t="shared" si="0"/>
        <v>95.520529999575558</v>
      </c>
      <c r="H20" s="71">
        <f t="shared" si="1"/>
        <v>74.26907370857711</v>
      </c>
      <c r="I20" s="71">
        <f t="shared" si="2"/>
        <v>68.991798184112838</v>
      </c>
      <c r="J20" s="71">
        <f t="shared" si="3"/>
        <v>84.73359514019829</v>
      </c>
      <c r="K20" s="71">
        <f t="shared" si="4"/>
        <v>75.456386474425983</v>
      </c>
    </row>
    <row r="21" spans="1:11">
      <c r="A21" s="130">
        <v>2000</v>
      </c>
      <c r="B21" s="10">
        <f>'1A'!L21/'6A'!L44*1000</f>
        <v>921.6689256923346</v>
      </c>
      <c r="C21" s="10">
        <f>'1A'!M21/'6A'!M44*1000</f>
        <v>683.64344661438315</v>
      </c>
      <c r="D21" s="129">
        <f>'1A'!N21/'6A'!N44*1000</f>
        <v>1482.55217242559</v>
      </c>
      <c r="E21" s="10">
        <f>'1A'!O21/'6A'!O44*1000</f>
        <v>1001.4495754814661</v>
      </c>
      <c r="F21" s="10">
        <f>'1A'!S21/'6A'!P44*1000</f>
        <v>500.94739023595935</v>
      </c>
      <c r="G21" s="71">
        <f t="shared" si="0"/>
        <v>98.25472235114924</v>
      </c>
      <c r="H21" s="71">
        <f t="shared" si="1"/>
        <v>77.638083962594578</v>
      </c>
      <c r="I21" s="71">
        <f t="shared" si="2"/>
        <v>78.836691627318274</v>
      </c>
      <c r="J21" s="71">
        <f t="shared" si="3"/>
        <v>84.64456556244636</v>
      </c>
      <c r="K21" s="71">
        <f t="shared" si="4"/>
        <v>77.29876001010409</v>
      </c>
    </row>
    <row r="22" spans="1:11">
      <c r="A22" s="130">
        <v>2001</v>
      </c>
      <c r="B22" s="10">
        <f>'1A'!L22/'6A'!L45*1000</f>
        <v>925.81437768590445</v>
      </c>
      <c r="C22" s="10">
        <f>'1A'!M22/'6A'!M45*1000</f>
        <v>735.56781067623285</v>
      </c>
      <c r="D22" s="129">
        <f>'1A'!N22/'6A'!N45*1000</f>
        <v>1530.1473107228503</v>
      </c>
      <c r="E22" s="10">
        <f>'1A'!O22/'6A'!O45*1000</f>
        <v>1154.4578952019087</v>
      </c>
      <c r="F22" s="10">
        <f>'1A'!S22/'6A'!P45*1000</f>
        <v>518.06263768428505</v>
      </c>
      <c r="G22" s="71">
        <f t="shared" si="0"/>
        <v>98.696649189837288</v>
      </c>
      <c r="H22" s="71">
        <f t="shared" si="1"/>
        <v>83.534883173795265</v>
      </c>
      <c r="I22" s="71">
        <f t="shared" si="2"/>
        <v>81.367626666698143</v>
      </c>
      <c r="J22" s="71">
        <f t="shared" si="3"/>
        <v>97.577141567533957</v>
      </c>
      <c r="K22" s="71">
        <f t="shared" si="4"/>
        <v>79.939730760342968</v>
      </c>
    </row>
    <row r="23" spans="1:11">
      <c r="A23" s="130">
        <v>2002</v>
      </c>
      <c r="B23" s="10">
        <f>'1A'!L23/'6A'!L46*1000</f>
        <v>942.56904140396546</v>
      </c>
      <c r="C23" s="10">
        <f>'1A'!M23/'6A'!M46*1000</f>
        <v>811.81619256017495</v>
      </c>
      <c r="D23" s="129">
        <f>'1A'!N23/'6A'!N46*1000</f>
        <v>1479.0107386918321</v>
      </c>
      <c r="E23" s="10">
        <f>'1A'!O23/'6A'!O46*1000</f>
        <v>1360.9298337541086</v>
      </c>
      <c r="F23" s="10">
        <f>'1A'!S23/'6A'!P46*1000</f>
        <v>561.46589143561903</v>
      </c>
      <c r="G23" s="71">
        <f t="shared" si="0"/>
        <v>100.48278386988886</v>
      </c>
      <c r="H23" s="71">
        <f t="shared" si="1"/>
        <v>92.194043594383018</v>
      </c>
      <c r="I23" s="71">
        <f t="shared" si="2"/>
        <v>78.648371159155545</v>
      </c>
      <c r="J23" s="71">
        <f t="shared" si="3"/>
        <v>115.02857194153435</v>
      </c>
      <c r="K23" s="71">
        <f t="shared" si="4"/>
        <v>86.637076151845491</v>
      </c>
    </row>
    <row r="24" spans="1:11">
      <c r="A24" s="130">
        <v>2003</v>
      </c>
      <c r="B24" s="10">
        <f>'1A'!L24/'6A'!L47*1000</f>
        <v>942.64618475338375</v>
      </c>
      <c r="C24" s="10">
        <f>'1A'!M24/'6A'!M47*1000</f>
        <v>770.96263843251791</v>
      </c>
      <c r="D24" s="129">
        <f>'1A'!N24/'6A'!N47*1000</f>
        <v>1489.9647887323943</v>
      </c>
      <c r="E24" s="10">
        <f>'1A'!O24/'6A'!O47*1000</f>
        <v>1377.2871917263326</v>
      </c>
      <c r="F24" s="10">
        <f>'1A'!S24/'6A'!P47*1000</f>
        <v>519.00301880950542</v>
      </c>
      <c r="G24" s="71">
        <f t="shared" si="0"/>
        <v>100.49100775393988</v>
      </c>
      <c r="H24" s="71">
        <f t="shared" si="1"/>
        <v>87.554502790999109</v>
      </c>
      <c r="I24" s="71">
        <f t="shared" si="2"/>
        <v>79.230867398532482</v>
      </c>
      <c r="J24" s="71">
        <f t="shared" si="3"/>
        <v>116.41112927962367</v>
      </c>
      <c r="K24" s="71">
        <f t="shared" si="4"/>
        <v>80.084836406830533</v>
      </c>
    </row>
    <row r="25" spans="1:11">
      <c r="A25" s="130">
        <v>2004</v>
      </c>
      <c r="B25" s="10">
        <f>'1A'!L25/'6A'!L48*1000</f>
        <v>944.1240278738602</v>
      </c>
      <c r="C25" s="10">
        <f>'1A'!M25/'6A'!M48*1000</f>
        <v>782.7237390530604</v>
      </c>
      <c r="D25" s="129">
        <f>'1A'!N25/'6A'!N48*1000</f>
        <v>1816.2457595175274</v>
      </c>
      <c r="E25" s="10">
        <f>'1A'!O25/'6A'!O48*1000</f>
        <v>1274.5049869798065</v>
      </c>
      <c r="F25" s="10">
        <f>'1A'!S25/'6A'!P48*1000</f>
        <v>523.40468261007811</v>
      </c>
      <c r="G25" s="71">
        <f t="shared" si="0"/>
        <v>100.64855355095361</v>
      </c>
      <c r="H25" s="71">
        <f t="shared" si="1"/>
        <v>88.890154177686426</v>
      </c>
      <c r="I25" s="71">
        <f t="shared" si="2"/>
        <v>96.581293748496648</v>
      </c>
      <c r="J25" s="71">
        <f t="shared" si="3"/>
        <v>107.72376719837516</v>
      </c>
      <c r="K25" s="71">
        <f t="shared" si="4"/>
        <v>80.764035780651739</v>
      </c>
    </row>
    <row r="26" spans="1:11">
      <c r="A26" s="130">
        <v>2005</v>
      </c>
      <c r="B26" s="10">
        <f>'1A'!L26/'6A'!L49*1000</f>
        <v>942.34018109399483</v>
      </c>
      <c r="C26" s="10">
        <f>'1A'!M26/'6A'!M49*1000</f>
        <v>888.86424681501194</v>
      </c>
      <c r="D26" s="129">
        <f>'1A'!N26/'6A'!N49*1000</f>
        <v>2021.1897356143083</v>
      </c>
      <c r="E26" s="10">
        <f>'1A'!O26/'6A'!O49*1000</f>
        <v>1390.0102135110162</v>
      </c>
      <c r="F26" s="10">
        <f>'1A'!S26/'6A'!P49*1000</f>
        <v>598.06697080621018</v>
      </c>
      <c r="G26" s="71">
        <f t="shared" si="0"/>
        <v>100.45838616526139</v>
      </c>
      <c r="H26" s="71">
        <f t="shared" si="1"/>
        <v>100.94401894339813</v>
      </c>
      <c r="I26" s="71">
        <f t="shared" si="2"/>
        <v>107.479463367704</v>
      </c>
      <c r="J26" s="71">
        <f t="shared" si="3"/>
        <v>117.48650509281759</v>
      </c>
      <c r="K26" s="71">
        <f t="shared" si="4"/>
        <v>92.284811034834817</v>
      </c>
    </row>
    <row r="27" spans="1:11">
      <c r="A27" s="130">
        <v>2006</v>
      </c>
      <c r="B27" s="10">
        <f>'1A'!L27/'6A'!L50*1000</f>
        <v>940.38160477229417</v>
      </c>
      <c r="C27" s="10">
        <f>'1A'!M27/'6A'!M50*1000</f>
        <v>900.54431047572484</v>
      </c>
      <c r="D27" s="129">
        <f>'1A'!N27/'6A'!N50*1000</f>
        <v>1975.5900746419204</v>
      </c>
      <c r="E27" s="10">
        <f>'1A'!O27/'6A'!O50*1000</f>
        <v>1358.7059942911512</v>
      </c>
      <c r="F27" s="10">
        <f>'1A'!S27/'6A'!P50*1000</f>
        <v>611.4311117983608</v>
      </c>
      <c r="G27" s="71">
        <f t="shared" si="0"/>
        <v>100.24959169760841</v>
      </c>
      <c r="H27" s="71">
        <f t="shared" si="1"/>
        <v>102.27046735399831</v>
      </c>
      <c r="I27" s="71">
        <f t="shared" si="2"/>
        <v>105.05464049991325</v>
      </c>
      <c r="J27" s="71">
        <f t="shared" si="3"/>
        <v>114.84060848353184</v>
      </c>
      <c r="K27" s="71">
        <f t="shared" si="4"/>
        <v>94.34696675702925</v>
      </c>
    </row>
    <row r="28" spans="1:11">
      <c r="A28" s="130">
        <v>2007</v>
      </c>
      <c r="B28" s="10">
        <f>'1A'!L28/'6A'!L51*1000</f>
        <v>938.04033397846581</v>
      </c>
      <c r="C28" s="10">
        <f>'1A'!M28/'6A'!M51*1000</f>
        <v>880.55167222281955</v>
      </c>
      <c r="D28" s="129">
        <f>'1A'!N28/'6A'!N51*1000</f>
        <v>1880.5357528623895</v>
      </c>
      <c r="E28" s="10">
        <f>'1A'!O28/'6A'!O51*1000</f>
        <v>1183.1232977888565</v>
      </c>
      <c r="F28" s="10">
        <f>'1A'!S28/'6A'!P51*1000</f>
        <v>648.06652806652801</v>
      </c>
      <c r="G28" s="71">
        <f>B28/B$28*100</f>
        <v>100</v>
      </c>
      <c r="H28" s="71">
        <f t="shared" ref="H28:K28" si="5">C28/C$28*100</f>
        <v>100</v>
      </c>
      <c r="I28" s="71">
        <f t="shared" si="5"/>
        <v>100</v>
      </c>
      <c r="J28" s="71">
        <f t="shared" si="5"/>
        <v>100</v>
      </c>
      <c r="K28" s="71">
        <f t="shared" si="5"/>
        <v>100</v>
      </c>
    </row>
    <row r="29" spans="1:11">
      <c r="A29" s="130">
        <v>2008</v>
      </c>
      <c r="B29" s="10">
        <f>'1A'!L29/'6A'!L52*1000</f>
        <v>932.93331505436674</v>
      </c>
      <c r="C29" s="10">
        <f>'1A'!M29/'6A'!M52*1000</f>
        <v>897.4266768314609</v>
      </c>
      <c r="D29" s="129">
        <f>'1A'!N29/'6A'!N52*1000</f>
        <v>1917.9236912156168</v>
      </c>
      <c r="E29" s="10">
        <f>'1A'!O29/'6A'!O52*1000</f>
        <v>1184.994911064799</v>
      </c>
      <c r="F29" s="10">
        <f>'1A'!S29/'6A'!P52*1000</f>
        <v>660.09463722397481</v>
      </c>
      <c r="G29" s="71">
        <f t="shared" ref="G29:G34" si="6">B29/B$28*100</f>
        <v>99.455565103214809</v>
      </c>
      <c r="H29" s="71">
        <f t="shared" ref="H29:H34" si="7">C29/C$28*100</f>
        <v>101.91641276042813</v>
      </c>
      <c r="I29" s="71">
        <f t="shared" ref="I29:I34" si="8">D29/D$28*100</f>
        <v>101.98815355125892</v>
      </c>
      <c r="J29" s="71">
        <f t="shared" ref="J29:J34" si="9">E29/E$28*100</f>
        <v>100.15819258055694</v>
      </c>
      <c r="K29" s="71">
        <f t="shared" ref="K29:K34" si="10">F29/F$28*100</f>
        <v>101.85599913535606</v>
      </c>
    </row>
    <row r="30" spans="1:11">
      <c r="A30" s="130">
        <v>2009</v>
      </c>
      <c r="B30" s="10">
        <f>'1A'!L30/'6A'!L53*1000</f>
        <v>915.09245234488867</v>
      </c>
      <c r="C30" s="10">
        <f>'1A'!M30/'6A'!M53*1000</f>
        <v>874.09326424870471</v>
      </c>
      <c r="D30" s="129">
        <f>'1A'!N30/'6A'!N53*1000</f>
        <v>1857.512344227604</v>
      </c>
      <c r="E30" s="10">
        <f>'1A'!O30/'6A'!O53*1000</f>
        <v>1089.9238280251523</v>
      </c>
      <c r="F30" s="10">
        <f>'1A'!S30/'6A'!P53*1000</f>
        <v>663.23101615006522</v>
      </c>
      <c r="G30" s="71">
        <f t="shared" si="6"/>
        <v>97.553635936287591</v>
      </c>
      <c r="H30" s="71">
        <f t="shared" si="7"/>
        <v>99.266549803055668</v>
      </c>
      <c r="I30" s="71">
        <f t="shared" si="8"/>
        <v>98.775699499478208</v>
      </c>
      <c r="J30" s="71">
        <f t="shared" si="9"/>
        <v>92.122590271201233</v>
      </c>
      <c r="K30" s="71">
        <f t="shared" si="10"/>
        <v>102.33995854233973</v>
      </c>
    </row>
    <row r="31" spans="1:11">
      <c r="A31" s="130">
        <v>2010</v>
      </c>
      <c r="B31" s="10">
        <f>'1A'!L31/'6A'!L54*1000</f>
        <v>919.77846972974248</v>
      </c>
      <c r="C31" s="10">
        <f>'1A'!M31/'6A'!M54*1000</f>
        <v>987.58679085520737</v>
      </c>
      <c r="D31" s="129">
        <f>'1A'!N31/'6A'!N54*1000</f>
        <v>2142.6463354648304</v>
      </c>
      <c r="E31" s="10">
        <f>'1A'!O31/'6A'!O54*1000</f>
        <v>1152.049818370524</v>
      </c>
      <c r="F31" s="10">
        <f>'1A'!S31/'6A'!P54*1000</f>
        <v>767.48613988911904</v>
      </c>
      <c r="G31" s="71">
        <f t="shared" si="6"/>
        <v>98.053189869643433</v>
      </c>
      <c r="H31" s="71">
        <f t="shared" si="7"/>
        <v>112.15546140094128</v>
      </c>
      <c r="I31" s="71">
        <f t="shared" si="8"/>
        <v>113.93808026268466</v>
      </c>
      <c r="J31" s="71">
        <f t="shared" si="9"/>
        <v>97.373605990482488</v>
      </c>
      <c r="K31" s="71">
        <f t="shared" si="10"/>
        <v>118.42706059497827</v>
      </c>
    </row>
    <row r="32" spans="1:11">
      <c r="A32" s="130">
        <v>2011</v>
      </c>
      <c r="B32" s="10">
        <f>'1A'!L32/'6A'!L55*1000</f>
        <v>920.98502181600395</v>
      </c>
      <c r="C32" s="10">
        <f>'1A'!M32/'6A'!M55*1000</f>
        <v>1020.8351757194151</v>
      </c>
      <c r="D32" s="129">
        <f>'1A'!N32/'6A'!N55*1000</f>
        <v>2385.8580508474574</v>
      </c>
      <c r="E32" s="10">
        <f>'1A'!O32/'6A'!O55*1000</f>
        <v>1195.5996780252215</v>
      </c>
      <c r="F32" s="10">
        <f>'1A'!S32/'6A'!P55*1000</f>
        <v>774.29090482887955</v>
      </c>
      <c r="G32" s="71">
        <f t="shared" si="6"/>
        <v>98.181814625163724</v>
      </c>
      <c r="H32" s="71">
        <f t="shared" si="7"/>
        <v>115.93131986706369</v>
      </c>
      <c r="I32" s="71">
        <f t="shared" si="8"/>
        <v>126.87118802266374</v>
      </c>
      <c r="J32" s="71">
        <f t="shared" si="9"/>
        <v>101.05452916527653</v>
      </c>
      <c r="K32" s="71">
        <f t="shared" si="10"/>
        <v>119.477070840078</v>
      </c>
    </row>
    <row r="33" spans="1:11">
      <c r="A33" s="130">
        <v>2012</v>
      </c>
      <c r="B33" s="10">
        <f>'1A'!L33/'6A'!L56*1000</f>
        <v>907.97808006450555</v>
      </c>
      <c r="C33" s="10">
        <f>'1A'!M33/'6A'!M56*1000</f>
        <v>1023.0265551109494</v>
      </c>
      <c r="D33" s="129">
        <f>'1A'!N33/'6A'!N56*1000</f>
        <v>2522.6636821488532</v>
      </c>
      <c r="E33" s="10">
        <f>'1A'!O33/'6A'!O56*1000</f>
        <v>1250.4153283863109</v>
      </c>
      <c r="F33" s="10">
        <f>'1A'!S33/'6A'!P56*1000</f>
        <v>739.05481588101225</v>
      </c>
      <c r="G33" s="71">
        <f t="shared" si="6"/>
        <v>96.79520668514769</v>
      </c>
      <c r="H33" s="71">
        <f t="shared" si="7"/>
        <v>116.18018423932732</v>
      </c>
      <c r="I33" s="71">
        <f t="shared" si="8"/>
        <v>134.14601016274602</v>
      </c>
      <c r="J33" s="71">
        <f t="shared" si="9"/>
        <v>105.68766000324877</v>
      </c>
      <c r="K33" s="71">
        <f t="shared" si="10"/>
        <v>114.03996100306908</v>
      </c>
    </row>
    <row r="34" spans="1:11">
      <c r="A34" s="130">
        <v>2013</v>
      </c>
      <c r="B34" s="10">
        <f>'1A'!L34/'6A'!L57*1000</f>
        <v>897.19641171522335</v>
      </c>
      <c r="C34" s="10">
        <f>'1A'!M34/'6A'!M57*1000</f>
        <v>1084.050236064717</v>
      </c>
      <c r="D34" s="129">
        <f>'1A'!N34/'6A'!N57*1000</f>
        <v>2726.218787158145</v>
      </c>
      <c r="E34" s="10">
        <f>'1A'!O34/'6A'!O57*1000</f>
        <v>1395.6686146442078</v>
      </c>
      <c r="F34" s="10">
        <f>'1A'!S34/'6A'!P57*1000</f>
        <v>749.42781287192156</v>
      </c>
      <c r="G34" s="71">
        <f t="shared" si="6"/>
        <v>95.645824514814521</v>
      </c>
      <c r="H34" s="71">
        <f t="shared" si="7"/>
        <v>123.11034891662815</v>
      </c>
      <c r="I34" s="71">
        <f t="shared" si="8"/>
        <v>144.97032470712296</v>
      </c>
      <c r="J34" s="71">
        <f t="shared" si="9"/>
        <v>117.96476472507793</v>
      </c>
      <c r="K34" s="71">
        <f t="shared" si="10"/>
        <v>115.6405678145112</v>
      </c>
    </row>
    <row r="35" spans="1:11">
      <c r="A35" s="9"/>
      <c r="B35" s="9"/>
      <c r="C35" s="9"/>
      <c r="D35" s="9"/>
      <c r="E35" s="9"/>
      <c r="F35" s="9"/>
    </row>
    <row r="36" spans="1:11" ht="15" customHeight="1">
      <c r="A36" s="454" t="s">
        <v>11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</row>
    <row r="37" spans="1:11" ht="30">
      <c r="A37" s="130" t="s">
        <v>29</v>
      </c>
      <c r="B37" s="7">
        <f>((B5/B21)^(1/16)-1)*100</f>
        <v>-0.75896135530632014</v>
      </c>
      <c r="C37" s="7">
        <f t="shared" ref="C37:K37" si="11">((C5/C21)^(1/16)-1)*100</f>
        <v>1.4168854261535913</v>
      </c>
      <c r="D37" s="7">
        <f t="shared" si="11"/>
        <v>-4.2641112697226591</v>
      </c>
      <c r="E37" s="7">
        <f t="shared" si="11"/>
        <v>5.5317210648099691</v>
      </c>
      <c r="F37" s="7">
        <f t="shared" si="11"/>
        <v>0.33373757850478913</v>
      </c>
      <c r="G37" s="7">
        <f t="shared" si="11"/>
        <v>-0.75896135530632014</v>
      </c>
      <c r="H37" s="7">
        <f t="shared" si="11"/>
        <v>1.4168854261535913</v>
      </c>
      <c r="I37" s="7">
        <f t="shared" si="11"/>
        <v>-4.2641112697226591</v>
      </c>
      <c r="J37" s="7">
        <f t="shared" si="11"/>
        <v>5.5317210648099691</v>
      </c>
      <c r="K37" s="7">
        <f t="shared" si="11"/>
        <v>0.33373757850478913</v>
      </c>
    </row>
    <row r="38" spans="1:11" ht="30">
      <c r="A38" s="130" t="s">
        <v>68</v>
      </c>
      <c r="B38" s="7">
        <f>((B28/B21)^(1/7)-1)*100</f>
        <v>0.25184333318739593</v>
      </c>
      <c r="C38" s="7">
        <f t="shared" ref="C38:K38" si="12">((C28/C21)^(1/7)-1)*100</f>
        <v>3.6820555528551457</v>
      </c>
      <c r="D38" s="7">
        <f t="shared" si="12"/>
        <v>3.4553816131664528</v>
      </c>
      <c r="E38" s="7">
        <f t="shared" si="12"/>
        <v>2.4101467636259866</v>
      </c>
      <c r="F38" s="7">
        <f t="shared" si="12"/>
        <v>3.7469536472708898</v>
      </c>
      <c r="G38" s="7">
        <f t="shared" si="12"/>
        <v>0.25184333318739593</v>
      </c>
      <c r="H38" s="7">
        <f t="shared" si="12"/>
        <v>3.6820555528551457</v>
      </c>
      <c r="I38" s="7">
        <f t="shared" si="12"/>
        <v>3.4553816131664528</v>
      </c>
      <c r="J38" s="7">
        <f t="shared" si="12"/>
        <v>2.4101467636259866</v>
      </c>
      <c r="K38" s="7">
        <f t="shared" si="12"/>
        <v>3.7469536472708898</v>
      </c>
    </row>
    <row r="39" spans="1:11" ht="30">
      <c r="A39" s="130" t="s">
        <v>69</v>
      </c>
      <c r="B39" s="7">
        <f>((B34/B28)^(1/6)-1)*100</f>
        <v>-0.73922328537171511</v>
      </c>
      <c r="C39" s="7">
        <f t="shared" ref="C39:K39" si="13">((C34/C28)^(1/6)-1)*100</f>
        <v>3.5259188262752206</v>
      </c>
      <c r="D39" s="7">
        <f t="shared" si="13"/>
        <v>6.3848662576413862</v>
      </c>
      <c r="E39" s="7">
        <f t="shared" si="13"/>
        <v>2.7918583510635919</v>
      </c>
      <c r="F39" s="7">
        <f t="shared" si="13"/>
        <v>2.4515113050250115</v>
      </c>
      <c r="G39" s="7">
        <f t="shared" si="13"/>
        <v>-0.73922328537171511</v>
      </c>
      <c r="H39" s="7">
        <f t="shared" si="13"/>
        <v>3.5259188262752206</v>
      </c>
      <c r="I39" s="7">
        <f t="shared" si="13"/>
        <v>6.3848662576413862</v>
      </c>
      <c r="J39" s="7">
        <f t="shared" si="13"/>
        <v>2.7918583510635919</v>
      </c>
      <c r="K39" s="7">
        <f t="shared" si="13"/>
        <v>2.4515113050250115</v>
      </c>
    </row>
    <row r="40" spans="1:11" ht="30">
      <c r="A40" s="130" t="s">
        <v>15</v>
      </c>
      <c r="B40" s="7">
        <f>((B34/B21)^(1/13)-1)*100</f>
        <v>-0.20679567554326983</v>
      </c>
      <c r="C40" s="7">
        <f t="shared" ref="C40:K40" si="14">((C34/C21)^(1/13)-1)*100</f>
        <v>3.6099632084585442</v>
      </c>
      <c r="D40" s="7">
        <f t="shared" si="14"/>
        <v>4.797290788289299</v>
      </c>
      <c r="E40" s="7">
        <f t="shared" si="14"/>
        <v>2.5861448885136307</v>
      </c>
      <c r="F40" s="7">
        <f t="shared" si="14"/>
        <v>3.1470342202769563</v>
      </c>
      <c r="G40" s="7">
        <f t="shared" si="14"/>
        <v>-0.20679567554326983</v>
      </c>
      <c r="H40" s="7">
        <f t="shared" si="14"/>
        <v>3.6099632084585442</v>
      </c>
      <c r="I40" s="7">
        <f t="shared" si="14"/>
        <v>4.797290788289299</v>
      </c>
      <c r="J40" s="7">
        <f t="shared" si="14"/>
        <v>2.5861448885136307</v>
      </c>
      <c r="K40" s="7">
        <f t="shared" si="14"/>
        <v>3.1470342202769563</v>
      </c>
    </row>
    <row r="42" spans="1:11">
      <c r="A42" s="217" t="s">
        <v>286</v>
      </c>
      <c r="B42" s="168"/>
      <c r="C42" s="168"/>
      <c r="D42" s="168"/>
      <c r="E42" s="168"/>
      <c r="F42" s="168"/>
    </row>
  </sheetData>
  <mergeCells count="4">
    <mergeCell ref="B2:F2"/>
    <mergeCell ref="G2:K2"/>
    <mergeCell ref="A1:K1"/>
    <mergeCell ref="A36:K36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2"/>
  <sheetViews>
    <sheetView view="pageBreakPreview" topLeftCell="A16" zoomScaleNormal="100" zoomScaleSheetLayoutView="100" workbookViewId="0">
      <selection activeCell="E15" sqref="E15"/>
    </sheetView>
  </sheetViews>
  <sheetFormatPr defaultRowHeight="15"/>
  <cols>
    <col min="1" max="16384" width="9.140625" style="181"/>
  </cols>
  <sheetData>
    <row r="1" spans="1:11" ht="15" customHeight="1">
      <c r="A1" s="454" t="s">
        <v>253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35</v>
      </c>
      <c r="C2" s="454"/>
      <c r="D2" s="454"/>
      <c r="E2" s="454"/>
      <c r="F2" s="454"/>
      <c r="G2" s="461" t="s">
        <v>241</v>
      </c>
      <c r="H2" s="461"/>
      <c r="I2" s="461"/>
      <c r="J2" s="461"/>
      <c r="K2" s="461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</row>
    <row r="5" spans="1:11">
      <c r="A5" s="130">
        <v>1984</v>
      </c>
      <c r="B5" s="10">
        <f>'1B'!L5/'6B'!L28*1000</f>
        <v>892.79071984361065</v>
      </c>
      <c r="C5" s="10">
        <f>'1B'!M5/'6B'!M28*1000</f>
        <v>803.56223805946081</v>
      </c>
      <c r="D5" s="129">
        <f>'1B'!N5/'6B'!N28*1000</f>
        <v>839.80089482645678</v>
      </c>
      <c r="E5" s="10">
        <f>'1B'!O5/'6B'!O28*1000</f>
        <v>1012.2604147890502</v>
      </c>
      <c r="F5" s="10">
        <f>'1B'!S5/'6B'!P28*1000</f>
        <v>752.91787054326824</v>
      </c>
      <c r="G5" s="71">
        <f t="shared" ref="G5:G27" si="0">B5/B$28*100</f>
        <v>86.467450568870447</v>
      </c>
      <c r="H5" s="71">
        <f t="shared" ref="H5:H27" si="1">C5/C$28*100</f>
        <v>75.332821584942806</v>
      </c>
      <c r="I5" s="71">
        <f t="shared" ref="I5:I27" si="2">D5/D$28*100</f>
        <v>47.484217262152029</v>
      </c>
      <c r="J5" s="71">
        <f t="shared" ref="J5:J27" si="3">E5/E$28*100</f>
        <v>72.73269395058712</v>
      </c>
      <c r="K5" s="71">
        <f t="shared" ref="K5:K27" si="4">F5/F$28*100</f>
        <v>84.000066285624683</v>
      </c>
    </row>
    <row r="6" spans="1:11">
      <c r="A6" s="130">
        <v>1985</v>
      </c>
      <c r="B6" s="10">
        <f>'1B'!L6/'6B'!L29*1000</f>
        <v>916.49095173273759</v>
      </c>
      <c r="C6" s="10">
        <f>'1B'!M6/'6B'!M29*1000</f>
        <v>735.57550956391674</v>
      </c>
      <c r="D6" s="10">
        <v>886.54816140160324</v>
      </c>
      <c r="E6" s="10">
        <v>907.9642630876541</v>
      </c>
      <c r="F6" s="10">
        <v>685.42505397056527</v>
      </c>
      <c r="G6" s="71">
        <f t="shared" si="0"/>
        <v>88.76283579610805</v>
      </c>
      <c r="H6" s="71">
        <f t="shared" si="1"/>
        <v>68.959162090605304</v>
      </c>
      <c r="I6" s="71">
        <f t="shared" si="2"/>
        <v>50.127412067183407</v>
      </c>
      <c r="J6" s="71">
        <f t="shared" si="3"/>
        <v>65.238831727887757</v>
      </c>
      <c r="K6" s="71">
        <f t="shared" si="4"/>
        <v>76.470159920379572</v>
      </c>
    </row>
    <row r="7" spans="1:11">
      <c r="A7" s="130">
        <v>1986</v>
      </c>
      <c r="B7" s="10">
        <f>'1B'!L7/'6B'!L30*1000</f>
        <v>926.16547300853449</v>
      </c>
      <c r="C7" s="10" t="s">
        <v>10</v>
      </c>
      <c r="D7" s="10">
        <v>860.60577044945421</v>
      </c>
      <c r="E7" s="10" t="s">
        <v>10</v>
      </c>
      <c r="F7" s="10">
        <v>725.9145353624931</v>
      </c>
      <c r="G7" s="71">
        <f t="shared" si="0"/>
        <v>89.699820434948137</v>
      </c>
      <c r="H7" s="71" t="s">
        <v>10</v>
      </c>
      <c r="I7" s="71">
        <f t="shared" si="2"/>
        <v>48.660571372132594</v>
      </c>
      <c r="J7" s="71" t="s">
        <v>10</v>
      </c>
      <c r="K7" s="71">
        <f t="shared" si="4"/>
        <v>80.98741107599156</v>
      </c>
    </row>
    <row r="8" spans="1:11">
      <c r="A8" s="130">
        <v>1987</v>
      </c>
      <c r="B8" s="10">
        <f>'1B'!L8/'6B'!L31*1000</f>
        <v>936.25576134010396</v>
      </c>
      <c r="C8" s="10">
        <f>'1B'!M8/'6B'!M31*1000</f>
        <v>790.18360140977302</v>
      </c>
      <c r="D8" s="10">
        <v>916.39982172486862</v>
      </c>
      <c r="E8" s="10">
        <v>867.57164373827675</v>
      </c>
      <c r="F8" s="10">
        <v>760.34197342718096</v>
      </c>
      <c r="G8" s="71">
        <f t="shared" si="0"/>
        <v>90.677072424852852</v>
      </c>
      <c r="H8" s="71">
        <f t="shared" si="1"/>
        <v>74.078593349660636</v>
      </c>
      <c r="I8" s="71">
        <f t="shared" si="2"/>
        <v>51.815291579051291</v>
      </c>
      <c r="J8" s="71">
        <f t="shared" si="3"/>
        <v>62.336550873990035</v>
      </c>
      <c r="K8" s="71">
        <f t="shared" si="4"/>
        <v>84.828344055031309</v>
      </c>
    </row>
    <row r="9" spans="1:11">
      <c r="A9" s="130">
        <v>1988</v>
      </c>
      <c r="B9" s="10">
        <f>'1B'!L9/'6B'!L32*1000</f>
        <v>940.58088950768047</v>
      </c>
      <c r="C9" s="10" t="s">
        <v>10</v>
      </c>
      <c r="D9" s="10">
        <v>951.32411738980147</v>
      </c>
      <c r="E9" s="10" t="s">
        <v>10</v>
      </c>
      <c r="F9" s="10">
        <v>734.85479179855236</v>
      </c>
      <c r="G9" s="71">
        <f t="shared" si="0"/>
        <v>91.095964330561131</v>
      </c>
      <c r="H9" s="71" t="s">
        <v>10</v>
      </c>
      <c r="I9" s="71">
        <f t="shared" si="2"/>
        <v>53.789989216666932</v>
      </c>
      <c r="J9" s="71" t="s">
        <v>10</v>
      </c>
      <c r="K9" s="71">
        <f t="shared" si="4"/>
        <v>81.984840095304918</v>
      </c>
    </row>
    <row r="10" spans="1:11">
      <c r="A10" s="130">
        <v>1989</v>
      </c>
      <c r="B10" s="10">
        <f>'1B'!L10/'6B'!L33*1000</f>
        <v>926.96335324022084</v>
      </c>
      <c r="C10" s="10" t="s">
        <v>10</v>
      </c>
      <c r="D10" s="10">
        <v>1081.5454687929264</v>
      </c>
      <c r="E10" s="10" t="s">
        <v>10</v>
      </c>
      <c r="F10" s="10">
        <v>683.99801879159872</v>
      </c>
      <c r="G10" s="71">
        <f t="shared" si="0"/>
        <v>89.777095733581731</v>
      </c>
      <c r="H10" s="71" t="s">
        <v>10</v>
      </c>
      <c r="I10" s="71">
        <f t="shared" si="2"/>
        <v>61.152995115195807</v>
      </c>
      <c r="J10" s="71" t="s">
        <v>10</v>
      </c>
      <c r="K10" s="71">
        <f t="shared" si="4"/>
        <v>76.310951254580985</v>
      </c>
    </row>
    <row r="11" spans="1:11">
      <c r="A11" s="130">
        <v>1990</v>
      </c>
      <c r="B11" s="10">
        <f>'1B'!L11/'6B'!L34*1000</f>
        <v>885.10287063522276</v>
      </c>
      <c r="C11" s="10" t="s">
        <v>10</v>
      </c>
      <c r="D11" s="10">
        <v>1309.4850766817915</v>
      </c>
      <c r="E11" s="10" t="s">
        <v>10</v>
      </c>
      <c r="F11" s="10">
        <v>641.18969223148383</v>
      </c>
      <c r="G11" s="71">
        <f t="shared" si="0"/>
        <v>85.722876609226631</v>
      </c>
      <c r="H11" s="71" t="s">
        <v>10</v>
      </c>
      <c r="I11" s="71">
        <f t="shared" si="2"/>
        <v>74.041209369696318</v>
      </c>
      <c r="J11" s="71" t="s">
        <v>10</v>
      </c>
      <c r="K11" s="71">
        <f t="shared" si="4"/>
        <v>71.534995723027862</v>
      </c>
    </row>
    <row r="12" spans="1:11">
      <c r="A12" s="130">
        <v>1991</v>
      </c>
      <c r="B12" s="10">
        <f>'1B'!L12/'6B'!L35*1000</f>
        <v>838.81320394564727</v>
      </c>
      <c r="C12" s="10">
        <f>'1B'!M12/'6B'!M35*1000</f>
        <v>429.80304723094349</v>
      </c>
      <c r="D12" s="10">
        <v>1719.7362182492332</v>
      </c>
      <c r="E12" s="10">
        <v>610.66683171407362</v>
      </c>
      <c r="F12" s="10">
        <v>302.86343789054672</v>
      </c>
      <c r="G12" s="71">
        <f t="shared" si="0"/>
        <v>81.239687685587853</v>
      </c>
      <c r="H12" s="71">
        <f t="shared" si="1"/>
        <v>40.293426868719443</v>
      </c>
      <c r="I12" s="71">
        <f t="shared" si="2"/>
        <v>97.237724708322958</v>
      </c>
      <c r="J12" s="71">
        <f t="shared" si="3"/>
        <v>43.877487579211873</v>
      </c>
      <c r="K12" s="71">
        <f t="shared" si="4"/>
        <v>33.789274838092851</v>
      </c>
    </row>
    <row r="13" spans="1:11">
      <c r="A13" s="130">
        <v>1992</v>
      </c>
      <c r="B13" s="10">
        <f>'1B'!L13/'6B'!L36*1000</f>
        <v>831.14447967226442</v>
      </c>
      <c r="C13" s="10" t="s">
        <v>10</v>
      </c>
      <c r="D13" s="10">
        <v>1668.645249479013</v>
      </c>
      <c r="E13" s="10" t="s">
        <v>10</v>
      </c>
      <c r="F13" s="10">
        <v>635.38658730799887</v>
      </c>
      <c r="G13" s="71">
        <f t="shared" si="0"/>
        <v>80.496965990237825</v>
      </c>
      <c r="H13" s="71" t="s">
        <v>10</v>
      </c>
      <c r="I13" s="71">
        <f t="shared" si="2"/>
        <v>94.348927284833323</v>
      </c>
      <c r="J13" s="71" t="s">
        <v>10</v>
      </c>
      <c r="K13" s="71">
        <f t="shared" si="4"/>
        <v>70.887566279118602</v>
      </c>
    </row>
    <row r="14" spans="1:11">
      <c r="A14" s="130">
        <v>1993</v>
      </c>
      <c r="B14" s="10">
        <f>'1B'!L14/'6B'!L37*1000</f>
        <v>837.34886353606566</v>
      </c>
      <c r="C14" s="10" t="s">
        <v>10</v>
      </c>
      <c r="D14" s="10">
        <v>1833.9649680624025</v>
      </c>
      <c r="E14" s="10" t="s">
        <v>10</v>
      </c>
      <c r="F14" s="10">
        <v>655.28837998415304</v>
      </c>
      <c r="G14" s="71">
        <f t="shared" si="0"/>
        <v>81.097865219059898</v>
      </c>
      <c r="H14" s="71" t="s">
        <v>10</v>
      </c>
      <c r="I14" s="71">
        <f t="shared" si="2"/>
        <v>103.69647321303061</v>
      </c>
      <c r="J14" s="71" t="s">
        <v>10</v>
      </c>
      <c r="K14" s="71">
        <f t="shared" si="4"/>
        <v>73.107930503962208</v>
      </c>
    </row>
    <row r="15" spans="1:11">
      <c r="A15" s="130">
        <v>1994</v>
      </c>
      <c r="B15" s="10">
        <f>'1B'!L15/'6B'!L38*1000</f>
        <v>867.60919049276742</v>
      </c>
      <c r="C15" s="10" t="s">
        <v>10</v>
      </c>
      <c r="D15" s="10">
        <v>1743.6315019606275</v>
      </c>
      <c r="E15" s="10" t="s">
        <v>10</v>
      </c>
      <c r="F15" s="10">
        <v>357.94268043883005</v>
      </c>
      <c r="G15" s="71">
        <f t="shared" si="0"/>
        <v>84.028600571892426</v>
      </c>
      <c r="H15" s="71" t="s">
        <v>10</v>
      </c>
      <c r="I15" s="71">
        <f t="shared" si="2"/>
        <v>98.588817390270009</v>
      </c>
      <c r="J15" s="71" t="s">
        <v>10</v>
      </c>
      <c r="K15" s="71">
        <f t="shared" si="4"/>
        <v>39.934247890305606</v>
      </c>
    </row>
    <row r="16" spans="1:11">
      <c r="A16" s="130">
        <v>1995</v>
      </c>
      <c r="B16" s="10">
        <f>'1B'!L16/'6B'!L39*1000</f>
        <v>890.17033624618273</v>
      </c>
      <c r="C16" s="10" t="s">
        <v>10</v>
      </c>
      <c r="D16" s="10">
        <v>1516.7397470319897</v>
      </c>
      <c r="E16" s="10" t="s">
        <v>10</v>
      </c>
      <c r="F16" s="10">
        <v>293.94252312862858</v>
      </c>
      <c r="G16" s="71">
        <f t="shared" si="0"/>
        <v>86.213664452879271</v>
      </c>
      <c r="H16" s="71" t="s">
        <v>10</v>
      </c>
      <c r="I16" s="71">
        <f t="shared" si="2"/>
        <v>85.759851081239376</v>
      </c>
      <c r="J16" s="71" t="s">
        <v>10</v>
      </c>
      <c r="K16" s="71">
        <f t="shared" si="4"/>
        <v>32.7940036927967</v>
      </c>
    </row>
    <row r="17" spans="1:11">
      <c r="A17" s="130">
        <v>1996</v>
      </c>
      <c r="B17" s="10">
        <f>'1B'!L17/'6B'!L40*1000</f>
        <v>885.67135613583685</v>
      </c>
      <c r="C17" s="10" t="s">
        <v>10</v>
      </c>
      <c r="D17" s="10">
        <v>1813.0791977444283</v>
      </c>
      <c r="E17" s="10" t="s">
        <v>10</v>
      </c>
      <c r="F17" s="10">
        <v>270.75013122948593</v>
      </c>
      <c r="G17" s="71">
        <f t="shared" si="0"/>
        <v>85.777934856171754</v>
      </c>
      <c r="H17" s="71" t="s">
        <v>10</v>
      </c>
      <c r="I17" s="71">
        <f t="shared" si="2"/>
        <v>102.51554513641665</v>
      </c>
      <c r="J17" s="71" t="s">
        <v>10</v>
      </c>
      <c r="K17" s="71">
        <f t="shared" si="4"/>
        <v>30.206520338942354</v>
      </c>
    </row>
    <row r="18" spans="1:11">
      <c r="A18" s="130">
        <v>1997</v>
      </c>
      <c r="B18" s="10">
        <f>'1B'!L18/'6B'!L41*1000</f>
        <v>904.2723743248722</v>
      </c>
      <c r="C18" s="10">
        <f>'1B'!M18/'6B'!M41*1000</f>
        <v>750.46616665976046</v>
      </c>
      <c r="D18" s="10">
        <v>1511.9883749091789</v>
      </c>
      <c r="E18" s="10">
        <v>939.62812763027</v>
      </c>
      <c r="F18" s="10">
        <v>648.72013188166875</v>
      </c>
      <c r="G18" s="71">
        <f t="shared" si="0"/>
        <v>87.579457413521837</v>
      </c>
      <c r="H18" s="71">
        <f t="shared" si="1"/>
        <v>70.355140100961677</v>
      </c>
      <c r="I18" s="71">
        <f t="shared" si="2"/>
        <v>85.491197895034446</v>
      </c>
      <c r="J18" s="71">
        <f t="shared" si="3"/>
        <v>67.513936172775942</v>
      </c>
      <c r="K18" s="71">
        <f t="shared" si="4"/>
        <v>72.375137064498489</v>
      </c>
    </row>
    <row r="19" spans="1:11">
      <c r="A19" s="130">
        <v>1998</v>
      </c>
      <c r="B19" s="10">
        <f>'1B'!L19/'6B'!L42*1000</f>
        <v>927.51676878436956</v>
      </c>
      <c r="C19" s="10">
        <f>'1B'!M19/'6B'!M42*1000</f>
        <v>774.86334106064498</v>
      </c>
      <c r="D19" s="10">
        <v>1508.9675230247212</v>
      </c>
      <c r="E19" s="10">
        <v>1027.302707262827</v>
      </c>
      <c r="F19" s="10">
        <v>654.96898533679848</v>
      </c>
      <c r="G19" s="71">
        <f t="shared" si="0"/>
        <v>89.830694443944807</v>
      </c>
      <c r="H19" s="71">
        <f t="shared" si="1"/>
        <v>72.642340642835038</v>
      </c>
      <c r="I19" s="71">
        <f t="shared" si="2"/>
        <v>85.320392186107441</v>
      </c>
      <c r="J19" s="71">
        <f t="shared" si="3"/>
        <v>73.813509162588105</v>
      </c>
      <c r="K19" s="71">
        <f t="shared" si="4"/>
        <v>73.072296907525342</v>
      </c>
    </row>
    <row r="20" spans="1:11">
      <c r="A20" s="130">
        <v>1999</v>
      </c>
      <c r="B20" s="10">
        <f>'1B'!L20/'6B'!L43*1000</f>
        <v>975.02510953814556</v>
      </c>
      <c r="C20" s="10">
        <f>'1B'!M20/'6B'!M43*1000</f>
        <v>803.06519138755971</v>
      </c>
      <c r="D20" s="10">
        <v>1708.4188911704312</v>
      </c>
      <c r="E20" s="10">
        <v>1035.5227361057132</v>
      </c>
      <c r="F20" s="10">
        <v>673.01821664438648</v>
      </c>
      <c r="G20" s="71">
        <f t="shared" si="0"/>
        <v>94.431912864377935</v>
      </c>
      <c r="H20" s="71">
        <f t="shared" si="1"/>
        <v>75.286224163510767</v>
      </c>
      <c r="I20" s="71">
        <f t="shared" si="2"/>
        <v>96.597817771872599</v>
      </c>
      <c r="J20" s="71">
        <f t="shared" si="3"/>
        <v>74.404132714946641</v>
      </c>
      <c r="K20" s="71">
        <f t="shared" si="4"/>
        <v>75.08597819410177</v>
      </c>
    </row>
    <row r="21" spans="1:11">
      <c r="A21" s="130">
        <v>2000</v>
      </c>
      <c r="B21" s="10">
        <f>'1B'!L21/'6B'!L44*1000</f>
        <v>1014.5318202421358</v>
      </c>
      <c r="C21" s="10">
        <f>'1B'!M21/'6B'!M44*1000</f>
        <v>939.3660793681895</v>
      </c>
      <c r="D21" s="10">
        <v>2248.2230727173314</v>
      </c>
      <c r="E21" s="10">
        <v>1232.4588637069235</v>
      </c>
      <c r="F21" s="10">
        <v>767.42224988455439</v>
      </c>
      <c r="G21" s="71">
        <f t="shared" si="0"/>
        <v>98.258167415426954</v>
      </c>
      <c r="H21" s="71">
        <f t="shared" si="1"/>
        <v>88.064239343654506</v>
      </c>
      <c r="I21" s="71">
        <f t="shared" si="2"/>
        <v>127.11955118927744</v>
      </c>
      <c r="J21" s="71">
        <f t="shared" si="3"/>
        <v>88.554340396057611</v>
      </c>
      <c r="K21" s="71">
        <f t="shared" si="4"/>
        <v>85.618262471114036</v>
      </c>
    </row>
    <row r="22" spans="1:11">
      <c r="A22" s="130">
        <v>2001</v>
      </c>
      <c r="B22" s="10">
        <f>'1B'!L22/'6B'!L45*1000</f>
        <v>1015.2053051804558</v>
      </c>
      <c r="C22" s="10">
        <f>'1B'!M22/'6B'!M45*1000</f>
        <v>964.84675381742306</v>
      </c>
      <c r="D22" s="10">
        <v>2173.4401831711507</v>
      </c>
      <c r="E22" s="10">
        <v>1306.4714063650495</v>
      </c>
      <c r="F22" s="10">
        <v>789.89250895758698</v>
      </c>
      <c r="G22" s="71">
        <f t="shared" si="0"/>
        <v>98.323394936635125</v>
      </c>
      <c r="H22" s="71">
        <f t="shared" si="1"/>
        <v>90.453016480299993</v>
      </c>
      <c r="I22" s="71">
        <f t="shared" si="2"/>
        <v>122.8911596781727</v>
      </c>
      <c r="J22" s="71">
        <f t="shared" si="3"/>
        <v>93.872271962886771</v>
      </c>
      <c r="K22" s="71">
        <f t="shared" si="4"/>
        <v>88.125180324223265</v>
      </c>
    </row>
    <row r="23" spans="1:11">
      <c r="A23" s="130">
        <v>2002</v>
      </c>
      <c r="B23" s="10">
        <f>'1B'!L23/'6B'!L46*1000</f>
        <v>1034.0958609034224</v>
      </c>
      <c r="C23" s="10">
        <f>'1B'!M23/'6B'!M46*1000</f>
        <v>1072.0611649197294</v>
      </c>
      <c r="D23" s="10">
        <v>2218.6431014823256</v>
      </c>
      <c r="E23" s="10">
        <v>1493.7617501281832</v>
      </c>
      <c r="F23" s="10">
        <v>873.39750698664773</v>
      </c>
      <c r="G23" s="71">
        <f t="shared" si="0"/>
        <v>100.15295942122142</v>
      </c>
      <c r="H23" s="71">
        <f t="shared" si="1"/>
        <v>100.50421565363285</v>
      </c>
      <c r="I23" s="71">
        <f t="shared" si="2"/>
        <v>125.4470335849452</v>
      </c>
      <c r="J23" s="71">
        <f t="shared" si="3"/>
        <v>107.32941308369513</v>
      </c>
      <c r="K23" s="71">
        <f t="shared" si="4"/>
        <v>97.441502388090328</v>
      </c>
    </row>
    <row r="24" spans="1:11">
      <c r="A24" s="130">
        <v>2003</v>
      </c>
      <c r="B24" s="10">
        <f>'1B'!L24/'6B'!L47*1000</f>
        <v>1037.0218738439055</v>
      </c>
      <c r="C24" s="10">
        <f>'1B'!M24/'6B'!M47*1000</f>
        <v>1129.5663374838987</v>
      </c>
      <c r="D24" s="10">
        <v>2095.4013139103113</v>
      </c>
      <c r="E24" s="10">
        <v>1601.0218716385803</v>
      </c>
      <c r="F24" s="10">
        <v>931.2339331619537</v>
      </c>
      <c r="G24" s="71">
        <f t="shared" si="0"/>
        <v>100.43634596822699</v>
      </c>
      <c r="H24" s="71">
        <f t="shared" si="1"/>
        <v>105.89524412636126</v>
      </c>
      <c r="I24" s="71">
        <f t="shared" si="2"/>
        <v>118.4786678057508</v>
      </c>
      <c r="J24" s="71">
        <f t="shared" si="3"/>
        <v>115.03624175835417</v>
      </c>
      <c r="K24" s="71">
        <f t="shared" si="4"/>
        <v>103.89408350287231</v>
      </c>
    </row>
    <row r="25" spans="1:11">
      <c r="A25" s="130">
        <v>2004</v>
      </c>
      <c r="B25" s="10">
        <f>'1B'!L25/'6B'!L48*1000</f>
        <v>1043.6272216698831</v>
      </c>
      <c r="C25" s="10">
        <f>'1B'!M25/'6B'!M48*1000</f>
        <v>1155.2293969224211</v>
      </c>
      <c r="D25" s="10">
        <v>2050.3125930336414</v>
      </c>
      <c r="E25" s="10">
        <v>1563.7082601054481</v>
      </c>
      <c r="F25" s="10">
        <v>970.942969257806</v>
      </c>
      <c r="G25" s="71">
        <f t="shared" si="0"/>
        <v>101.07607885740057</v>
      </c>
      <c r="H25" s="71">
        <f t="shared" si="1"/>
        <v>108.30111959740714</v>
      </c>
      <c r="I25" s="71">
        <f t="shared" si="2"/>
        <v>115.92925087684559</v>
      </c>
      <c r="J25" s="71">
        <f t="shared" si="3"/>
        <v>112.35519303988188</v>
      </c>
      <c r="K25" s="71">
        <f t="shared" si="4"/>
        <v>108.32426346630319</v>
      </c>
    </row>
    <row r="26" spans="1:11">
      <c r="A26" s="130">
        <v>2005</v>
      </c>
      <c r="B26" s="10">
        <f>'1B'!L26/'6B'!L49*1000</f>
        <v>1045.4687882011285</v>
      </c>
      <c r="C26" s="10">
        <f>'1B'!M26/'6B'!M49*1000</f>
        <v>1171.6042790594906</v>
      </c>
      <c r="D26" s="10">
        <v>2208.1420263238447</v>
      </c>
      <c r="E26" s="10">
        <v>1535.4964418841071</v>
      </c>
      <c r="F26" s="10">
        <v>975.8409785932721</v>
      </c>
      <c r="G26" s="71">
        <f t="shared" si="0"/>
        <v>101.25443595662944</v>
      </c>
      <c r="H26" s="71">
        <f t="shared" si="1"/>
        <v>109.83624160299728</v>
      </c>
      <c r="I26" s="71">
        <f t="shared" si="2"/>
        <v>124.85327935417061</v>
      </c>
      <c r="J26" s="71">
        <f t="shared" si="3"/>
        <v>110.32812420413174</v>
      </c>
      <c r="K26" s="71">
        <f t="shared" si="4"/>
        <v>108.87071497840491</v>
      </c>
    </row>
    <row r="27" spans="1:11">
      <c r="A27" s="130">
        <v>2006</v>
      </c>
      <c r="B27" s="10">
        <f>'1B'!L27/'6B'!L50*1000</f>
        <v>1038.3673909731244</v>
      </c>
      <c r="C27" s="10">
        <f>'1B'!M27/'6B'!M50*1000</f>
        <v>1104.1726673963556</v>
      </c>
      <c r="D27" s="10">
        <v>1934.5500314663309</v>
      </c>
      <c r="E27" s="10">
        <v>1528.4370055791489</v>
      </c>
      <c r="F27" s="10">
        <v>894.52426131743027</v>
      </c>
      <c r="G27" s="71">
        <f t="shared" si="0"/>
        <v>100.56666031096645</v>
      </c>
      <c r="H27" s="71">
        <f t="shared" si="1"/>
        <v>103.51462352538394</v>
      </c>
      <c r="I27" s="71">
        <f t="shared" si="2"/>
        <v>109.38377723166526</v>
      </c>
      <c r="J27" s="71">
        <f t="shared" si="3"/>
        <v>109.82089127006587</v>
      </c>
      <c r="K27" s="71">
        <f t="shared" si="4"/>
        <v>99.798530735558487</v>
      </c>
    </row>
    <row r="28" spans="1:11">
      <c r="A28" s="130">
        <v>2007</v>
      </c>
      <c r="B28" s="10">
        <f>'1B'!L28/'6B'!L51*1000</f>
        <v>1032.5165295957372</v>
      </c>
      <c r="C28" s="10">
        <f>'1B'!M28/'6B'!M51*1000</f>
        <v>1066.6827833514646</v>
      </c>
      <c r="D28" s="10">
        <v>1768.5895298432813</v>
      </c>
      <c r="E28" s="10">
        <v>1391.7543264336614</v>
      </c>
      <c r="F28" s="10">
        <v>896.33009095865259</v>
      </c>
      <c r="G28" s="71">
        <f>B28/B$28*100</f>
        <v>100</v>
      </c>
      <c r="H28" s="71">
        <f t="shared" ref="H28:K28" si="5">C28/C$28*100</f>
        <v>100</v>
      </c>
      <c r="I28" s="71">
        <f t="shared" si="5"/>
        <v>100</v>
      </c>
      <c r="J28" s="71">
        <f t="shared" si="5"/>
        <v>100</v>
      </c>
      <c r="K28" s="71">
        <f t="shared" si="5"/>
        <v>100</v>
      </c>
    </row>
    <row r="29" spans="1:11">
      <c r="A29" s="130">
        <v>2008</v>
      </c>
      <c r="B29" s="10">
        <f>'1B'!L29/'6B'!L52*1000</f>
        <v>1013.1748350595462</v>
      </c>
      <c r="C29" s="10">
        <f>'1B'!M29/'6B'!M52*1000</f>
        <v>1028.9077192908312</v>
      </c>
      <c r="D29" s="10">
        <v>1743.6974789915964</v>
      </c>
      <c r="E29" s="10">
        <v>1263.9518660620859</v>
      </c>
      <c r="F29" s="10">
        <v>885.36016242916446</v>
      </c>
      <c r="G29" s="71">
        <f t="shared" ref="G29:G34" si="6">B29/B$28*100</f>
        <v>98.1267423831206</v>
      </c>
      <c r="H29" s="71">
        <f t="shared" ref="H29:H34" si="7">C29/C$28*100</f>
        <v>96.458641252093145</v>
      </c>
      <c r="I29" s="71">
        <f t="shared" ref="I29:I34" si="8">D29/D$28*100</f>
        <v>98.592547878880026</v>
      </c>
      <c r="J29" s="71">
        <f t="shared" ref="J29:J34" si="9">E29/E$28*100</f>
        <v>90.817168091794869</v>
      </c>
      <c r="K29" s="71">
        <f t="shared" ref="K29:K34" si="10">F29/F$28*100</f>
        <v>98.776128499964173</v>
      </c>
    </row>
    <row r="30" spans="1:11">
      <c r="A30" s="130">
        <v>2009</v>
      </c>
      <c r="B30" s="10">
        <f>'1B'!L30/'6B'!L53*1000</f>
        <v>977.41625161543277</v>
      </c>
      <c r="C30" s="10">
        <f>'1B'!M30/'6B'!M53*1000</f>
        <v>870.94839319906805</v>
      </c>
      <c r="D30" s="10">
        <v>1409.4373865698731</v>
      </c>
      <c r="E30" s="10">
        <v>1004.2101234331644</v>
      </c>
      <c r="F30" s="10">
        <v>775.52171460800901</v>
      </c>
      <c r="G30" s="71">
        <f t="shared" si="6"/>
        <v>94.663496767274239</v>
      </c>
      <c r="H30" s="71">
        <f t="shared" si="7"/>
        <v>81.650178177863836</v>
      </c>
      <c r="I30" s="71">
        <f t="shared" si="8"/>
        <v>79.692736092063512</v>
      </c>
      <c r="J30" s="71">
        <f t="shared" si="9"/>
        <v>72.154266335670741</v>
      </c>
      <c r="K30" s="71">
        <f t="shared" si="10"/>
        <v>86.521887687443893</v>
      </c>
    </row>
    <row r="31" spans="1:11">
      <c r="A31" s="130">
        <v>2010</v>
      </c>
      <c r="B31" s="10">
        <f>'1B'!L31/'6B'!L54*1000</f>
        <v>991.80096227352828</v>
      </c>
      <c r="C31" s="10">
        <f>'1B'!M31/'6B'!M54*1000</f>
        <v>994.38734783476366</v>
      </c>
      <c r="D31" s="10">
        <v>1596.4912280701753</v>
      </c>
      <c r="E31" s="10">
        <v>1105.4335728017809</v>
      </c>
      <c r="F31" s="10">
        <v>900.24190345524789</v>
      </c>
      <c r="G31" s="71">
        <f t="shared" si="6"/>
        <v>96.056666779160395</v>
      </c>
      <c r="H31" s="71">
        <f t="shared" si="7"/>
        <v>93.222405325644019</v>
      </c>
      <c r="I31" s="71">
        <f t="shared" si="8"/>
        <v>90.269177846577207</v>
      </c>
      <c r="J31" s="71">
        <f t="shared" si="9"/>
        <v>79.427349483039094</v>
      </c>
      <c r="K31" s="71">
        <f t="shared" si="10"/>
        <v>100.43642543478725</v>
      </c>
    </row>
    <row r="32" spans="1:11">
      <c r="A32" s="130">
        <v>2011</v>
      </c>
      <c r="B32" s="10">
        <f>'1B'!L32/'6B'!L55*1000</f>
        <v>998.2137370601356</v>
      </c>
      <c r="C32" s="10">
        <f>'1B'!M32/'6B'!M55*1000</f>
        <v>1021.3341107253598</v>
      </c>
      <c r="D32" s="10">
        <v>1613.3004926108374</v>
      </c>
      <c r="E32" s="10">
        <v>1094.5788861883123</v>
      </c>
      <c r="F32" s="10">
        <v>938.68545327862512</v>
      </c>
      <c r="G32" s="71">
        <f t="shared" si="6"/>
        <v>96.677748825093175</v>
      </c>
      <c r="H32" s="71">
        <f t="shared" si="7"/>
        <v>95.748626176976288</v>
      </c>
      <c r="I32" s="71">
        <f t="shared" si="8"/>
        <v>91.219611186649715</v>
      </c>
      <c r="J32" s="71">
        <f t="shared" si="9"/>
        <v>78.647421128781076</v>
      </c>
      <c r="K32" s="71">
        <f t="shared" si="10"/>
        <v>104.72542010440284</v>
      </c>
    </row>
    <row r="33" spans="1:11">
      <c r="A33" s="130">
        <v>2012</v>
      </c>
      <c r="B33" s="10">
        <f>'1B'!L33/'6B'!L56*1000</f>
        <v>1000.0726372784177</v>
      </c>
      <c r="C33" s="10">
        <f>'1B'!M33/'6B'!M56*1000</f>
        <v>1033.651349060988</v>
      </c>
      <c r="D33" s="10">
        <v>1368.0387409200966</v>
      </c>
      <c r="E33" s="10">
        <v>1168.4355763107621</v>
      </c>
      <c r="F33" s="10">
        <v>948.62444795591762</v>
      </c>
      <c r="G33" s="71">
        <f t="shared" si="6"/>
        <v>96.857784704907118</v>
      </c>
      <c r="H33" s="71">
        <f t="shared" si="7"/>
        <v>96.903349823769204</v>
      </c>
      <c r="I33" s="71">
        <f t="shared" si="8"/>
        <v>77.351964253758851</v>
      </c>
      <c r="J33" s="71">
        <f t="shared" si="9"/>
        <v>83.954154416379765</v>
      </c>
      <c r="K33" s="71">
        <f t="shared" si="10"/>
        <v>105.83427439564532</v>
      </c>
    </row>
    <row r="34" spans="1:11">
      <c r="A34" s="130">
        <v>2013</v>
      </c>
      <c r="B34" s="10">
        <f>'1B'!L34/'6B'!L57*1000</f>
        <v>997.94552530241526</v>
      </c>
      <c r="C34" s="10">
        <f>'1B'!M34/'6B'!M57*1000</f>
        <v>1062.6602428647902</v>
      </c>
      <c r="D34" s="10">
        <v>1556.8416701116164</v>
      </c>
      <c r="E34" s="10">
        <v>1281.6085551966135</v>
      </c>
      <c r="F34" s="10">
        <v>931.48524712619826</v>
      </c>
      <c r="G34" s="71">
        <f t="shared" si="6"/>
        <v>96.651772315271543</v>
      </c>
      <c r="H34" s="71">
        <f t="shared" si="7"/>
        <v>99.622892527238903</v>
      </c>
      <c r="I34" s="71">
        <f t="shared" si="8"/>
        <v>88.027303330783127</v>
      </c>
      <c r="J34" s="71">
        <f t="shared" si="9"/>
        <v>92.085832309262955</v>
      </c>
      <c r="K34" s="71">
        <f t="shared" si="10"/>
        <v>103.92212160700151</v>
      </c>
    </row>
    <row r="35" spans="1:11">
      <c r="A35" s="9"/>
      <c r="B35" s="9"/>
      <c r="C35" s="9"/>
      <c r="D35" s="9"/>
      <c r="E35" s="9"/>
      <c r="F35" s="9"/>
    </row>
    <row r="36" spans="1:11">
      <c r="A36" s="454" t="s">
        <v>11</v>
      </c>
      <c r="B36" s="454"/>
      <c r="C36" s="454"/>
      <c r="D36" s="454"/>
      <c r="E36" s="454"/>
      <c r="F36" s="454"/>
    </row>
    <row r="37" spans="1:11" ht="30">
      <c r="A37" s="130" t="s">
        <v>29</v>
      </c>
      <c r="B37" s="7">
        <f>((B5/B21)^(1/16)-1)*100</f>
        <v>-0.7957565047959525</v>
      </c>
      <c r="C37" s="7">
        <f t="shared" ref="C37:K37" si="11">((C5/C21)^(1/16)-1)*100</f>
        <v>-0.97119454195886412</v>
      </c>
      <c r="D37" s="7">
        <f t="shared" si="11"/>
        <v>-5.9689992378965435</v>
      </c>
      <c r="E37" s="7">
        <f t="shared" si="11"/>
        <v>-1.2226231386741837</v>
      </c>
      <c r="F37" s="7">
        <f t="shared" si="11"/>
        <v>-0.11918528697736352</v>
      </c>
      <c r="G37" s="7">
        <f t="shared" si="11"/>
        <v>-0.7957565047959525</v>
      </c>
      <c r="H37" s="7">
        <f t="shared" si="11"/>
        <v>-0.97119454195886412</v>
      </c>
      <c r="I37" s="7">
        <f t="shared" si="11"/>
        <v>-5.9689992378965435</v>
      </c>
      <c r="J37" s="7">
        <f t="shared" si="11"/>
        <v>-1.2226231386741837</v>
      </c>
      <c r="K37" s="7">
        <f t="shared" si="11"/>
        <v>-0.11918528697736352</v>
      </c>
    </row>
    <row r="38" spans="1:11" ht="30">
      <c r="A38" s="130" t="s">
        <v>68</v>
      </c>
      <c r="B38" s="7">
        <f>((B28/B21)^(1/7)-1)*100</f>
        <v>0.2513411877487437</v>
      </c>
      <c r="C38" s="7">
        <f t="shared" ref="C38:K38" si="12">((C28/C21)^(1/7)-1)*100</f>
        <v>1.832351629747464</v>
      </c>
      <c r="D38" s="7">
        <f t="shared" si="12"/>
        <v>-3.3698794579937519</v>
      </c>
      <c r="E38" s="7">
        <f t="shared" si="12"/>
        <v>1.7516474663064274</v>
      </c>
      <c r="F38" s="7">
        <f t="shared" si="12"/>
        <v>2.2429496151709527</v>
      </c>
      <c r="G38" s="7">
        <f t="shared" si="12"/>
        <v>0.2513411877487215</v>
      </c>
      <c r="H38" s="7">
        <f t="shared" si="12"/>
        <v>1.832351629747464</v>
      </c>
      <c r="I38" s="7">
        <f t="shared" si="12"/>
        <v>-3.3698794579937519</v>
      </c>
      <c r="J38" s="7">
        <f t="shared" si="12"/>
        <v>1.7516474663064274</v>
      </c>
      <c r="K38" s="7">
        <f t="shared" si="12"/>
        <v>2.2429496151709527</v>
      </c>
    </row>
    <row r="39" spans="1:11" ht="30">
      <c r="A39" s="130" t="s">
        <v>69</v>
      </c>
      <c r="B39" s="7">
        <f>((B34/B28)^(1/6)-1)*100</f>
        <v>-0.56598627901724985</v>
      </c>
      <c r="C39" s="7">
        <f t="shared" ref="C39:K39" si="13">((C34/C28)^(1/6)-1)*100</f>
        <v>-6.2950230636238391E-2</v>
      </c>
      <c r="D39" s="7">
        <f t="shared" si="13"/>
        <v>-2.1029587510901782</v>
      </c>
      <c r="E39" s="7">
        <f t="shared" si="13"/>
        <v>-1.3647530380152872</v>
      </c>
      <c r="F39" s="7">
        <f t="shared" si="13"/>
        <v>0.64325341089177535</v>
      </c>
      <c r="G39" s="7">
        <f t="shared" si="13"/>
        <v>-0.56598627901724985</v>
      </c>
      <c r="H39" s="7">
        <f t="shared" si="13"/>
        <v>-6.2950230636238391E-2</v>
      </c>
      <c r="I39" s="7">
        <f t="shared" si="13"/>
        <v>-2.1029587510901782</v>
      </c>
      <c r="J39" s="7">
        <f t="shared" si="13"/>
        <v>-1.3647530380152872</v>
      </c>
      <c r="K39" s="7">
        <f t="shared" si="13"/>
        <v>0.64325341089177535</v>
      </c>
    </row>
    <row r="40" spans="1:11" ht="30">
      <c r="A40" s="130" t="s">
        <v>15</v>
      </c>
      <c r="B40" s="7">
        <f>((B34/B21)^(1/13)-1)*100</f>
        <v>-0.12671836178397289</v>
      </c>
      <c r="C40" s="7">
        <f t="shared" ref="C40:K40" si="14">((C34/C21)^(1/13)-1)*100</f>
        <v>0.95317126287743914</v>
      </c>
      <c r="D40" s="7">
        <f t="shared" si="14"/>
        <v>-2.7871971045639654</v>
      </c>
      <c r="E40" s="7">
        <f t="shared" si="14"/>
        <v>0.30125843264905416</v>
      </c>
      <c r="F40" s="7">
        <f t="shared" si="14"/>
        <v>1.5014929861077775</v>
      </c>
      <c r="G40" s="7">
        <f t="shared" si="14"/>
        <v>-0.12671836178397289</v>
      </c>
      <c r="H40" s="7">
        <f t="shared" si="14"/>
        <v>0.95317126287743914</v>
      </c>
      <c r="I40" s="7">
        <f t="shared" si="14"/>
        <v>-2.7871971045639654</v>
      </c>
      <c r="J40" s="7">
        <f t="shared" si="14"/>
        <v>0.30125843264905416</v>
      </c>
      <c r="K40" s="7">
        <f t="shared" si="14"/>
        <v>1.5014929861077775</v>
      </c>
    </row>
    <row r="41" spans="1:11">
      <c r="A41" s="132"/>
      <c r="B41" s="132"/>
      <c r="C41" s="132"/>
      <c r="D41" s="132"/>
      <c r="E41" s="132"/>
      <c r="F41" s="132"/>
    </row>
    <row r="42" spans="1:11">
      <c r="A42" s="217" t="s">
        <v>285</v>
      </c>
    </row>
  </sheetData>
  <mergeCells count="4">
    <mergeCell ref="B2:F2"/>
    <mergeCell ref="A36:F36"/>
    <mergeCell ref="G2:K2"/>
    <mergeCell ref="A1:K1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5"/>
  <sheetViews>
    <sheetView view="pageBreakPreview" topLeftCell="A4" zoomScaleNormal="100" zoomScaleSheetLayoutView="100" workbookViewId="0">
      <selection activeCell="F27" sqref="F27"/>
    </sheetView>
  </sheetViews>
  <sheetFormatPr defaultRowHeight="15"/>
  <cols>
    <col min="1" max="1" width="9.140625" style="68"/>
    <col min="2" max="2" width="12.7109375" style="68" bestFit="1" customWidth="1"/>
    <col min="3" max="3" width="11.140625" style="68" bestFit="1" customWidth="1"/>
    <col min="4" max="5" width="10.140625" style="68" bestFit="1" customWidth="1"/>
    <col min="6" max="8" width="10.140625" style="68" customWidth="1"/>
    <col min="9" max="11" width="10.140625" style="68" bestFit="1" customWidth="1"/>
    <col min="12" max="12" width="9.140625" style="68"/>
    <col min="13" max="29" width="0" style="68" hidden="1" customWidth="1"/>
    <col min="30" max="16384" width="9.140625" style="68"/>
  </cols>
  <sheetData>
    <row r="1" spans="1:29">
      <c r="A1" s="454" t="s">
        <v>151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3"/>
      <c r="B2" s="63" t="s">
        <v>16</v>
      </c>
      <c r="C2" s="63" t="s">
        <v>8</v>
      </c>
      <c r="D2" s="63" t="s">
        <v>3</v>
      </c>
      <c r="E2" s="63" t="s">
        <v>4</v>
      </c>
      <c r="F2" s="63" t="s">
        <v>36</v>
      </c>
      <c r="G2" s="63" t="s">
        <v>37</v>
      </c>
      <c r="H2" s="63" t="s">
        <v>38</v>
      </c>
      <c r="I2" s="63" t="s">
        <v>17</v>
      </c>
      <c r="J2" s="63" t="s">
        <v>6</v>
      </c>
      <c r="K2" s="63" t="s">
        <v>7</v>
      </c>
    </row>
    <row r="3" spans="1:29">
      <c r="A3" s="63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3">
        <v>1984</v>
      </c>
      <c r="B4" s="11">
        <f>('1A'!B5/'1A'!L5)*100</f>
        <v>54.510720646907565</v>
      </c>
      <c r="C4" s="11">
        <f>('1A'!C5/'1A'!M5)*100</f>
        <v>59.171341798224553</v>
      </c>
      <c r="D4" s="11">
        <f>('1A'!D5/'1A'!N5)*100</f>
        <v>101.40337042992076</v>
      </c>
      <c r="E4" s="11">
        <f>('1A'!E5/'1A'!O5)*100</f>
        <v>30.484951097598113</v>
      </c>
      <c r="F4" s="11" t="s">
        <v>10</v>
      </c>
      <c r="G4" s="11" t="s">
        <v>10</v>
      </c>
      <c r="H4" s="11" t="s">
        <v>10</v>
      </c>
      <c r="I4" s="11">
        <f>('1A'!I5/'1A'!S5)*100</f>
        <v>80.626176073596454</v>
      </c>
      <c r="J4" s="11">
        <f>('1A'!J5/'1A'!T5)*100</f>
        <v>94.517105305698607</v>
      </c>
      <c r="K4" s="11">
        <f>('1A'!K5/'1A'!U5)*100</f>
        <v>44.298335296819943</v>
      </c>
    </row>
    <row r="5" spans="1:29">
      <c r="A5" s="63">
        <v>1985</v>
      </c>
      <c r="B5" s="11">
        <f>('1A'!B6/'1A'!L6)*100</f>
        <v>56.237018741942514</v>
      </c>
      <c r="C5" s="11">
        <f>('1A'!C6/'1A'!M6)*100</f>
        <v>64.557235855196055</v>
      </c>
      <c r="D5" s="11">
        <f>('1A'!D6/'1A'!N6)*100</f>
        <v>110.1057540663567</v>
      </c>
      <c r="E5" s="11">
        <f>('1A'!E6/'1A'!O6)*100</f>
        <v>32.559207553959084</v>
      </c>
      <c r="F5" s="11" t="s">
        <v>10</v>
      </c>
      <c r="G5" s="11" t="s">
        <v>10</v>
      </c>
      <c r="H5" s="11" t="s">
        <v>10</v>
      </c>
      <c r="I5" s="11">
        <f>('1A'!I6/'1A'!S6)*100</f>
        <v>88.55888469164708</v>
      </c>
      <c r="J5" s="11">
        <f>('1A'!J6/'1A'!T6)*100</f>
        <v>106.1585682633785</v>
      </c>
      <c r="K5" s="11">
        <f>('1A'!K6/'1A'!U6)*100</f>
        <v>47.884492210295562</v>
      </c>
    </row>
    <row r="6" spans="1:29">
      <c r="A6" s="63">
        <v>1986</v>
      </c>
      <c r="B6" s="11">
        <f>('1A'!B7/'1A'!L7)*100</f>
        <v>58.200451398465347</v>
      </c>
      <c r="C6" s="11">
        <f>('1A'!C7/'1A'!M7)*100</f>
        <v>70.892260715945383</v>
      </c>
      <c r="D6" s="11">
        <f>('1A'!D7/'1A'!N7)*100</f>
        <v>107.89605946608221</v>
      </c>
      <c r="E6" s="11">
        <f>('1A'!E7/'1A'!O7)*100</f>
        <v>36.413528355929451</v>
      </c>
      <c r="F6" s="11" t="s">
        <v>10</v>
      </c>
      <c r="G6" s="11" t="s">
        <v>10</v>
      </c>
      <c r="H6" s="11" t="s">
        <v>10</v>
      </c>
      <c r="I6" s="11">
        <f>('1A'!I7/'1A'!S7)*100</f>
        <v>98.351433961702313</v>
      </c>
      <c r="J6" s="11">
        <f>('1A'!J7/'1A'!T7)*100</f>
        <v>115.51727820179467</v>
      </c>
      <c r="K6" s="11">
        <f>('1A'!K7/'1A'!U7)*100</f>
        <v>51.31318671663746</v>
      </c>
    </row>
    <row r="7" spans="1:29">
      <c r="A7" s="63">
        <v>1987</v>
      </c>
      <c r="B7" s="11">
        <f>('1A'!B8/'1A'!L8)*100</f>
        <v>61.344815451240549</v>
      </c>
      <c r="C7" s="11">
        <f>('1A'!C8/'1A'!M8)*100</f>
        <v>85.626231832979684</v>
      </c>
      <c r="D7" s="11">
        <f>('1A'!D8/'1A'!N8)*100</f>
        <v>175.09258046993338</v>
      </c>
      <c r="E7" s="11">
        <f>('1A'!E8/'1A'!O8)*100</f>
        <v>45.463334103853732</v>
      </c>
      <c r="F7" s="11" t="s">
        <v>10</v>
      </c>
      <c r="G7" s="11" t="s">
        <v>10</v>
      </c>
      <c r="H7" s="11" t="s">
        <v>10</v>
      </c>
      <c r="I7" s="11">
        <f>('1A'!I8/'1A'!S8)*100</f>
        <v>109.84088671683368</v>
      </c>
      <c r="J7" s="11">
        <f>('1A'!J8/'1A'!T8)*100</f>
        <v>131.23142781274672</v>
      </c>
      <c r="K7" s="11">
        <f>('1A'!K8/'1A'!U8)*100</f>
        <v>55.323137304658928</v>
      </c>
    </row>
    <row r="8" spans="1:29">
      <c r="A8" s="63">
        <v>1988</v>
      </c>
      <c r="B8" s="11">
        <f>('1A'!B9/'1A'!L9)*100</f>
        <v>64.368415849854628</v>
      </c>
      <c r="C8" s="11">
        <f>('1A'!C9/'1A'!M9)*100</f>
        <v>98.196838672216742</v>
      </c>
      <c r="D8" s="11">
        <f>('1A'!D9/'1A'!N9)*100</f>
        <v>203.33733063255767</v>
      </c>
      <c r="E8" s="11">
        <f>('1A'!E9/'1A'!O9)*100</f>
        <v>52.412646038205658</v>
      </c>
      <c r="F8" s="11" t="s">
        <v>10</v>
      </c>
      <c r="G8" s="11" t="s">
        <v>10</v>
      </c>
      <c r="H8" s="11" t="s">
        <v>10</v>
      </c>
      <c r="I8" s="11">
        <f>('1A'!I9/'1A'!S9)*100</f>
        <v>120.85440596666537</v>
      </c>
      <c r="J8" s="11">
        <f>('1A'!J9/'1A'!T9)*100</f>
        <v>146.74347035911285</v>
      </c>
      <c r="K8" s="11">
        <f>('1A'!K9/'1A'!U9)*100</f>
        <v>57.189812704001909</v>
      </c>
    </row>
    <row r="9" spans="1:29">
      <c r="A9" s="63">
        <v>1989</v>
      </c>
      <c r="B9" s="11">
        <f>('1A'!B10/'1A'!L10)*100</f>
        <v>67.164831494238513</v>
      </c>
      <c r="C9" s="11">
        <f>('1A'!C10/'1A'!M10)*100</f>
        <v>89.95938467426619</v>
      </c>
      <c r="D9" s="11">
        <f>('1A'!D10/'1A'!N10)*100</f>
        <v>228.5922305558035</v>
      </c>
      <c r="E9" s="11">
        <f>('1A'!E10/'1A'!O10)*100</f>
        <v>44.841782287652357</v>
      </c>
      <c r="F9" s="11" t="s">
        <v>10</v>
      </c>
      <c r="G9" s="11" t="s">
        <v>10</v>
      </c>
      <c r="H9" s="11" t="s">
        <v>10</v>
      </c>
      <c r="I9" s="11">
        <f>('1A'!I10/'1A'!S10)*100</f>
        <v>112.64526168223196</v>
      </c>
      <c r="J9" s="11">
        <f>('1A'!J10/'1A'!T10)*100</f>
        <v>135.81402540694486</v>
      </c>
      <c r="K9" s="11">
        <f>('1A'!K10/'1A'!U10)*100</f>
        <v>61.985332151759998</v>
      </c>
    </row>
    <row r="10" spans="1:29">
      <c r="A10" s="63">
        <v>1990</v>
      </c>
      <c r="B10" s="11">
        <f>('1A'!B11/'1A'!L11)*100</f>
        <v>69.57936345127878</v>
      </c>
      <c r="C10" s="11">
        <f>('1A'!C11/'1A'!M11)*100</f>
        <v>74.445747570789607</v>
      </c>
      <c r="D10" s="11">
        <f>('1A'!D11/'1A'!N11)*100</f>
        <v>164.41407999687877</v>
      </c>
      <c r="E10" s="11">
        <f>('1A'!E11/'1A'!O11)*100</f>
        <v>38.38852011138021</v>
      </c>
      <c r="F10" s="11" t="s">
        <v>10</v>
      </c>
      <c r="G10" s="11" t="s">
        <v>10</v>
      </c>
      <c r="H10" s="11" t="s">
        <v>10</v>
      </c>
      <c r="I10" s="11">
        <f>('1A'!I11/'1A'!S11)*100</f>
        <v>93.928059776817335</v>
      </c>
      <c r="J10" s="11">
        <f>('1A'!J11/'1A'!T11)*100</f>
        <v>107.60983251886836</v>
      </c>
      <c r="K10" s="11">
        <f>('1A'!K11/'1A'!U11)*100</f>
        <v>60.332140937973719</v>
      </c>
    </row>
    <row r="11" spans="1:29">
      <c r="A11" s="63">
        <v>1991</v>
      </c>
      <c r="B11" s="11">
        <f>('1A'!B12/'1A'!L12)*100</f>
        <v>71.999800820545289</v>
      </c>
      <c r="C11" s="11">
        <f>('1A'!C12/'1A'!M12)*100</f>
        <v>65.287470995989807</v>
      </c>
      <c r="D11" s="11">
        <f>('1A'!D12/'1A'!N12)*100</f>
        <v>119.28967525417775</v>
      </c>
      <c r="E11" s="11">
        <f>('1A'!E12/'1A'!O12)*100</f>
        <v>34.673805336670981</v>
      </c>
      <c r="F11" s="11" t="s">
        <v>10</v>
      </c>
      <c r="G11" s="11" t="s">
        <v>10</v>
      </c>
      <c r="H11" s="11" t="s">
        <v>10</v>
      </c>
      <c r="I11" s="11">
        <f>('1A'!I12/'1A'!S12)*100</f>
        <v>85.186780487516415</v>
      </c>
      <c r="J11" s="11">
        <f>('1A'!J12/'1A'!T12)*100</f>
        <v>94.783591664254956</v>
      </c>
      <c r="K11" s="11">
        <f>('1A'!K12/'1A'!U12)*100</f>
        <v>64.393774983110987</v>
      </c>
    </row>
    <row r="12" spans="1:29">
      <c r="A12" s="63">
        <v>1992</v>
      </c>
      <c r="B12" s="11">
        <f>('1A'!B13/'1A'!L13)*100</f>
        <v>72.462163645601038</v>
      </c>
      <c r="C12" s="11" t="s">
        <v>10</v>
      </c>
      <c r="D12" s="11">
        <f>('1A'!D13/'1A'!N13)*100</f>
        <v>120.03878082076669</v>
      </c>
      <c r="E12" s="11">
        <f>('1A'!E13/'1A'!O13)*100</f>
        <v>38.686791856201921</v>
      </c>
      <c r="F12" s="11" t="s">
        <v>10</v>
      </c>
      <c r="G12" s="11" t="s">
        <v>10</v>
      </c>
      <c r="H12" s="11" t="s">
        <v>10</v>
      </c>
      <c r="I12" s="11" t="s">
        <v>10</v>
      </c>
      <c r="J12" s="11">
        <f>('1A'!J13/'1A'!T13)*100</f>
        <v>71.671031281676662</v>
      </c>
      <c r="K12" s="11" t="s">
        <v>10</v>
      </c>
    </row>
    <row r="13" spans="1:29">
      <c r="A13" s="63">
        <v>1993</v>
      </c>
      <c r="B13" s="11">
        <f>('1A'!B14/'1A'!L14)*100</f>
        <v>73.222685749089138</v>
      </c>
      <c r="C13" s="11" t="s">
        <v>10</v>
      </c>
      <c r="D13" s="11">
        <f>('1A'!D14/'1A'!N14)*100</f>
        <v>126.14399693283526</v>
      </c>
      <c r="E13" s="11">
        <f>('1A'!E14/'1A'!O14)*100</f>
        <v>57.904327371636143</v>
      </c>
      <c r="F13" s="11" t="s">
        <v>10</v>
      </c>
      <c r="G13" s="11" t="s">
        <v>10</v>
      </c>
      <c r="H13" s="11" t="s">
        <v>10</v>
      </c>
      <c r="I13" s="11" t="s">
        <v>10</v>
      </c>
      <c r="J13" s="11">
        <f>('1A'!J14/'1A'!T14)*100</f>
        <v>80.906005642033236</v>
      </c>
      <c r="K13" s="11" t="s">
        <v>10</v>
      </c>
    </row>
    <row r="14" spans="1:29">
      <c r="A14" s="63">
        <v>1994</v>
      </c>
      <c r="B14" s="11">
        <f>('1A'!B15/'1A'!L15)*100</f>
        <v>74.427146077005986</v>
      </c>
      <c r="C14" s="11" t="s">
        <v>10</v>
      </c>
      <c r="D14" s="11">
        <f>('1A'!D15/'1A'!N15)*100</f>
        <v>122.14345897854713</v>
      </c>
      <c r="E14" s="11" t="s">
        <v>10</v>
      </c>
      <c r="F14" s="11" t="s">
        <v>10</v>
      </c>
      <c r="G14" s="11" t="s">
        <v>10</v>
      </c>
      <c r="H14" s="11" t="s">
        <v>10</v>
      </c>
      <c r="I14" s="11" t="s">
        <v>10</v>
      </c>
      <c r="J14" s="11">
        <f>('1A'!J15/'1A'!T15)*100</f>
        <v>90.096320946651474</v>
      </c>
      <c r="K14" s="11" t="s">
        <v>10</v>
      </c>
      <c r="W14" s="68" t="s">
        <v>32</v>
      </c>
    </row>
    <row r="15" spans="1:29">
      <c r="A15" s="63">
        <v>1995</v>
      </c>
      <c r="B15" s="11">
        <f>('1A'!B16/'1A'!L16)*100</f>
        <v>76.590648945599654</v>
      </c>
      <c r="C15" s="11" t="s">
        <v>10</v>
      </c>
      <c r="D15" s="11">
        <f>('1A'!D16/'1A'!N16)*100</f>
        <v>178.12279838268583</v>
      </c>
      <c r="E15" s="11">
        <f>('1A'!E16/'1A'!O16)*100</f>
        <v>69.00682330912737</v>
      </c>
      <c r="F15" s="11" t="s">
        <v>10</v>
      </c>
      <c r="G15" s="11" t="s">
        <v>10</v>
      </c>
      <c r="H15" s="11" t="s">
        <v>10</v>
      </c>
      <c r="I15" s="11" t="s">
        <v>10</v>
      </c>
      <c r="J15" s="11">
        <f>('1A'!J16/'1A'!T16)*100</f>
        <v>188.28584208439219</v>
      </c>
      <c r="K15" s="11" t="s">
        <v>10</v>
      </c>
      <c r="N15" s="68" t="s">
        <v>24</v>
      </c>
      <c r="W15" s="68" t="s">
        <v>16</v>
      </c>
      <c r="X15" s="68" t="s">
        <v>8</v>
      </c>
      <c r="Y15" s="68" t="s">
        <v>3</v>
      </c>
      <c r="Z15" s="68" t="s">
        <v>4</v>
      </c>
      <c r="AA15" s="68" t="s">
        <v>17</v>
      </c>
      <c r="AB15" s="68" t="s">
        <v>6</v>
      </c>
      <c r="AC15" s="68" t="s">
        <v>7</v>
      </c>
    </row>
    <row r="16" spans="1:29" ht="15.75" thickBot="1">
      <c r="A16" s="63">
        <v>1996</v>
      </c>
      <c r="B16" s="75">
        <f>('1A'!B17/'1A'!L17)*100</f>
        <v>77.566167598422041</v>
      </c>
      <c r="C16" s="235" t="s">
        <v>10</v>
      </c>
      <c r="D16" s="75">
        <f>('1A'!D17/'1A'!N17)*100</f>
        <v>146.27344265234726</v>
      </c>
      <c r="E16" s="75">
        <f>('1A'!E17/'1A'!O17)*100</f>
        <v>90.756863761443228</v>
      </c>
      <c r="F16" s="75" t="s">
        <v>10</v>
      </c>
      <c r="G16" s="75" t="s">
        <v>10</v>
      </c>
      <c r="H16" s="75" t="s">
        <v>10</v>
      </c>
      <c r="I16" s="11" t="s">
        <v>10</v>
      </c>
      <c r="J16" s="11">
        <f>('1A'!J17/'1A'!T17)*100</f>
        <v>186.45387605865548</v>
      </c>
      <c r="K16" s="11" t="s">
        <v>10</v>
      </c>
      <c r="N16" s="68" t="s">
        <v>16</v>
      </c>
      <c r="O16" s="68" t="s">
        <v>8</v>
      </c>
      <c r="P16" s="68" t="s">
        <v>3</v>
      </c>
      <c r="Q16" s="68" t="s">
        <v>4</v>
      </c>
      <c r="R16" s="68" t="s">
        <v>17</v>
      </c>
      <c r="S16" s="68" t="s">
        <v>6</v>
      </c>
      <c r="T16" s="68" t="s">
        <v>7</v>
      </c>
      <c r="V16" s="68" t="s">
        <v>19</v>
      </c>
      <c r="W16" s="68">
        <f>((B20/B17)^(1/3)-1)*100</f>
        <v>1.2808604925056866</v>
      </c>
      <c r="X16" s="68">
        <f>((C20/C17)^(1/3)-1)*100</f>
        <v>3.2675202281204907</v>
      </c>
      <c r="Y16" s="68">
        <f>((D20/D17)^(1/3)-1)*100</f>
        <v>-2.8999252704569822</v>
      </c>
      <c r="Z16" s="68">
        <f>((E20/E17)^(1/3)-1)*100</f>
        <v>3.539351142947389</v>
      </c>
      <c r="AA16" s="68">
        <f t="shared" ref="AA16:AC16" si="0">((I20/I17)^(1/3)-1)*100</f>
        <v>4.415355252217501</v>
      </c>
      <c r="AB16" s="68">
        <f t="shared" si="0"/>
        <v>3.6610232924451536</v>
      </c>
      <c r="AC16" s="68">
        <f t="shared" si="0"/>
        <v>9.4740913578409405</v>
      </c>
    </row>
    <row r="17" spans="1:29" ht="15.75" thickBot="1">
      <c r="A17" s="63">
        <v>1997</v>
      </c>
      <c r="B17" s="11">
        <f>('1A'!B18/'1A'!L18)*100</f>
        <v>80.029367032147448</v>
      </c>
      <c r="C17" s="75">
        <f>('1A'!C18/'1A'!M18)*100</f>
        <v>126.58285117977942</v>
      </c>
      <c r="D17" s="11">
        <f>('1A'!D18/'1A'!N18)*100</f>
        <v>149.34505988023955</v>
      </c>
      <c r="E17" s="11">
        <f>('1A'!E18/'1A'!O18)*100</f>
        <v>120.66966516741628</v>
      </c>
      <c r="F17" s="11" t="s">
        <v>10</v>
      </c>
      <c r="G17" s="11" t="s">
        <v>10</v>
      </c>
      <c r="H17" s="11" t="s">
        <v>10</v>
      </c>
      <c r="I17" s="75">
        <f>('1A'!I18/'1A'!S18)*100</f>
        <v>126.47556707771611</v>
      </c>
      <c r="J17" s="75">
        <f>('1A'!J18/'1A'!T18)*100</f>
        <v>150.89850335188817</v>
      </c>
      <c r="K17" s="75">
        <f>('1A'!K18/'1A'!U18)*100</f>
        <v>74.358904457480875</v>
      </c>
      <c r="M17" s="68">
        <v>1998</v>
      </c>
      <c r="N17" s="68">
        <f>((B18/B17)-1)*100</f>
        <v>0.71378963195731782</v>
      </c>
      <c r="O17" s="68">
        <f>((C18/C17)-1)*100</f>
        <v>5.6237146471644683</v>
      </c>
      <c r="P17" s="68">
        <f>((D18/D17)-1)*100</f>
        <v>8.2929729368246505</v>
      </c>
      <c r="Q17" s="68">
        <f>((E18/E17)-1)*100</f>
        <v>-4.5831888171938502</v>
      </c>
      <c r="R17" s="68">
        <f t="shared" ref="R17:T32" si="1">((I18/I17)-1)*100</f>
        <v>11.33060492650586</v>
      </c>
      <c r="S17" s="68">
        <f t="shared" si="1"/>
        <v>12.853331748672137</v>
      </c>
      <c r="T17" s="68">
        <f t="shared" si="1"/>
        <v>13.08788060344952</v>
      </c>
      <c r="V17" s="68" t="s">
        <v>21</v>
      </c>
      <c r="W17" s="68">
        <f>((B28/B20)^(1/8)-1)*100</f>
        <v>2.4738893836537823</v>
      </c>
      <c r="X17" s="68">
        <f>((C28/C20)^(1/8)-1)*100</f>
        <v>-4.1165778155030424</v>
      </c>
      <c r="Y17" s="68">
        <f>((D28/D20)^(1/8)-1)*100</f>
        <v>-4.0800956330831584</v>
      </c>
      <c r="Z17" s="68">
        <f>((E28/E20)^(1/8)-1)*100</f>
        <v>-4.234393426069472</v>
      </c>
      <c r="AA17" s="68">
        <f t="shared" ref="AA17:AC17" si="2">((I28/I20)^(1/8)-1)*100</f>
        <v>-3.9729242553713462</v>
      </c>
      <c r="AB17" s="68">
        <f t="shared" si="2"/>
        <v>-5.8212562931548746</v>
      </c>
      <c r="AC17" s="68">
        <f t="shared" si="2"/>
        <v>0.83320790230079211</v>
      </c>
    </row>
    <row r="18" spans="1:29">
      <c r="A18" s="63">
        <v>1998</v>
      </c>
      <c r="B18" s="11">
        <f>('1A'!B19/'1A'!L19)*100</f>
        <v>80.600608356543987</v>
      </c>
      <c r="C18" s="11">
        <f>('1A'!C19/'1A'!M19)*100</f>
        <v>133.70150952237509</v>
      </c>
      <c r="D18" s="11">
        <f>('1A'!D19/'1A'!N19)*100</f>
        <v>161.73020527859239</v>
      </c>
      <c r="E18" s="11">
        <f>('1A'!E19/'1A'!O19)*100</f>
        <v>115.139146567718</v>
      </c>
      <c r="F18" s="11" t="s">
        <v>10</v>
      </c>
      <c r="G18" s="11" t="s">
        <v>10</v>
      </c>
      <c r="H18" s="11" t="s">
        <v>10</v>
      </c>
      <c r="I18" s="11">
        <f>('1A'!I19/'1A'!S19)*100</f>
        <v>140.80601391185004</v>
      </c>
      <c r="J18" s="11">
        <f>('1A'!J19/'1A'!T19)*100</f>
        <v>170.2939885914875</v>
      </c>
      <c r="K18" s="11">
        <f>('1A'!K19/'1A'!U19)*100</f>
        <v>84.090909090909079</v>
      </c>
      <c r="M18" s="68">
        <v>1999</v>
      </c>
      <c r="N18" s="68">
        <f t="shared" ref="N18:Q32" si="3">((B19/B18)-1)*100</f>
        <v>0.97407095676120825</v>
      </c>
      <c r="O18" s="68">
        <f t="shared" si="3"/>
        <v>-1.2626928798265324</v>
      </c>
      <c r="P18" s="68">
        <f t="shared" si="3"/>
        <v>-12.528583310281682</v>
      </c>
      <c r="Q18" s="68">
        <f t="shared" si="3"/>
        <v>20.716910805975086</v>
      </c>
      <c r="R18" s="68">
        <f t="shared" si="1"/>
        <v>-10.990736124216561</v>
      </c>
      <c r="S18" s="68">
        <f t="shared" si="1"/>
        <v>-15.357101578788789</v>
      </c>
      <c r="T18" s="68">
        <f t="shared" si="1"/>
        <v>3.3787876307561637</v>
      </c>
      <c r="V18" s="68" t="s">
        <v>22</v>
      </c>
      <c r="W18" s="68" t="e">
        <f>((B33/B28)^(1/5)-1)*100</f>
        <v>#VALUE!</v>
      </c>
      <c r="X18" s="68" t="e">
        <f>((C33/C28)^(1/5)-1)*100</f>
        <v>#VALUE!</v>
      </c>
      <c r="Y18" s="68" t="e">
        <f>((D33/D28)^(1/5)-1)*100</f>
        <v>#VALUE!</v>
      </c>
      <c r="Z18" s="68" t="e">
        <f>((E33/E28)^(1/5)-1)*100</f>
        <v>#VALUE!</v>
      </c>
      <c r="AA18" s="68" t="e">
        <f t="shared" ref="AA18:AC18" si="4">((I33/I28)^(1/5)-1)*100</f>
        <v>#VALUE!</v>
      </c>
      <c r="AB18" s="68" t="e">
        <f t="shared" si="4"/>
        <v>#VALUE!</v>
      </c>
      <c r="AC18" s="68" t="e">
        <f t="shared" si="4"/>
        <v>#VALUE!</v>
      </c>
    </row>
    <row r="19" spans="1:29">
      <c r="A19" s="63">
        <v>1999</v>
      </c>
      <c r="B19" s="11">
        <f>('1A'!B20/'1A'!L20)*100</f>
        <v>81.385715473517934</v>
      </c>
      <c r="C19" s="11">
        <f>('1A'!C20/'1A'!M20)*100</f>
        <v>132.01327008141547</v>
      </c>
      <c r="D19" s="11">
        <f>('1A'!D20/'1A'!N20)*100</f>
        <v>141.46770177237437</v>
      </c>
      <c r="E19" s="11">
        <f>('1A'!E20/'1A'!O20)*100</f>
        <v>138.99242086491307</v>
      </c>
      <c r="F19" s="11" t="s">
        <v>10</v>
      </c>
      <c r="G19" s="11" t="s">
        <v>10</v>
      </c>
      <c r="H19" s="11" t="s">
        <v>10</v>
      </c>
      <c r="I19" s="11">
        <f>('1A'!I20/'1A'!S20)*100</f>
        <v>125.33039647577094</v>
      </c>
      <c r="J19" s="11">
        <f>('1A'!J20/'1A'!T20)*100</f>
        <v>144.14176778092178</v>
      </c>
      <c r="K19" s="11">
        <f>('1A'!K20/'1A'!U20)*100</f>
        <v>86.932162325863118</v>
      </c>
      <c r="M19" s="68">
        <v>2000</v>
      </c>
      <c r="N19" s="68">
        <f t="shared" si="3"/>
        <v>2.1605785429746449</v>
      </c>
      <c r="O19" s="68">
        <f t="shared" si="3"/>
        <v>5.5962583175604763</v>
      </c>
      <c r="P19" s="68">
        <f t="shared" si="3"/>
        <v>-3.3521370289300578</v>
      </c>
      <c r="Q19" s="68">
        <f t="shared" si="3"/>
        <v>-3.634116920546937</v>
      </c>
      <c r="R19" s="68">
        <f t="shared" si="1"/>
        <v>14.879710653495914</v>
      </c>
      <c r="S19" s="68">
        <f t="shared" si="1"/>
        <v>16.611548745570293</v>
      </c>
      <c r="T19" s="68">
        <f t="shared" si="1"/>
        <v>12.224207694118959</v>
      </c>
      <c r="V19" s="68" t="s">
        <v>18</v>
      </c>
      <c r="W19" s="68" t="e">
        <f>((B33/B17)^(1/16)-1)*100</f>
        <v>#VALUE!</v>
      </c>
      <c r="X19" s="68" t="e">
        <f>((C33/C17)^(1/16)-1)*100</f>
        <v>#VALUE!</v>
      </c>
      <c r="Y19" s="68" t="e">
        <f>((D33/D17)^(1/16)-1)*100</f>
        <v>#VALUE!</v>
      </c>
      <c r="Z19" s="68" t="e">
        <f>((E33/E17)^(1/16)-1)*100</f>
        <v>#VALUE!</v>
      </c>
      <c r="AA19" s="68" t="e">
        <f t="shared" ref="AA19:AC19" si="5">((I33/I17)^(1/16)-1)*100</f>
        <v>#VALUE!</v>
      </c>
      <c r="AB19" s="68" t="e">
        <f t="shared" si="5"/>
        <v>#VALUE!</v>
      </c>
      <c r="AC19" s="68" t="e">
        <f t="shared" si="5"/>
        <v>#VALUE!</v>
      </c>
    </row>
    <row r="20" spans="1:29">
      <c r="A20" s="63">
        <v>2000</v>
      </c>
      <c r="B20" s="11">
        <f>('1A'!B21/'1A'!L21)*100</f>
        <v>83.144117779085164</v>
      </c>
      <c r="C20" s="11">
        <f>('1A'!C21/'1A'!M21)*100</f>
        <v>139.40107368863025</v>
      </c>
      <c r="D20" s="11">
        <f>('1A'!D21/'1A'!N21)*100</f>
        <v>136.72551055728627</v>
      </c>
      <c r="E20" s="11">
        <f>('1A'!E21/'1A'!O21)*100</f>
        <v>133.94127377998345</v>
      </c>
      <c r="F20" s="11" t="s">
        <v>10</v>
      </c>
      <c r="G20" s="11" t="s">
        <v>10</v>
      </c>
      <c r="H20" s="11" t="s">
        <v>10</v>
      </c>
      <c r="I20" s="11">
        <f>('1A'!I21/'1A'!S21)*100</f>
        <v>143.9791968322449</v>
      </c>
      <c r="J20" s="11">
        <f>('1A'!J21/'1A'!T21)*100</f>
        <v>168.08594779857634</v>
      </c>
      <c r="K20" s="11">
        <f>('1A'!K21/'1A'!U21)*100</f>
        <v>97.558930401565263</v>
      </c>
      <c r="M20" s="68">
        <v>2001</v>
      </c>
      <c r="N20" s="68">
        <f t="shared" si="3"/>
        <v>1.6014069172360923</v>
      </c>
      <c r="O20" s="68">
        <f t="shared" si="3"/>
        <v>-0.69342034567789756</v>
      </c>
      <c r="P20" s="68">
        <f t="shared" si="3"/>
        <v>-9.8470640081507081</v>
      </c>
      <c r="Q20" s="68">
        <f t="shared" si="3"/>
        <v>-5.4997651996908541</v>
      </c>
      <c r="R20" s="68">
        <f t="shared" si="1"/>
        <v>5.3455224338103235</v>
      </c>
      <c r="S20" s="68">
        <f t="shared" si="1"/>
        <v>3.7718909089468289</v>
      </c>
      <c r="T20" s="68">
        <f t="shared" si="1"/>
        <v>10.608138586503424</v>
      </c>
    </row>
    <row r="21" spans="1:29">
      <c r="A21" s="63">
        <v>2001</v>
      </c>
      <c r="B21" s="11">
        <f>('1A'!B22/'1A'!L22)*100</f>
        <v>84.475593432474355</v>
      </c>
      <c r="C21" s="11">
        <f>('1A'!C22/'1A'!M22)*100</f>
        <v>138.43443828157984</v>
      </c>
      <c r="D21" s="11">
        <f>('1A'!D22/'1A'!N22)*100</f>
        <v>123.26206201723944</v>
      </c>
      <c r="E21" s="11">
        <f>('1A'!E22/'1A'!O22)*100</f>
        <v>126.57481821660927</v>
      </c>
      <c r="F21" s="11" t="s">
        <v>10</v>
      </c>
      <c r="G21" s="11" t="s">
        <v>10</v>
      </c>
      <c r="H21" s="11" t="s">
        <v>10</v>
      </c>
      <c r="I21" s="11">
        <f>('1A'!I22/'1A'!S22)*100</f>
        <v>151.67563709893247</v>
      </c>
      <c r="J21" s="11">
        <f>('1A'!J22/'1A'!T22)*100</f>
        <v>174.42596638280796</v>
      </c>
      <c r="K21" s="11">
        <f>('1A'!K22/'1A'!U22)*100</f>
        <v>107.90811694207372</v>
      </c>
      <c r="M21" s="68">
        <v>2002</v>
      </c>
      <c r="N21" s="68">
        <f t="shared" si="3"/>
        <v>1.1929076356613333</v>
      </c>
      <c r="O21" s="68">
        <f t="shared" si="3"/>
        <v>-9.486000412773377</v>
      </c>
      <c r="P21" s="68">
        <f t="shared" si="3"/>
        <v>7.9207181457406461</v>
      </c>
      <c r="Q21" s="68">
        <f t="shared" si="3"/>
        <v>-3.4024973305265771</v>
      </c>
      <c r="R21" s="68">
        <f t="shared" si="1"/>
        <v>-17.072888433633448</v>
      </c>
      <c r="S21" s="68">
        <f t="shared" si="1"/>
        <v>-21.502667809005882</v>
      </c>
      <c r="T21" s="68">
        <f t="shared" si="1"/>
        <v>-3.6168201403220079</v>
      </c>
    </row>
    <row r="22" spans="1:29">
      <c r="A22" s="63">
        <v>2002</v>
      </c>
      <c r="B22" s="11">
        <f>('1A'!B23/'1A'!L23)*100</f>
        <v>85.483309236800565</v>
      </c>
      <c r="C22" s="11">
        <f>('1A'!C23/'1A'!M23)*100</f>
        <v>125.30254689476867</v>
      </c>
      <c r="D22" s="11">
        <f>('1A'!D23/'1A'!N23)*100</f>
        <v>133.02530253025301</v>
      </c>
      <c r="E22" s="11">
        <f>('1A'!E23/'1A'!O23)*100</f>
        <v>122.26811340567028</v>
      </c>
      <c r="F22" s="11" t="s">
        <v>10</v>
      </c>
      <c r="G22" s="11" t="s">
        <v>10</v>
      </c>
      <c r="H22" s="11" t="s">
        <v>10</v>
      </c>
      <c r="I22" s="11">
        <f>('1A'!I23/'1A'!S23)*100</f>
        <v>125.78022479602899</v>
      </c>
      <c r="J22" s="11">
        <f>('1A'!J23/'1A'!T23)*100</f>
        <v>136.91973025886449</v>
      </c>
      <c r="K22" s="11">
        <f>('1A'!K23/'1A'!U23)*100</f>
        <v>104.00527443547057</v>
      </c>
      <c r="M22" s="68">
        <v>2003</v>
      </c>
      <c r="N22" s="68">
        <f t="shared" si="3"/>
        <v>2.8412067215013659</v>
      </c>
      <c r="O22" s="68">
        <f t="shared" si="3"/>
        <v>-7.6480796410494651</v>
      </c>
      <c r="P22" s="68">
        <f t="shared" si="3"/>
        <v>-2.4154646586966644</v>
      </c>
      <c r="Q22" s="68">
        <f t="shared" si="3"/>
        <v>-3.3815352860906422</v>
      </c>
      <c r="R22" s="68">
        <f t="shared" si="1"/>
        <v>-12.421368517024245</v>
      </c>
      <c r="S22" s="68">
        <f t="shared" si="1"/>
        <v>-15.831838214160655</v>
      </c>
      <c r="T22" s="68">
        <f t="shared" si="1"/>
        <v>-3.9833527944224567</v>
      </c>
    </row>
    <row r="23" spans="1:29">
      <c r="A23" s="63">
        <v>2003</v>
      </c>
      <c r="B23" s="11">
        <f>('1A'!B24/'1A'!L24)*100</f>
        <v>87.912066764598336</v>
      </c>
      <c r="C23" s="11">
        <f>('1A'!C24/'1A'!M24)*100</f>
        <v>115.7193083159934</v>
      </c>
      <c r="D23" s="11">
        <f>('1A'!D24/'1A'!N24)*100</f>
        <v>129.81212336051044</v>
      </c>
      <c r="E23" s="11">
        <f>('1A'!E24/'1A'!O24)*100</f>
        <v>118.13357400722022</v>
      </c>
      <c r="F23" s="11" t="s">
        <v>10</v>
      </c>
      <c r="G23" s="11" t="s">
        <v>10</v>
      </c>
      <c r="H23" s="11" t="s">
        <v>10</v>
      </c>
      <c r="I23" s="11">
        <f>('1A'!I24/'1A'!S24)*100</f>
        <v>110.15659955257271</v>
      </c>
      <c r="J23" s="11">
        <f>('1A'!J24/'1A'!T24)*100</f>
        <v>115.24282008101589</v>
      </c>
      <c r="K23" s="11">
        <f>('1A'!K24/'1A'!U24)*100</f>
        <v>99.862377429898501</v>
      </c>
      <c r="M23" s="68">
        <v>2004</v>
      </c>
      <c r="N23" s="68">
        <f t="shared" si="3"/>
        <v>2.4489970983297304</v>
      </c>
      <c r="O23" s="68">
        <f t="shared" si="3"/>
        <v>6.2898471814742729</v>
      </c>
      <c r="P23" s="68">
        <f t="shared" si="3"/>
        <v>-0.44759675171023305</v>
      </c>
      <c r="Q23" s="68">
        <f t="shared" si="3"/>
        <v>14.887656207990197</v>
      </c>
      <c r="R23" s="68">
        <f t="shared" si="1"/>
        <v>0.34112758534032839</v>
      </c>
      <c r="S23" s="68">
        <f t="shared" si="1"/>
        <v>-0.80643219201945726</v>
      </c>
      <c r="T23" s="68">
        <f t="shared" si="1"/>
        <v>2.0097032380713475</v>
      </c>
    </row>
    <row r="24" spans="1:29">
      <c r="A24" s="63">
        <v>2004</v>
      </c>
      <c r="B24" s="11">
        <f>('1A'!B25/'1A'!L25)*100</f>
        <v>90.065030728745043</v>
      </c>
      <c r="C24" s="11">
        <f>('1A'!C25/'1A'!M25)*100</f>
        <v>122.99787596852845</v>
      </c>
      <c r="D24" s="11">
        <f>('1A'!D25/'1A'!N25)*100</f>
        <v>129.23108851302271</v>
      </c>
      <c r="E24" s="11">
        <f>('1A'!E25/'1A'!O25)*100</f>
        <v>135.72089437162683</v>
      </c>
      <c r="F24" s="11" t="s">
        <v>10</v>
      </c>
      <c r="G24" s="11" t="s">
        <v>10</v>
      </c>
      <c r="H24" s="11" t="s">
        <v>10</v>
      </c>
      <c r="I24" s="11">
        <f>('1A'!I25/'1A'!S25)*100</f>
        <v>110.53237410071941</v>
      </c>
      <c r="J24" s="11">
        <f>('1A'!J25/'1A'!T25)*100</f>
        <v>114.31346488089152</v>
      </c>
      <c r="K24" s="11">
        <f>('1A'!K25/'1A'!U25)*100</f>
        <v>101.86931486272219</v>
      </c>
      <c r="M24" s="68">
        <v>2005</v>
      </c>
      <c r="N24" s="68">
        <f t="shared" si="3"/>
        <v>1.8693592917446544</v>
      </c>
      <c r="O24" s="68">
        <f t="shared" si="3"/>
        <v>-2.6237412588225983</v>
      </c>
      <c r="P24" s="68">
        <f t="shared" si="3"/>
        <v>-2.248829699256516</v>
      </c>
      <c r="Q24" s="68">
        <f t="shared" si="3"/>
        <v>-12.758842914642498</v>
      </c>
      <c r="R24" s="68">
        <f t="shared" si="1"/>
        <v>7.5578474782342919</v>
      </c>
      <c r="S24" s="68">
        <f t="shared" si="1"/>
        <v>9.4855934559334276</v>
      </c>
      <c r="T24" s="68">
        <f t="shared" si="1"/>
        <v>4.4556998154342775</v>
      </c>
    </row>
    <row r="25" spans="1:29">
      <c r="A25" s="63">
        <v>2005</v>
      </c>
      <c r="B25" s="11">
        <f>('1A'!B26/'1A'!L26)*100</f>
        <v>91.748669749285511</v>
      </c>
      <c r="C25" s="11">
        <f>('1A'!C26/'1A'!M26)*100</f>
        <v>119.77072994926672</v>
      </c>
      <c r="D25" s="11">
        <f>('1A'!D26/'1A'!N26)*100</f>
        <v>126.32490141386938</v>
      </c>
      <c r="E25" s="11">
        <f>('1A'!E26/'1A'!O26)*100</f>
        <v>118.40447865640309</v>
      </c>
      <c r="F25" s="11" t="s">
        <v>10</v>
      </c>
      <c r="G25" s="11" t="s">
        <v>10</v>
      </c>
      <c r="H25" s="11" t="s">
        <v>10</v>
      </c>
      <c r="I25" s="11">
        <f>('1A'!I26/'1A'!S26)*100</f>
        <v>118.88624234932313</v>
      </c>
      <c r="J25" s="11">
        <f>('1A'!J26/'1A'!T26)*100</f>
        <v>125.15677542488413</v>
      </c>
      <c r="K25" s="11">
        <f>('1A'!K26/'1A'!U26)*100</f>
        <v>106.40830573704467</v>
      </c>
      <c r="M25" s="68">
        <v>2006</v>
      </c>
      <c r="N25" s="68">
        <f t="shared" si="3"/>
        <v>2.697336361959457</v>
      </c>
      <c r="O25" s="68">
        <f t="shared" si="3"/>
        <v>-3.6964146948155086</v>
      </c>
      <c r="P25" s="68">
        <f t="shared" si="3"/>
        <v>13.297249408111078</v>
      </c>
      <c r="Q25" s="68">
        <f t="shared" si="3"/>
        <v>-14.33426000423812</v>
      </c>
      <c r="R25" s="68">
        <f t="shared" si="1"/>
        <v>0.34491976087211995</v>
      </c>
      <c r="S25" s="68">
        <f t="shared" si="1"/>
        <v>1.2262689228528689</v>
      </c>
      <c r="T25" s="68">
        <f t="shared" si="1"/>
        <v>-1.6481750820812491</v>
      </c>
    </row>
    <row r="26" spans="1:29" ht="15.75" thickBot="1">
      <c r="A26" s="63">
        <v>2006</v>
      </c>
      <c r="B26" s="75">
        <f>('1A'!B27/'1A'!L27)*100</f>
        <v>94.22343998004709</v>
      </c>
      <c r="C26" s="75">
        <f>('1A'!C27/'1A'!M27)*100</f>
        <v>115.34350708733423</v>
      </c>
      <c r="D26" s="75">
        <f>('1A'!D27/'1A'!N27)*100</f>
        <v>143.12263861942202</v>
      </c>
      <c r="E26" s="75">
        <f>('1A'!E27/'1A'!O27)*100</f>
        <v>101.43207282913164</v>
      </c>
      <c r="F26" s="75" t="s">
        <v>10</v>
      </c>
      <c r="G26" s="75" t="s">
        <v>10</v>
      </c>
      <c r="H26" s="75" t="s">
        <v>10</v>
      </c>
      <c r="I26" s="75">
        <f>('1A'!I27/'1A'!S27)*100</f>
        <v>119.29630449214426</v>
      </c>
      <c r="J26" s="75">
        <f>('1A'!J27/'1A'!T27)*100</f>
        <v>126.69153406676423</v>
      </c>
      <c r="K26" s="75">
        <f>('1A'!K27/'1A'!U27)*100</f>
        <v>104.65451055662187</v>
      </c>
      <c r="M26" s="68">
        <v>2007</v>
      </c>
      <c r="N26" s="68">
        <f t="shared" si="3"/>
        <v>6.1307038048877827</v>
      </c>
      <c r="O26" s="68">
        <f t="shared" si="3"/>
        <v>-13.302445429994291</v>
      </c>
      <c r="P26" s="68">
        <f t="shared" si="3"/>
        <v>-30.129851598173506</v>
      </c>
      <c r="Q26" s="68">
        <f t="shared" si="3"/>
        <v>-1.4157006426084195</v>
      </c>
      <c r="R26" s="68">
        <f t="shared" si="1"/>
        <v>-16.175106659246875</v>
      </c>
      <c r="S26" s="68">
        <f t="shared" si="1"/>
        <v>-21.068127608825272</v>
      </c>
      <c r="T26" s="68">
        <f t="shared" si="1"/>
        <v>-4.4475011462631775</v>
      </c>
    </row>
    <row r="27" spans="1:29">
      <c r="A27" s="63">
        <v>2007</v>
      </c>
      <c r="B27" s="11">
        <f>('1A'!B28/'1A'!L28)*100</f>
        <v>100</v>
      </c>
      <c r="C27" s="11">
        <f>('1A'!C28/'1A'!M28)*100</f>
        <v>100</v>
      </c>
      <c r="D27" s="11">
        <f>('1A'!D28/'1A'!N28)*100</f>
        <v>100</v>
      </c>
      <c r="E27" s="11">
        <f>('1A'!E28/'1A'!O28)*100</f>
        <v>99.996098322278584</v>
      </c>
      <c r="F27" s="11">
        <f>('1A'!F28/'1A'!P28)*100</f>
        <v>100</v>
      </c>
      <c r="G27" s="11">
        <f>('1A'!G28/'1A'!Q28)*100</f>
        <v>100</v>
      </c>
      <c r="H27" s="11">
        <f>('1A'!H28/'1A'!R28)*100</f>
        <v>100</v>
      </c>
      <c r="I27" s="11">
        <f>('1A'!I28/'1A'!S28)*100</f>
        <v>100</v>
      </c>
      <c r="J27" s="11">
        <f>('1A'!J28/'1A'!T28)*100</f>
        <v>100</v>
      </c>
      <c r="K27" s="11">
        <f>('1A'!K28/'1A'!U28)*100</f>
        <v>100</v>
      </c>
      <c r="M27" s="68">
        <v>2008</v>
      </c>
      <c r="N27" s="68">
        <f t="shared" si="3"/>
        <v>1.0967723507372629</v>
      </c>
      <c r="O27" s="68">
        <f t="shared" si="3"/>
        <v>-0.41032216701395452</v>
      </c>
      <c r="P27" s="68">
        <f t="shared" si="3"/>
        <v>-2.0240573675688101</v>
      </c>
      <c r="Q27" s="68">
        <f t="shared" si="3"/>
        <v>-5.2437466791557252</v>
      </c>
      <c r="R27" s="68">
        <f t="shared" si="1"/>
        <v>4.0996757125789429</v>
      </c>
      <c r="S27" s="68">
        <f t="shared" si="1"/>
        <v>4.0290303644805014</v>
      </c>
      <c r="T27" s="68">
        <f t="shared" si="1"/>
        <v>4.2547142992514164</v>
      </c>
    </row>
    <row r="28" spans="1:29">
      <c r="A28" s="63">
        <v>2008</v>
      </c>
      <c r="B28" s="11">
        <f>('1A'!B29/'1A'!L29)*100</f>
        <v>101.09677235073727</v>
      </c>
      <c r="C28" s="11">
        <f>('1A'!C29/'1A'!M29)*100</f>
        <v>99.589677832986041</v>
      </c>
      <c r="D28" s="11">
        <f>('1A'!D29/'1A'!N29)*100</f>
        <v>97.975942632431185</v>
      </c>
      <c r="E28" s="11">
        <f>('1A'!E29/'1A'!O29)*100</f>
        <v>94.752556237218812</v>
      </c>
      <c r="F28" s="11">
        <f>('1A'!F29/'1A'!P29)*100</f>
        <v>94.665012406947895</v>
      </c>
      <c r="G28" s="11">
        <f>('1A'!G29/'1A'!Q29)*100</f>
        <v>91.951710261569417</v>
      </c>
      <c r="H28" s="11">
        <f>('1A'!H29/'1A'!R29)*100</f>
        <v>96.059544658493863</v>
      </c>
      <c r="I28" s="11">
        <f>('1A'!I29/'1A'!S29)*100</f>
        <v>104.09967571257894</v>
      </c>
      <c r="J28" s="11">
        <f>('1A'!J29/'1A'!T29)*100</f>
        <v>104.0290303644805</v>
      </c>
      <c r="K28" s="11">
        <f>('1A'!K29/'1A'!U29)*100</f>
        <v>104.25471429925142</v>
      </c>
      <c r="M28" s="68">
        <v>2009</v>
      </c>
      <c r="N28" s="68">
        <f t="shared" si="3"/>
        <v>1.7079048021145349</v>
      </c>
      <c r="O28" s="68">
        <f t="shared" si="3"/>
        <v>-5.3128301420741542</v>
      </c>
      <c r="P28" s="68">
        <f t="shared" si="3"/>
        <v>8.6290949464218123</v>
      </c>
      <c r="Q28" s="68">
        <f t="shared" si="3"/>
        <v>-15.079491344800388</v>
      </c>
      <c r="R28" s="68">
        <f t="shared" si="1"/>
        <v>-2.1693218645412182</v>
      </c>
      <c r="S28" s="68">
        <f t="shared" si="1"/>
        <v>1.578439563281675</v>
      </c>
      <c r="T28" s="68">
        <f t="shared" si="1"/>
        <v>-8.4038198827124599</v>
      </c>
    </row>
    <row r="29" spans="1:29">
      <c r="A29" s="63">
        <v>2009</v>
      </c>
      <c r="B29" s="11">
        <f>('1A'!B30/'1A'!L30)*100</f>
        <v>102.82340898049831</v>
      </c>
      <c r="C29" s="11">
        <f>('1A'!C30/'1A'!M30)*100</f>
        <v>94.298647410680616</v>
      </c>
      <c r="D29" s="11">
        <f>('1A'!D30/'1A'!N30)*100</f>
        <v>106.43037974683544</v>
      </c>
      <c r="E29" s="11">
        <f>('1A'!E30/'1A'!O30)*100</f>
        <v>80.464352720450279</v>
      </c>
      <c r="F29" s="11">
        <f>('1A'!F30/'1A'!P30)*100</f>
        <v>77.886178861788608</v>
      </c>
      <c r="G29" s="11">
        <f>('1A'!G30/'1A'!Q30)*100</f>
        <v>75.347912524850898</v>
      </c>
      <c r="H29" s="11">
        <f>('1A'!H30/'1A'!R30)*100</f>
        <v>84.532019704433495</v>
      </c>
      <c r="I29" s="11">
        <f>('1A'!I30/'1A'!S30)*100</f>
        <v>101.84141868642946</v>
      </c>
      <c r="J29" s="11">
        <f>('1A'!J30/'1A'!T30)*100</f>
        <v>105.67106573705178</v>
      </c>
      <c r="K29" s="11">
        <f>('1A'!K30/'1A'!U30)*100</f>
        <v>95.493335890305858</v>
      </c>
      <c r="M29" s="68">
        <v>2010</v>
      </c>
      <c r="N29" s="68">
        <f t="shared" si="3"/>
        <v>2.2044322709559028</v>
      </c>
      <c r="O29" s="68">
        <f t="shared" si="3"/>
        <v>-0.7258168066246018</v>
      </c>
      <c r="P29" s="68">
        <f t="shared" si="3"/>
        <v>-26.436129524638307</v>
      </c>
      <c r="Q29" s="68">
        <f t="shared" si="3"/>
        <v>4.427643032131523</v>
      </c>
      <c r="R29" s="68">
        <f t="shared" si="1"/>
        <v>4.3105092353931118</v>
      </c>
      <c r="S29" s="68">
        <f t="shared" si="1"/>
        <v>2.8592046285352168</v>
      </c>
      <c r="T29" s="68">
        <f t="shared" si="1"/>
        <v>6.8944033716297204</v>
      </c>
    </row>
    <row r="30" spans="1:29">
      <c r="A30" s="63">
        <v>2010</v>
      </c>
      <c r="B30" s="11">
        <f>('1A'!B31/'1A'!L31)*100</f>
        <v>105.09008139016139</v>
      </c>
      <c r="C30" s="11">
        <f>('1A'!C31/'1A'!M31)*100</f>
        <v>93.614211979354224</v>
      </c>
      <c r="D30" s="11">
        <f>('1A'!D31/'1A'!N31)*100</f>
        <v>78.294306703397609</v>
      </c>
      <c r="E30" s="11">
        <f>('1A'!E31/'1A'!O31)*100</f>
        <v>84.027027027027032</v>
      </c>
      <c r="F30" s="11">
        <f>('1A'!F31/'1A'!P31)*100</f>
        <v>86.428571428571431</v>
      </c>
      <c r="G30" s="11">
        <f>('1A'!G31/'1A'!Q31)*100</f>
        <v>77.972709551656919</v>
      </c>
      <c r="H30" s="11">
        <f>('1A'!H31/'1A'!R31)*100</f>
        <v>85.416666666666657</v>
      </c>
      <c r="I30" s="11">
        <f>('1A'!I31/'1A'!S31)*100</f>
        <v>106.23130244436338</v>
      </c>
      <c r="J30" s="11">
        <f>('1A'!J31/'1A'!T31)*100</f>
        <v>108.69241773962806</v>
      </c>
      <c r="K30" s="11">
        <f>('1A'!K31/'1A'!U31)*100</f>
        <v>102.07703165960879</v>
      </c>
      <c r="M30" s="68">
        <v>2011</v>
      </c>
      <c r="N30" s="68">
        <f t="shared" si="3"/>
        <v>2.4466716242069975</v>
      </c>
      <c r="O30" s="68">
        <f t="shared" si="3"/>
        <v>-1.9050336518798616</v>
      </c>
      <c r="P30" s="68">
        <f t="shared" si="3"/>
        <v>22.392546611869292</v>
      </c>
      <c r="Q30" s="68">
        <f t="shared" si="3"/>
        <v>-4.2530430850839736</v>
      </c>
      <c r="R30" s="68">
        <f t="shared" si="1"/>
        <v>-5.7981034726217402</v>
      </c>
      <c r="S30" s="68">
        <f t="shared" si="1"/>
        <v>-7.5549926750509417</v>
      </c>
      <c r="T30" s="68">
        <f t="shared" si="1"/>
        <v>-2.3996700337376442</v>
      </c>
    </row>
    <row r="31" spans="1:29">
      <c r="A31" s="63">
        <v>2011</v>
      </c>
      <c r="B31" s="11">
        <f>('1A'!B32/'1A'!L32)*100</f>
        <v>107.66129059139051</v>
      </c>
      <c r="C31" s="11">
        <f>('1A'!C32/'1A'!M32)*100</f>
        <v>91.830829738205381</v>
      </c>
      <c r="D31" s="11">
        <f>('1A'!D32/'1A'!N32)*100</f>
        <v>95.826395826395824</v>
      </c>
      <c r="E31" s="11">
        <f>('1A'!E32/'1A'!O32)*100</f>
        <v>80.453321364452421</v>
      </c>
      <c r="F31" s="11">
        <f>('1A'!F32/'1A'!P32)*100</f>
        <v>75.851851851851848</v>
      </c>
      <c r="G31" s="11">
        <f>('1A'!G32/'1A'!Q32)*100</f>
        <v>65.692007797270961</v>
      </c>
      <c r="H31" s="11">
        <f>('1A'!H32/'1A'!R32)*100</f>
        <v>90.760346487006743</v>
      </c>
      <c r="I31" s="11">
        <f>('1A'!I32/'1A'!S32)*100</f>
        <v>100.07190160832545</v>
      </c>
      <c r="J31" s="11">
        <f>('1A'!J32/'1A'!T32)*100</f>
        <v>100.48071354106338</v>
      </c>
      <c r="K31" s="11">
        <f>('1A'!K32/'1A'!U32)*100</f>
        <v>99.627519719544267</v>
      </c>
      <c r="M31" s="68">
        <v>2012</v>
      </c>
      <c r="N31" s="68" t="e">
        <f t="shared" si="3"/>
        <v>#VALUE!</v>
      </c>
      <c r="O31" s="68" t="e">
        <f t="shared" si="3"/>
        <v>#VALUE!</v>
      </c>
      <c r="P31" s="68" t="e">
        <f t="shared" si="3"/>
        <v>#VALUE!</v>
      </c>
      <c r="Q31" s="68" t="e">
        <f t="shared" si="3"/>
        <v>#VALUE!</v>
      </c>
      <c r="R31" s="68" t="e">
        <f t="shared" si="1"/>
        <v>#VALUE!</v>
      </c>
      <c r="S31" s="68" t="e">
        <f t="shared" si="1"/>
        <v>#VALUE!</v>
      </c>
      <c r="T31" s="68" t="e">
        <f t="shared" si="1"/>
        <v>#VALUE!</v>
      </c>
    </row>
    <row r="32" spans="1:29">
      <c r="A32" s="63">
        <v>2012</v>
      </c>
      <c r="B32" s="11" t="s">
        <v>10</v>
      </c>
      <c r="C32" s="11" t="s">
        <v>10</v>
      </c>
      <c r="D32" s="11" t="s">
        <v>10</v>
      </c>
      <c r="E32" s="11" t="s">
        <v>10</v>
      </c>
      <c r="F32" s="11" t="s">
        <v>10</v>
      </c>
      <c r="G32" s="11" t="s">
        <v>10</v>
      </c>
      <c r="H32" s="11" t="s">
        <v>10</v>
      </c>
      <c r="I32" s="11" t="s">
        <v>10</v>
      </c>
      <c r="J32" s="11" t="s">
        <v>10</v>
      </c>
      <c r="K32" s="11" t="s">
        <v>10</v>
      </c>
      <c r="M32" s="68">
        <v>2013</v>
      </c>
      <c r="N32" s="68" t="e">
        <f t="shared" si="3"/>
        <v>#VALUE!</v>
      </c>
      <c r="O32" s="68" t="e">
        <f t="shared" si="3"/>
        <v>#VALUE!</v>
      </c>
      <c r="P32" s="68" t="e">
        <f t="shared" si="3"/>
        <v>#VALUE!</v>
      </c>
      <c r="Q32" s="68" t="e">
        <f t="shared" si="3"/>
        <v>#VALUE!</v>
      </c>
      <c r="R32" s="68" t="e">
        <f t="shared" si="1"/>
        <v>#VALUE!</v>
      </c>
      <c r="S32" s="68" t="e">
        <f t="shared" si="1"/>
        <v>#VALUE!</v>
      </c>
      <c r="T32" s="68" t="e">
        <f t="shared" si="1"/>
        <v>#VALUE!</v>
      </c>
    </row>
    <row r="33" spans="1:20">
      <c r="A33" s="63">
        <v>2013</v>
      </c>
      <c r="B33" s="11" t="s">
        <v>10</v>
      </c>
      <c r="C33" s="11" t="s">
        <v>10</v>
      </c>
      <c r="D33" s="11" t="s">
        <v>10</v>
      </c>
      <c r="E33" s="11" t="s">
        <v>10</v>
      </c>
      <c r="F33" s="11" t="s">
        <v>10</v>
      </c>
      <c r="G33" s="11" t="s">
        <v>10</v>
      </c>
      <c r="H33" s="11" t="s">
        <v>10</v>
      </c>
      <c r="I33" s="11" t="s">
        <v>10</v>
      </c>
      <c r="J33" s="11" t="s">
        <v>10</v>
      </c>
      <c r="K33" s="11" t="s">
        <v>10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68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68" t="s">
        <v>16</v>
      </c>
      <c r="O35" s="68" t="s">
        <v>8</v>
      </c>
      <c r="P35" s="68" t="s">
        <v>3</v>
      </c>
      <c r="Q35" s="68" t="s">
        <v>4</v>
      </c>
      <c r="R35" s="68" t="s">
        <v>17</v>
      </c>
      <c r="S35" s="68" t="s">
        <v>6</v>
      </c>
      <c r="T35" s="68" t="s">
        <v>7</v>
      </c>
    </row>
    <row r="36" spans="1:20" ht="30">
      <c r="A36" s="63" t="s">
        <v>19</v>
      </c>
      <c r="B36" s="11">
        <f>((B20/B17)^(1/3)-1)*100</f>
        <v>1.2808604925056866</v>
      </c>
      <c r="C36" s="11">
        <f t="shared" ref="C36:K36" si="6">((C20/C17)^(1/3)-1)*100</f>
        <v>3.2675202281204907</v>
      </c>
      <c r="D36" s="11">
        <f t="shared" si="6"/>
        <v>-2.8999252704569822</v>
      </c>
      <c r="E36" s="11">
        <f t="shared" si="6"/>
        <v>3.539351142947389</v>
      </c>
      <c r="F36" s="11" t="s">
        <v>10</v>
      </c>
      <c r="G36" s="11" t="s">
        <v>10</v>
      </c>
      <c r="H36" s="11" t="s">
        <v>10</v>
      </c>
      <c r="I36" s="11">
        <f t="shared" si="6"/>
        <v>4.415355252217501</v>
      </c>
      <c r="J36" s="11">
        <f t="shared" si="6"/>
        <v>3.6610232924451536</v>
      </c>
      <c r="K36" s="11">
        <f t="shared" si="6"/>
        <v>9.4740913578409405</v>
      </c>
      <c r="M36" s="68">
        <v>1999</v>
      </c>
      <c r="N36" s="68">
        <f>B19/$B$20</f>
        <v>0.97885115204133477</v>
      </c>
      <c r="O36" s="68">
        <f t="shared" ref="O36:O38" si="7">C19/$C$20</f>
        <v>0.94700325175603484</v>
      </c>
      <c r="P36" s="68">
        <f t="shared" ref="P36:P38" si="8">D19/$D$20</f>
        <v>1.0346840263807329</v>
      </c>
      <c r="Q36" s="68">
        <f t="shared" ref="Q36:Q38" si="9">E19/$E$20</f>
        <v>1.0377116548348406</v>
      </c>
      <c r="R36" s="68">
        <f t="shared" ref="R36:R38" si="10">I19/$I$20</f>
        <v>0.8704757300584034</v>
      </c>
      <c r="S36" s="68">
        <f t="shared" ref="S36:S38" si="11">J19/$J$20</f>
        <v>0.85754799653836755</v>
      </c>
      <c r="T36" s="68">
        <f t="shared" ref="T36:T38" si="12">K19/$K$20</f>
        <v>0.89107334375273506</v>
      </c>
    </row>
    <row r="37" spans="1:20" ht="30">
      <c r="A37" s="325" t="s">
        <v>68</v>
      </c>
      <c r="B37" s="11">
        <f>((B27/B20)^(1/7)-1)*100</f>
        <v>2.6721457942706639</v>
      </c>
      <c r="C37" s="11">
        <f t="shared" ref="C37:K37" si="13">((C27/C20)^(1/7)-1)*100</f>
        <v>-4.6346615409049718</v>
      </c>
      <c r="D37" s="11">
        <f t="shared" si="13"/>
        <v>-4.3702719172676545</v>
      </c>
      <c r="E37" s="11">
        <f t="shared" si="13"/>
        <v>-4.0893250697530137</v>
      </c>
      <c r="F37" s="11" t="s">
        <v>10</v>
      </c>
      <c r="G37" s="11" t="s">
        <v>10</v>
      </c>
      <c r="H37" s="11" t="s">
        <v>10</v>
      </c>
      <c r="I37" s="11">
        <f t="shared" si="13"/>
        <v>-5.0738755066000119</v>
      </c>
      <c r="J37" s="11">
        <f t="shared" si="13"/>
        <v>-7.1501454999354781</v>
      </c>
      <c r="K37" s="11">
        <f t="shared" si="13"/>
        <v>0.35367504792445104</v>
      </c>
      <c r="M37" s="68">
        <v>2000</v>
      </c>
      <c r="N37" s="68">
        <f>B20/$B$20</f>
        <v>1</v>
      </c>
      <c r="O37" s="68">
        <f t="shared" si="7"/>
        <v>1</v>
      </c>
      <c r="P37" s="68">
        <f t="shared" si="8"/>
        <v>1</v>
      </c>
      <c r="Q37" s="68">
        <f t="shared" si="9"/>
        <v>1</v>
      </c>
      <c r="R37" s="68">
        <f t="shared" si="10"/>
        <v>1</v>
      </c>
      <c r="S37" s="68">
        <f t="shared" si="11"/>
        <v>1</v>
      </c>
      <c r="T37" s="68">
        <f t="shared" si="12"/>
        <v>1</v>
      </c>
    </row>
    <row r="38" spans="1:20" ht="30">
      <c r="A38" s="130" t="s">
        <v>28</v>
      </c>
      <c r="B38" s="11">
        <f>((B31/B27)^(1/4)-1)*100</f>
        <v>1.8626324238594894</v>
      </c>
      <c r="C38" s="11">
        <f t="shared" ref="C38:K38" si="14">((C31/C27)^(1/4)-1)*100</f>
        <v>-2.1080167763477875</v>
      </c>
      <c r="D38" s="11">
        <f t="shared" si="14"/>
        <v>-1.0601406842146499</v>
      </c>
      <c r="E38" s="11">
        <f t="shared" si="14"/>
        <v>-5.2912225096111598</v>
      </c>
      <c r="F38" s="11">
        <f t="shared" si="14"/>
        <v>-6.6763863578511167</v>
      </c>
      <c r="G38" s="11">
        <f t="shared" si="14"/>
        <v>-9.9718897852115962</v>
      </c>
      <c r="H38" s="11">
        <f t="shared" si="14"/>
        <v>-2.3945571400656673</v>
      </c>
      <c r="I38" s="11">
        <f t="shared" si="14"/>
        <v>1.7970557386992603E-2</v>
      </c>
      <c r="J38" s="11">
        <f t="shared" si="14"/>
        <v>0.11996234810225381</v>
      </c>
      <c r="K38" s="11">
        <f t="shared" si="14"/>
        <v>-9.3250423668322924E-2</v>
      </c>
      <c r="M38" s="68">
        <v>2001</v>
      </c>
      <c r="N38" s="68">
        <f>B21/$B$20</f>
        <v>1.0160140691723609</v>
      </c>
      <c r="O38" s="68">
        <f t="shared" si="7"/>
        <v>0.99306579654322102</v>
      </c>
      <c r="P38" s="68">
        <f t="shared" si="8"/>
        <v>0.90152935991849292</v>
      </c>
      <c r="Q38" s="68">
        <f t="shared" si="9"/>
        <v>0.94500234800309146</v>
      </c>
      <c r="R38" s="68">
        <f t="shared" si="10"/>
        <v>1.0534552243381032</v>
      </c>
      <c r="S38" s="68">
        <f t="shared" si="11"/>
        <v>1.0377189090894683</v>
      </c>
      <c r="T38" s="68">
        <f t="shared" si="12"/>
        <v>1.1060813858650342</v>
      </c>
    </row>
    <row r="39" spans="1:20" s="259" customFormat="1" ht="30">
      <c r="A39" s="325" t="s">
        <v>364</v>
      </c>
      <c r="B39" s="11">
        <f>((B31/B20)^(1/11)-1)*100</f>
        <v>2.3770356245516711</v>
      </c>
      <c r="C39" s="11">
        <f t="shared" ref="C39:K39" si="15">((C31/C20)^(1/11)-1)*100</f>
        <v>-3.7235169525317136</v>
      </c>
      <c r="D39" s="11">
        <f t="shared" si="15"/>
        <v>-3.1795999530417562</v>
      </c>
      <c r="E39" s="11">
        <f t="shared" si="15"/>
        <v>-4.5281333465952311</v>
      </c>
      <c r="F39" s="11" t="s">
        <v>10</v>
      </c>
      <c r="G39" s="11" t="s">
        <v>10</v>
      </c>
      <c r="H39" s="11" t="s">
        <v>10</v>
      </c>
      <c r="I39" s="11">
        <f t="shared" si="15"/>
        <v>-3.253003461555537</v>
      </c>
      <c r="J39" s="11">
        <f t="shared" si="15"/>
        <v>-4.5696575918229616</v>
      </c>
      <c r="K39" s="11">
        <f t="shared" si="15"/>
        <v>0.19092584115210087</v>
      </c>
    </row>
    <row r="40" spans="1:20">
      <c r="M40" s="68">
        <v>2003</v>
      </c>
      <c r="N40" s="68">
        <f>B23/$B$20</f>
        <v>1.057345595970862</v>
      </c>
      <c r="O40" s="68">
        <f>C23/$C$20</f>
        <v>0.83011776921078073</v>
      </c>
      <c r="P40" s="68">
        <f>D23/$D$20</f>
        <v>0.94943601111016362</v>
      </c>
      <c r="Q40" s="68">
        <f>E23/$E$20</f>
        <v>0.88198036851038542</v>
      </c>
      <c r="R40" s="68">
        <f>I23/$I$20</f>
        <v>0.76508691516677896</v>
      </c>
      <c r="S40" s="68">
        <f>J23/$J$20</f>
        <v>0.68561840885780445</v>
      </c>
      <c r="T40" s="68">
        <f>K23/$K$20</f>
        <v>1.0236108270032478</v>
      </c>
    </row>
    <row r="41" spans="1:20" s="237" customFormat="1">
      <c r="A41" s="231" t="s">
        <v>144</v>
      </c>
    </row>
    <row r="42" spans="1:20">
      <c r="A42" s="237" t="s">
        <v>302</v>
      </c>
      <c r="M42" s="68">
        <v>2008</v>
      </c>
      <c r="N42" s="68">
        <f t="shared" ref="N42" si="16">B28/$B$20</f>
        <v>1.2159221247539425</v>
      </c>
      <c r="O42" s="68">
        <f t="shared" ref="O42" si="17">C28/$C$20</f>
        <v>0.71441112466200984</v>
      </c>
      <c r="P42" s="68">
        <f t="shared" ref="P42" si="18">D28/$D$20</f>
        <v>0.71658860320276874</v>
      </c>
      <c r="Q42" s="68">
        <f t="shared" ref="Q42" si="19">E28/$E$20</f>
        <v>0.70741865866426379</v>
      </c>
      <c r="R42" s="68">
        <f t="shared" ref="R42" si="20">I28/$I$20</f>
        <v>0.72301886663438641</v>
      </c>
      <c r="S42" s="68">
        <f t="shared" ref="S42" si="21">J28/$J$20</f>
        <v>0.61890379134573681</v>
      </c>
      <c r="T42" s="68">
        <f t="shared" ref="T42" si="22">K28/$K$20</f>
        <v>1.0686332237359044</v>
      </c>
    </row>
    <row r="43" spans="1:20">
      <c r="M43" s="68">
        <v>2011</v>
      </c>
      <c r="N43" s="68">
        <f>B31/$B$20</f>
        <v>1.2948756143813775</v>
      </c>
      <c r="O43" s="68">
        <f>C31/$C$20</f>
        <v>0.65875267175718488</v>
      </c>
      <c r="P43" s="68">
        <f>D31/$D$20</f>
        <v>0.70086698112014556</v>
      </c>
      <c r="Q43" s="68">
        <f>E31/$E$20</f>
        <v>0.6006611636127025</v>
      </c>
      <c r="R43" s="68">
        <f>I31/$I$20</f>
        <v>0.69504417172796606</v>
      </c>
      <c r="S43" s="68">
        <f>J31/$J$20</f>
        <v>0.5977936576915589</v>
      </c>
      <c r="T43" s="68">
        <f>K31/$K$20</f>
        <v>1.0212034850060823</v>
      </c>
    </row>
    <row r="44" spans="1:20">
      <c r="M44" s="68">
        <v>2012</v>
      </c>
      <c r="N44" s="68" t="e">
        <f>B32/$B$20</f>
        <v>#VALUE!</v>
      </c>
      <c r="O44" s="68" t="e">
        <f>C32/$C$20</f>
        <v>#VALUE!</v>
      </c>
      <c r="P44" s="68" t="e">
        <f>D32/$D$20</f>
        <v>#VALUE!</v>
      </c>
      <c r="Q44" s="68" t="e">
        <f>E32/$E$20</f>
        <v>#VALUE!</v>
      </c>
      <c r="R44" s="68" t="e">
        <f>I32/$I$20</f>
        <v>#VALUE!</v>
      </c>
      <c r="S44" s="68" t="e">
        <f>J32/$J$20</f>
        <v>#VALUE!</v>
      </c>
      <c r="T44" s="68" t="e">
        <f>K32/$K$20</f>
        <v>#VALUE!</v>
      </c>
    </row>
    <row r="45" spans="1:20">
      <c r="M45" s="68">
        <v>2013</v>
      </c>
      <c r="N45" s="68" t="e">
        <f>B33/$B$20</f>
        <v>#VALUE!</v>
      </c>
      <c r="O45" s="68" t="e">
        <f>C33/$C$20</f>
        <v>#VALUE!</v>
      </c>
      <c r="P45" s="68" t="e">
        <f>D33/$D$20</f>
        <v>#VALUE!</v>
      </c>
      <c r="Q45" s="68" t="e">
        <f>E33/$E$20</f>
        <v>#VALUE!</v>
      </c>
      <c r="R45" s="68" t="e">
        <f>I33/$I$20</f>
        <v>#VALUE!</v>
      </c>
      <c r="S45" s="68" t="e">
        <f>J33/$J$20</f>
        <v>#VALUE!</v>
      </c>
      <c r="T45" s="68" t="e">
        <f>K33/$K$20</f>
        <v>#VALUE!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9"/>
  <sheetViews>
    <sheetView view="pageBreakPreview" zoomScaleNormal="100" zoomScaleSheetLayoutView="100" workbookViewId="0">
      <selection activeCell="O56" sqref="O56"/>
    </sheetView>
  </sheetViews>
  <sheetFormatPr defaultRowHeight="15"/>
  <cols>
    <col min="1" max="16384" width="9.140625" style="181"/>
  </cols>
  <sheetData>
    <row r="1" spans="1:11" ht="15" customHeight="1">
      <c r="A1" s="454" t="s">
        <v>254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242</v>
      </c>
      <c r="C2" s="454"/>
      <c r="D2" s="454"/>
      <c r="E2" s="454"/>
      <c r="F2" s="454"/>
      <c r="G2" s="461" t="s">
        <v>241</v>
      </c>
      <c r="H2" s="461"/>
      <c r="I2" s="461"/>
      <c r="J2" s="461"/>
      <c r="K2" s="461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</row>
    <row r="5" spans="1:11">
      <c r="A5" s="130">
        <v>1997</v>
      </c>
      <c r="B5" s="62">
        <f>'6A'!G41/'2A'!B17*1000</f>
        <v>47.518297692082392</v>
      </c>
      <c r="C5" s="62" t="s">
        <v>10</v>
      </c>
      <c r="D5" s="62">
        <f>'6A'!I41/'2A'!D17*1000</f>
        <v>18.425175396771337</v>
      </c>
      <c r="E5" s="62">
        <f>'6A'!J41/'2A'!E17*1000</f>
        <v>29.453746911885808</v>
      </c>
      <c r="F5" s="62" t="s">
        <v>10</v>
      </c>
      <c r="G5" s="214">
        <f t="shared" ref="G5:G14" si="0">B5/B$15*100</f>
        <v>98.55729667525226</v>
      </c>
      <c r="H5" s="433" t="s">
        <v>10</v>
      </c>
      <c r="I5" s="214">
        <f t="shared" ref="I5:I14" si="1">D5/D$15*100</f>
        <v>96.607783982509659</v>
      </c>
      <c r="J5" s="214">
        <f t="shared" ref="J5:J14" si="2">E5/E$15*100</f>
        <v>76.52426891204675</v>
      </c>
      <c r="K5" s="433" t="s">
        <v>10</v>
      </c>
    </row>
    <row r="6" spans="1:11">
      <c r="A6" s="130">
        <v>1998</v>
      </c>
      <c r="B6" s="62">
        <f>'6A'!G42/'2A'!B18*1000</f>
        <v>47.003015325750724</v>
      </c>
      <c r="C6" s="62">
        <f>'6A'!H42/'2A'!C18*1000</f>
        <v>56.890822306809262</v>
      </c>
      <c r="D6" s="62">
        <f>'6A'!I42/'2A'!D18*1000</f>
        <v>15.596775171243257</v>
      </c>
      <c r="E6" s="62">
        <f>'6A'!J42/'2A'!E18*1000</f>
        <v>30.111786568325222</v>
      </c>
      <c r="F6" s="62">
        <f>'6A'!K42/'2A'!I18*1000</f>
        <v>107.94478430378142</v>
      </c>
      <c r="G6" s="214">
        <f t="shared" si="0"/>
        <v>97.488553906326473</v>
      </c>
      <c r="H6" s="214">
        <f t="shared" ref="H6:H14" si="3">C6/C$15*100</f>
        <v>102.40913925652957</v>
      </c>
      <c r="I6" s="214">
        <f t="shared" si="1"/>
        <v>81.777777096834129</v>
      </c>
      <c r="J6" s="214">
        <f t="shared" si="2"/>
        <v>78.233932669761714</v>
      </c>
      <c r="K6" s="214">
        <f t="shared" ref="K6:K14" si="4">F6/F$15*100</f>
        <v>119.74689699928219</v>
      </c>
    </row>
    <row r="7" spans="1:11">
      <c r="A7" s="130">
        <v>1999</v>
      </c>
      <c r="B7" s="62">
        <f>'6A'!G43/'2A'!B19*1000</f>
        <v>46.106672502993163</v>
      </c>
      <c r="C7" s="62">
        <f>'6A'!H43/'2A'!C19*1000</f>
        <v>55.029214010980951</v>
      </c>
      <c r="D7" s="62">
        <f>'6A'!I43/'2A'!D19*1000</f>
        <v>15.507990703813158</v>
      </c>
      <c r="E7" s="62">
        <f>'6A'!J43/'2A'!E19*1000</f>
        <v>30.272818401018668</v>
      </c>
      <c r="F7" s="62">
        <f>'6A'!K43/'2A'!I19*1000</f>
        <v>107.04154495293736</v>
      </c>
      <c r="G7" s="214">
        <f t="shared" si="0"/>
        <v>95.629456889053273</v>
      </c>
      <c r="H7" s="214">
        <f t="shared" si="3"/>
        <v>99.058059144161888</v>
      </c>
      <c r="I7" s="214">
        <f t="shared" si="1"/>
        <v>81.312258019496483</v>
      </c>
      <c r="J7" s="214">
        <f t="shared" si="2"/>
        <v>78.652312148111221</v>
      </c>
      <c r="K7" s="214">
        <f t="shared" si="4"/>
        <v>118.74490222752149</v>
      </c>
    </row>
    <row r="8" spans="1:11">
      <c r="A8" s="130">
        <v>2000</v>
      </c>
      <c r="B8" s="62">
        <f>'6A'!G44/'2A'!B20*1000</f>
        <v>46.162805586912199</v>
      </c>
      <c r="C8" s="62">
        <f>'6A'!H44/'2A'!C20*1000</f>
        <v>54.724781075855795</v>
      </c>
      <c r="D8" s="62">
        <f>'6A'!I44/'2A'!D20*1000</f>
        <v>18.301333585548097</v>
      </c>
      <c r="E8" s="62">
        <f>'6A'!J44/'2A'!E20*1000</f>
        <v>29.352047588614127</v>
      </c>
      <c r="F8" s="62">
        <f>'6A'!K44/'2A'!I20*1000</f>
        <v>106.0133488379502</v>
      </c>
      <c r="G8" s="214">
        <f t="shared" si="0"/>
        <v>95.745882040496085</v>
      </c>
      <c r="H8" s="214">
        <f t="shared" si="3"/>
        <v>98.510049578060489</v>
      </c>
      <c r="I8" s="214">
        <f t="shared" si="1"/>
        <v>95.958450519515651</v>
      </c>
      <c r="J8" s="214">
        <f t="shared" si="2"/>
        <v>76.26004221160359</v>
      </c>
      <c r="K8" s="214">
        <f t="shared" si="4"/>
        <v>117.60428857888118</v>
      </c>
    </row>
    <row r="9" spans="1:11">
      <c r="A9" s="130">
        <v>2001</v>
      </c>
      <c r="B9" s="62">
        <f>'6A'!G45/'2A'!B21*1000</f>
        <v>46.769767211691942</v>
      </c>
      <c r="C9" s="62">
        <f>'6A'!H45/'2A'!C21*1000</f>
        <v>56.339667009850814</v>
      </c>
      <c r="D9" s="62">
        <f>'6A'!I45/'2A'!D21*1000</f>
        <v>20.842340394869577</v>
      </c>
      <c r="E9" s="62">
        <f>'6A'!J45/'2A'!E21*1000</f>
        <v>28.992318120198824</v>
      </c>
      <c r="F9" s="62">
        <f>'6A'!K45/'2A'!I21*1000</f>
        <v>108.99589399029489</v>
      </c>
      <c r="G9" s="214">
        <f t="shared" si="0"/>
        <v>97.004775978817406</v>
      </c>
      <c r="H9" s="214">
        <f t="shared" si="3"/>
        <v>101.41700489689956</v>
      </c>
      <c r="I9" s="214">
        <f t="shared" si="1"/>
        <v>109.28158213952896</v>
      </c>
      <c r="J9" s="214">
        <f t="shared" si="2"/>
        <v>75.325423106640372</v>
      </c>
      <c r="K9" s="214">
        <f t="shared" si="4"/>
        <v>120.9129294683606</v>
      </c>
    </row>
    <row r="10" spans="1:11">
      <c r="A10" s="130">
        <v>2002</v>
      </c>
      <c r="B10" s="62">
        <f>'6A'!G46/'2A'!B22*1000</f>
        <v>45.850827644908129</v>
      </c>
      <c r="C10" s="62">
        <f>'6A'!H46/'2A'!C22*1000</f>
        <v>55.831012998039675</v>
      </c>
      <c r="D10" s="62">
        <f>'6A'!I46/'2A'!D22*1000</f>
        <v>22.637559808612444</v>
      </c>
      <c r="E10" s="62">
        <f>'6A'!J46/'2A'!E22*1000</f>
        <v>26.909551273034186</v>
      </c>
      <c r="F10" s="62">
        <f>'6A'!K46/'2A'!I22*1000</f>
        <v>112.86146269035073</v>
      </c>
      <c r="G10" s="214">
        <f t="shared" si="0"/>
        <v>95.098811247146671</v>
      </c>
      <c r="H10" s="214">
        <f t="shared" si="3"/>
        <v>100.50137707826762</v>
      </c>
      <c r="I10" s="214">
        <f t="shared" si="1"/>
        <v>118.69436468240069</v>
      </c>
      <c r="J10" s="214">
        <f t="shared" si="2"/>
        <v>69.914151978035491</v>
      </c>
      <c r="K10" s="214">
        <f t="shared" si="4"/>
        <v>125.20113903730612</v>
      </c>
    </row>
    <row r="11" spans="1:11">
      <c r="A11" s="130">
        <v>2003</v>
      </c>
      <c r="B11" s="62">
        <f>'6A'!G47/'2A'!B23*1000</f>
        <v>46.480926030063536</v>
      </c>
      <c r="C11" s="62">
        <f>'6A'!H47/'2A'!C23*1000</f>
        <v>56.695724576431559</v>
      </c>
      <c r="D11" s="62">
        <f>'6A'!I47/'2A'!D23*1000</f>
        <v>20.5927328333212</v>
      </c>
      <c r="E11" s="62">
        <f>'6A'!J47/'2A'!E23*1000</f>
        <v>26.031958246024505</v>
      </c>
      <c r="F11" s="62">
        <f>'6A'!K47/'2A'!I23*1000</f>
        <v>120.0773287786933</v>
      </c>
      <c r="G11" s="214">
        <f t="shared" si="0"/>
        <v>96.405692943178181</v>
      </c>
      <c r="H11" s="214">
        <f t="shared" si="3"/>
        <v>102.05794393488115</v>
      </c>
      <c r="I11" s="214">
        <f t="shared" si="1"/>
        <v>107.97282752161135</v>
      </c>
      <c r="J11" s="214">
        <f t="shared" si="2"/>
        <v>67.634062962701236</v>
      </c>
      <c r="K11" s="214">
        <f t="shared" si="4"/>
        <v>133.20594981917455</v>
      </c>
    </row>
    <row r="12" spans="1:11">
      <c r="A12" s="130">
        <v>2004</v>
      </c>
      <c r="B12" s="62">
        <f>'6A'!G48/'2A'!B24*1000</f>
        <v>46.37613353642729</v>
      </c>
      <c r="C12" s="62">
        <f>'6A'!H48/'2A'!C24*1000</f>
        <v>55.594066178913693</v>
      </c>
      <c r="D12" s="62">
        <f>'6A'!I48/'2A'!D24*1000</f>
        <v>19.154318756776291</v>
      </c>
      <c r="E12" s="62">
        <f>'6A'!J48/'2A'!E24*1000</f>
        <v>28.243291889347329</v>
      </c>
      <c r="F12" s="62">
        <f>'6A'!K48/'2A'!I24*1000</f>
        <v>111.26369013191035</v>
      </c>
      <c r="G12" s="214">
        <f t="shared" si="0"/>
        <v>96.188343724324156</v>
      </c>
      <c r="H12" s="214">
        <f t="shared" si="3"/>
        <v>100.07484923401533</v>
      </c>
      <c r="I12" s="214">
        <f t="shared" si="1"/>
        <v>100.43086423541099</v>
      </c>
      <c r="J12" s="214">
        <f t="shared" si="2"/>
        <v>73.379365619172574</v>
      </c>
      <c r="K12" s="214">
        <f t="shared" si="4"/>
        <v>123.42867446462795</v>
      </c>
    </row>
    <row r="13" spans="1:11">
      <c r="A13" s="130">
        <v>2005</v>
      </c>
      <c r="B13" s="62">
        <f>'6A'!G49/'2A'!B25*1000</f>
        <v>47.14147001090231</v>
      </c>
      <c r="C13" s="62">
        <f>'6A'!H49/'2A'!C25*1000</f>
        <v>52.63123763820888</v>
      </c>
      <c r="D13" s="62">
        <f>'6A'!I49/'2A'!D25*1000</f>
        <v>18.819525761124119</v>
      </c>
      <c r="E13" s="62">
        <f>'6A'!J49/'2A'!E25*1000</f>
        <v>29.661578341013822</v>
      </c>
      <c r="F13" s="62">
        <f>'6A'!K49/'2A'!I25*1000</f>
        <v>96.488326340164008</v>
      </c>
      <c r="G13" s="214">
        <f t="shared" si="0"/>
        <v>97.775721590004608</v>
      </c>
      <c r="H13" s="214">
        <f t="shared" si="3"/>
        <v>94.741463139120668</v>
      </c>
      <c r="I13" s="214">
        <f t="shared" si="1"/>
        <v>98.67546116833951</v>
      </c>
      <c r="J13" s="214">
        <f t="shared" si="2"/>
        <v>77.064239198969702</v>
      </c>
      <c r="K13" s="214">
        <f t="shared" si="4"/>
        <v>107.03785041964264</v>
      </c>
    </row>
    <row r="14" spans="1:11">
      <c r="A14" s="130">
        <v>2006</v>
      </c>
      <c r="B14" s="62">
        <f>'6A'!G50/'2A'!B26*1000</f>
        <v>47.714991559151585</v>
      </c>
      <c r="C14" s="62">
        <f>'6A'!H50/'2A'!C26*1000</f>
        <v>53.406779195073675</v>
      </c>
      <c r="D14" s="62">
        <f>'6A'!I50/'2A'!D26*1000</f>
        <v>18.383553510464598</v>
      </c>
      <c r="E14" s="62">
        <f>'6A'!J50/'2A'!E26*1000</f>
        <v>33.225847243297927</v>
      </c>
      <c r="F14" s="62">
        <f>'6A'!K50/'2A'!I26*1000</f>
        <v>93.566881284815167</v>
      </c>
      <c r="G14" s="214">
        <f t="shared" si="0"/>
        <v>98.96525775030085</v>
      </c>
      <c r="H14" s="214">
        <f t="shared" si="3"/>
        <v>96.137515086970367</v>
      </c>
      <c r="I14" s="214">
        <f t="shared" si="1"/>
        <v>96.389550065345944</v>
      </c>
      <c r="J14" s="214">
        <f t="shared" si="2"/>
        <v>86.324625416356781</v>
      </c>
      <c r="K14" s="214">
        <f t="shared" si="4"/>
        <v>103.79698998911545</v>
      </c>
    </row>
    <row r="15" spans="1:11">
      <c r="A15" s="130">
        <v>2007</v>
      </c>
      <c r="B15" s="62">
        <f>'6A'!G51/'2A'!B27*1000</f>
        <v>48.213880955619025</v>
      </c>
      <c r="C15" s="62">
        <f>'6A'!H51/'2A'!C27*1000</f>
        <v>55.552485568988828</v>
      </c>
      <c r="D15" s="62">
        <f>'6A'!I51/'2A'!D27*1000</f>
        <v>19.072143710601125</v>
      </c>
      <c r="E15" s="62">
        <f>'6A'!J51/'2A'!E27*1000</f>
        <v>38.489419540536225</v>
      </c>
      <c r="F15" s="62">
        <f>'6A'!K51/'2A'!I27*1000</f>
        <v>90.144118143143615</v>
      </c>
      <c r="G15" s="214">
        <f>B15/B$15*100</f>
        <v>100</v>
      </c>
      <c r="H15" s="214">
        <f t="shared" ref="H15:K15" si="5">C15/C$15*100</f>
        <v>100</v>
      </c>
      <c r="I15" s="214">
        <f t="shared" si="5"/>
        <v>100</v>
      </c>
      <c r="J15" s="214">
        <f t="shared" si="5"/>
        <v>100</v>
      </c>
      <c r="K15" s="214">
        <f t="shared" si="5"/>
        <v>100</v>
      </c>
    </row>
    <row r="16" spans="1:11">
      <c r="A16" s="130">
        <v>2008</v>
      </c>
      <c r="B16" s="62">
        <f>'6A'!G52/'2A'!B28*1000</f>
        <v>48.278992133208519</v>
      </c>
      <c r="C16" s="62">
        <f>'6A'!H52/'2A'!C28*1000</f>
        <v>55.531058282208591</v>
      </c>
      <c r="D16" s="62">
        <f>'6A'!I52/'2A'!D28*1000</f>
        <v>17.923141119898265</v>
      </c>
      <c r="E16" s="62">
        <f>'6A'!J52/'2A'!E28*1000</f>
        <v>40.253204065310264</v>
      </c>
      <c r="F16" s="62">
        <f>'6A'!K52/'2A'!I28*1000</f>
        <v>91.00250215349277</v>
      </c>
      <c r="G16" s="214">
        <f t="shared" ref="G16:G21" si="6">B16/B$15*100</f>
        <v>100.13504653908576</v>
      </c>
      <c r="H16" s="214">
        <f t="shared" ref="H16:H21" si="7">C16/C$15*100</f>
        <v>99.961428752357747</v>
      </c>
      <c r="I16" s="214">
        <f t="shared" ref="I16:I21" si="8">D16/D$15*100</f>
        <v>93.975493221225065</v>
      </c>
      <c r="J16" s="214">
        <f t="shared" ref="J16:J21" si="9">E16/E$15*100</f>
        <v>104.58251786030823</v>
      </c>
      <c r="K16" s="214">
        <f t="shared" ref="K16:K21" si="10">F16/F$15*100</f>
        <v>100.95223518520208</v>
      </c>
    </row>
    <row r="17" spans="1:11">
      <c r="A17" s="130">
        <v>2009</v>
      </c>
      <c r="B17" s="62">
        <f>'6A'!G53/'2A'!B29*1000</f>
        <v>50.031327186087928</v>
      </c>
      <c r="C17" s="62">
        <f>'6A'!H53/'2A'!C29*1000</f>
        <v>55.997782509987502</v>
      </c>
      <c r="D17" s="62">
        <f>'6A'!I53/'2A'!D29*1000</f>
        <v>17.544510385756677</v>
      </c>
      <c r="E17" s="62">
        <f>'6A'!J53/'2A'!E29*1000</f>
        <v>41.606025788331422</v>
      </c>
      <c r="F17" s="62">
        <f>'6A'!K53/'2A'!I29*1000</f>
        <v>93.973572439830107</v>
      </c>
      <c r="G17" s="214">
        <f t="shared" si="6"/>
        <v>103.76954975298891</v>
      </c>
      <c r="H17" s="214">
        <f t="shared" si="7"/>
        <v>100.80157878884765</v>
      </c>
      <c r="I17" s="214">
        <f t="shared" si="8"/>
        <v>91.99023797206749</v>
      </c>
      <c r="J17" s="214">
        <f t="shared" si="9"/>
        <v>108.09730644161274</v>
      </c>
      <c r="K17" s="214">
        <f t="shared" si="10"/>
        <v>104.24814660741986</v>
      </c>
    </row>
    <row r="18" spans="1:11">
      <c r="A18" s="130">
        <v>2010</v>
      </c>
      <c r="B18" s="62">
        <f>'6A'!G54/'2A'!B30*1000</f>
        <v>49.71983549751647</v>
      </c>
      <c r="C18" s="62">
        <f>'6A'!H54/'2A'!C30*1000</f>
        <v>51.832644809703787</v>
      </c>
      <c r="D18" s="62">
        <f>'6A'!I54/'2A'!D30*1000</f>
        <v>23.763992537313435</v>
      </c>
      <c r="E18" s="62">
        <f>'6A'!J54/'2A'!E30*1000</f>
        <v>37.127293026120761</v>
      </c>
      <c r="F18" s="62">
        <f>'6A'!K54/'2A'!I30*1000</f>
        <v>79.714330490070964</v>
      </c>
      <c r="G18" s="214">
        <f t="shared" si="6"/>
        <v>103.12348749374414</v>
      </c>
      <c r="H18" s="214">
        <f t="shared" si="7"/>
        <v>93.303916609337861</v>
      </c>
      <c r="I18" s="214">
        <f t="shared" si="8"/>
        <v>124.60053205295625</v>
      </c>
      <c r="J18" s="214">
        <f t="shared" si="9"/>
        <v>96.46103648567393</v>
      </c>
      <c r="K18" s="214">
        <f t="shared" si="10"/>
        <v>88.429874441157935</v>
      </c>
    </row>
    <row r="19" spans="1:11">
      <c r="A19" s="130">
        <v>2011</v>
      </c>
      <c r="B19" s="62">
        <f>'6A'!G55/'2A'!B31*1000</f>
        <v>50.308006976517511</v>
      </c>
      <c r="C19" s="62">
        <f>'6A'!H55/'2A'!C31*1000</f>
        <v>52.006368840539707</v>
      </c>
      <c r="D19" s="62">
        <f>'6A'!I55/'2A'!D31*1000</f>
        <v>16.91366842246228</v>
      </c>
      <c r="E19" s="62">
        <f>'6A'!J55/'2A'!E31*1000</f>
        <v>38.257358366811509</v>
      </c>
      <c r="F19" s="62">
        <f>'6A'!K55/'2A'!I31*1000</f>
        <v>90.895259449071119</v>
      </c>
      <c r="G19" s="214">
        <f t="shared" si="6"/>
        <v>104.34340895068399</v>
      </c>
      <c r="H19" s="214">
        <f t="shared" si="7"/>
        <v>93.616637145703734</v>
      </c>
      <c r="I19" s="214">
        <f t="shared" si="8"/>
        <v>88.682576427215835</v>
      </c>
      <c r="J19" s="214">
        <f t="shared" si="9"/>
        <v>99.397078011321227</v>
      </c>
      <c r="K19" s="214">
        <f t="shared" si="10"/>
        <v>100.83326712979179</v>
      </c>
    </row>
    <row r="20" spans="1:11">
      <c r="A20" s="130">
        <v>2012</v>
      </c>
      <c r="B20" s="62">
        <f>'6A'!G56/'2A'!B32*1000</f>
        <v>51.214055855719117</v>
      </c>
      <c r="C20" s="62">
        <f>'6A'!H56/'2A'!C32*1000</f>
        <v>55.95768317416961</v>
      </c>
      <c r="D20" s="62">
        <f>'6A'!I56/'2A'!D32*1000</f>
        <v>21.121121121121121</v>
      </c>
      <c r="E20" s="62">
        <f>'6A'!J56/'2A'!E32*1000</f>
        <v>41.251599341985006</v>
      </c>
      <c r="F20" s="62">
        <f>'6A'!K56/'2A'!I32*1000</f>
        <v>89.01675319809452</v>
      </c>
      <c r="G20" s="214">
        <f t="shared" si="6"/>
        <v>106.22263721699102</v>
      </c>
      <c r="H20" s="214">
        <f t="shared" si="7"/>
        <v>100.72939599557176</v>
      </c>
      <c r="I20" s="214">
        <f t="shared" si="8"/>
        <v>110.74329892649186</v>
      </c>
      <c r="J20" s="214">
        <f t="shared" si="9"/>
        <v>107.17646520633993</v>
      </c>
      <c r="K20" s="214">
        <f t="shared" si="10"/>
        <v>98.749374925096163</v>
      </c>
    </row>
    <row r="21" spans="1:11">
      <c r="A21" s="130">
        <v>2013</v>
      </c>
      <c r="B21" s="62">
        <f>'6A'!G57/'2A'!B33*1000</f>
        <v>52.140724714184714</v>
      </c>
      <c r="C21" s="62">
        <f>'6A'!H57/'2A'!C33*1000</f>
        <v>56.276451623066343</v>
      </c>
      <c r="D21" s="62">
        <f>'6A'!I57/'2A'!D33*1000</f>
        <v>23.332640764595883</v>
      </c>
      <c r="E21" s="62">
        <f>'6A'!J57/'2A'!E33*1000</f>
        <v>39.042534179251184</v>
      </c>
      <c r="F21" s="62">
        <f>'6A'!K57/'2A'!I33*1000</f>
        <v>90.901771336553949</v>
      </c>
      <c r="G21" s="214">
        <f t="shared" si="6"/>
        <v>108.14463320673222</v>
      </c>
      <c r="H21" s="214">
        <f t="shared" si="7"/>
        <v>101.30321091245943</v>
      </c>
      <c r="I21" s="214">
        <f t="shared" si="8"/>
        <v>122.33884726668973</v>
      </c>
      <c r="J21" s="214">
        <f t="shared" si="9"/>
        <v>101.43705632695352</v>
      </c>
      <c r="K21" s="214">
        <f t="shared" si="10"/>
        <v>100.8404909926649</v>
      </c>
    </row>
    <row r="22" spans="1:11">
      <c r="A22" s="9"/>
      <c r="B22" s="9"/>
      <c r="C22" s="9"/>
      <c r="D22" s="9"/>
      <c r="E22" s="9"/>
      <c r="F22" s="9"/>
    </row>
    <row r="23" spans="1:11">
      <c r="A23" s="454" t="s">
        <v>11</v>
      </c>
      <c r="B23" s="454"/>
      <c r="C23" s="454"/>
      <c r="D23" s="454"/>
      <c r="E23" s="454"/>
      <c r="F23" s="454"/>
    </row>
    <row r="24" spans="1:11" ht="30">
      <c r="A24" s="130" t="s">
        <v>19</v>
      </c>
      <c r="B24" s="7">
        <f>((B5/B8)^(1/3)-1)*100</f>
        <v>0.96934976824920582</v>
      </c>
      <c r="C24" s="382" t="s">
        <v>10</v>
      </c>
      <c r="D24" s="7">
        <f t="shared" ref="D24:J24" si="11">((D5/D8)^(1/3)-1)*100</f>
        <v>0.22505376031447533</v>
      </c>
      <c r="E24" s="7">
        <f t="shared" si="11"/>
        <v>0.11536059758012751</v>
      </c>
      <c r="F24" s="382" t="s">
        <v>10</v>
      </c>
      <c r="G24" s="7">
        <f t="shared" si="11"/>
        <v>0.96934976824920582</v>
      </c>
      <c r="H24" s="382" t="s">
        <v>10</v>
      </c>
      <c r="I24" s="7">
        <f t="shared" si="11"/>
        <v>0.22505376031447533</v>
      </c>
      <c r="J24" s="7">
        <f t="shared" si="11"/>
        <v>0.11536059758014972</v>
      </c>
      <c r="K24" s="382" t="s">
        <v>10</v>
      </c>
    </row>
    <row r="25" spans="1:11" ht="30">
      <c r="A25" s="130" t="s">
        <v>68</v>
      </c>
      <c r="B25" s="7">
        <f>((B15/B8)^(1/7)-1)*100</f>
        <v>0.62296909185568516</v>
      </c>
      <c r="C25" s="7">
        <f t="shared" ref="C25:K25" si="12">((C15/C8)^(1/7)-1)*100</f>
        <v>0.21468178121510917</v>
      </c>
      <c r="D25" s="7">
        <f t="shared" si="12"/>
        <v>0.59109576430231847</v>
      </c>
      <c r="E25" s="7">
        <f t="shared" si="12"/>
        <v>3.9476578817885688</v>
      </c>
      <c r="F25" s="7">
        <f t="shared" si="12"/>
        <v>-2.2898795387961246</v>
      </c>
      <c r="G25" s="7">
        <f t="shared" si="12"/>
        <v>0.62296909185568516</v>
      </c>
      <c r="H25" s="7">
        <f t="shared" si="12"/>
        <v>0.21468178121510917</v>
      </c>
      <c r="I25" s="7">
        <f t="shared" si="12"/>
        <v>0.59109576430231847</v>
      </c>
      <c r="J25" s="7">
        <f t="shared" si="12"/>
        <v>3.9476578817885688</v>
      </c>
      <c r="K25" s="7">
        <f t="shared" si="12"/>
        <v>-2.2898795387961246</v>
      </c>
    </row>
    <row r="26" spans="1:11" ht="30">
      <c r="A26" s="130" t="s">
        <v>69</v>
      </c>
      <c r="B26" s="7">
        <f>((B21/B15)^(1/6)-1)*100</f>
        <v>1.3135411689943366</v>
      </c>
      <c r="C26" s="7">
        <f t="shared" ref="C26:K26" si="13">((C21/C15)^(1/6)-1)*100</f>
        <v>0.21603171008761635</v>
      </c>
      <c r="D26" s="7">
        <f t="shared" si="13"/>
        <v>3.4175069104378508</v>
      </c>
      <c r="E26" s="7">
        <f t="shared" si="13"/>
        <v>0.23808773679550033</v>
      </c>
      <c r="F26" s="7">
        <f t="shared" si="13"/>
        <v>0.13959376396004419</v>
      </c>
      <c r="G26" s="7">
        <f t="shared" si="13"/>
        <v>1.3135411689943366</v>
      </c>
      <c r="H26" s="7">
        <f t="shared" si="13"/>
        <v>0.21603171008761635</v>
      </c>
      <c r="I26" s="7">
        <f t="shared" si="13"/>
        <v>3.4175069104378508</v>
      </c>
      <c r="J26" s="7">
        <f t="shared" si="13"/>
        <v>0.23808773679550033</v>
      </c>
      <c r="K26" s="7">
        <f t="shared" si="13"/>
        <v>0.13959376396004419</v>
      </c>
    </row>
    <row r="27" spans="1:11" ht="30">
      <c r="A27" s="130" t="s">
        <v>15</v>
      </c>
      <c r="B27" s="7">
        <f>((B21/B8)^(1/13)-1)*100</f>
        <v>0.94110781342400252</v>
      </c>
      <c r="C27" s="7">
        <f t="shared" ref="C27:K27" si="14">((C21/C8)^(1/13)-1)*100</f>
        <v>0.21530482305056609</v>
      </c>
      <c r="D27" s="7">
        <f t="shared" si="14"/>
        <v>1.8858645939903385</v>
      </c>
      <c r="E27" s="7">
        <f t="shared" si="14"/>
        <v>2.2187905706309685</v>
      </c>
      <c r="F27" s="7">
        <f t="shared" si="14"/>
        <v>-1.1759960939880409</v>
      </c>
      <c r="G27" s="7">
        <f t="shared" si="14"/>
        <v>0.94110781342400252</v>
      </c>
      <c r="H27" s="7">
        <f t="shared" si="14"/>
        <v>0.21530482305056609</v>
      </c>
      <c r="I27" s="7">
        <f t="shared" si="14"/>
        <v>1.8858645939903385</v>
      </c>
      <c r="J27" s="7">
        <f t="shared" si="14"/>
        <v>2.2187905706309685</v>
      </c>
      <c r="K27" s="7">
        <f t="shared" si="14"/>
        <v>-1.1759960939880409</v>
      </c>
    </row>
    <row r="29" spans="1:11">
      <c r="A29" s="217" t="s">
        <v>287</v>
      </c>
      <c r="B29" s="168"/>
      <c r="C29" s="168"/>
      <c r="D29" s="168"/>
      <c r="E29" s="168"/>
      <c r="F29" s="168"/>
    </row>
  </sheetData>
  <mergeCells count="4">
    <mergeCell ref="A1:K1"/>
    <mergeCell ref="B2:F2"/>
    <mergeCell ref="G2:K2"/>
    <mergeCell ref="A23:F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9"/>
  <sheetViews>
    <sheetView view="pageBreakPreview" zoomScaleNormal="100" zoomScaleSheetLayoutView="100" workbookViewId="0">
      <selection activeCell="H19" sqref="H19"/>
    </sheetView>
  </sheetViews>
  <sheetFormatPr defaultRowHeight="15"/>
  <cols>
    <col min="1" max="16384" width="9.140625" style="181"/>
  </cols>
  <sheetData>
    <row r="1" spans="1:11" ht="15" customHeight="1">
      <c r="A1" s="454" t="s">
        <v>255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customHeight="1">
      <c r="A2" s="130"/>
      <c r="B2" s="454" t="s">
        <v>242</v>
      </c>
      <c r="C2" s="454"/>
      <c r="D2" s="454"/>
      <c r="E2" s="454"/>
      <c r="F2" s="454"/>
      <c r="G2" s="461" t="s">
        <v>241</v>
      </c>
      <c r="H2" s="461"/>
      <c r="I2" s="461"/>
      <c r="J2" s="461"/>
      <c r="K2" s="461"/>
    </row>
    <row r="3" spans="1:11" ht="75">
      <c r="A3" s="130"/>
      <c r="B3" s="130" t="s">
        <v>2</v>
      </c>
      <c r="C3" s="130" t="s">
        <v>223</v>
      </c>
      <c r="D3" s="130" t="s">
        <v>20</v>
      </c>
      <c r="E3" s="130" t="s">
        <v>4</v>
      </c>
      <c r="F3" s="130" t="s">
        <v>17</v>
      </c>
      <c r="G3" s="130" t="s">
        <v>2</v>
      </c>
      <c r="H3" s="130" t="s">
        <v>223</v>
      </c>
      <c r="I3" s="130" t="s">
        <v>20</v>
      </c>
      <c r="J3" s="130" t="s">
        <v>4</v>
      </c>
      <c r="K3" s="130" t="s">
        <v>17</v>
      </c>
    </row>
    <row r="4" spans="1:11">
      <c r="A4" s="9"/>
      <c r="B4" s="9"/>
      <c r="C4" s="9"/>
      <c r="D4" s="9"/>
      <c r="E4" s="9"/>
      <c r="F4" s="9"/>
    </row>
    <row r="5" spans="1:11">
      <c r="A5" s="130">
        <v>1997</v>
      </c>
      <c r="B5" s="62">
        <f>'6B'!G41/'2B'!B17*1000</f>
        <v>47.041595411113086</v>
      </c>
      <c r="C5" s="62">
        <f>'6B'!H41/'2B'!C17*1000</f>
        <v>49.156409278457758</v>
      </c>
      <c r="D5" s="62">
        <f>'6B'!I41/'2B'!D17*1000</f>
        <v>19.712223149830571</v>
      </c>
      <c r="E5" s="62">
        <f>'6B'!J41/'2B'!E17*1000</f>
        <v>22.32214330727437</v>
      </c>
      <c r="F5" s="62">
        <f>'6B'!K41/'2B'!I17*1000</f>
        <v>82.553086950513602</v>
      </c>
      <c r="G5" s="214">
        <f t="shared" ref="G5:G14" si="0">B5/B$15*100</f>
        <v>101.65709147765473</v>
      </c>
      <c r="H5" s="214">
        <f t="shared" ref="H5:H14" si="1">C5/C$15*100</f>
        <v>113.20293842296354</v>
      </c>
      <c r="I5" s="214">
        <f t="shared" ref="I5:I14" si="2">D5/D$15*100</f>
        <v>83.864039736141478</v>
      </c>
      <c r="J5" s="214">
        <f t="shared" ref="J5:J14" si="3">E5/E$15*100</f>
        <v>92.021085342466748</v>
      </c>
      <c r="K5" s="214">
        <f t="shared" ref="K5:K14" si="4">F5/F$15*100</f>
        <v>125.44392926244011</v>
      </c>
    </row>
    <row r="6" spans="1:11">
      <c r="A6" s="130">
        <v>1998</v>
      </c>
      <c r="B6" s="62">
        <f>'6B'!G42/'2B'!B18*1000</f>
        <v>46.253840435010417</v>
      </c>
      <c r="C6" s="62">
        <f>'6B'!H42/'2B'!C18*1000</f>
        <v>48.565262455452853</v>
      </c>
      <c r="D6" s="62">
        <f>'6B'!I42/'2B'!D18*1000</f>
        <v>22.07857063588947</v>
      </c>
      <c r="E6" s="62">
        <f>'6B'!J42/'2B'!E18*1000</f>
        <v>21.228639976497856</v>
      </c>
      <c r="F6" s="62">
        <f>'6B'!K42/'2B'!I18*1000</f>
        <v>83.522551933602941</v>
      </c>
      <c r="G6" s="214">
        <f t="shared" si="0"/>
        <v>99.954749561574047</v>
      </c>
      <c r="H6" s="214">
        <f t="shared" si="1"/>
        <v>111.84157866569417</v>
      </c>
      <c r="I6" s="214">
        <f t="shared" si="2"/>
        <v>93.931471404906233</v>
      </c>
      <c r="J6" s="214">
        <f t="shared" si="3"/>
        <v>87.513213408374057</v>
      </c>
      <c r="K6" s="214">
        <f t="shared" si="4"/>
        <v>126.91708431034246</v>
      </c>
    </row>
    <row r="7" spans="1:11">
      <c r="A7" s="130">
        <v>1999</v>
      </c>
      <c r="B7" s="62">
        <f>'6B'!G43/'2B'!B19*1000</f>
        <v>45.563651796883903</v>
      </c>
      <c r="C7" s="62">
        <f>'6B'!H43/'2B'!C19*1000</f>
        <v>44.591784903999191</v>
      </c>
      <c r="D7" s="62">
        <f>'6B'!I43/'2B'!D19*1000</f>
        <v>20.453318942255802</v>
      </c>
      <c r="E7" s="62">
        <f>'6B'!J43/'2B'!E19*1000</f>
        <v>20.33043258922941</v>
      </c>
      <c r="F7" s="62">
        <f>'6B'!K43/'2B'!I19*1000</f>
        <v>74.82684608710214</v>
      </c>
      <c r="G7" s="214">
        <f t="shared" si="0"/>
        <v>98.463248924538036</v>
      </c>
      <c r="H7" s="214">
        <f t="shared" si="1"/>
        <v>102.69100519654211</v>
      </c>
      <c r="I7" s="214">
        <f t="shared" si="2"/>
        <v>87.016971118453426</v>
      </c>
      <c r="J7" s="214">
        <f t="shared" si="3"/>
        <v>83.810431937020965</v>
      </c>
      <c r="K7" s="214">
        <f t="shared" si="4"/>
        <v>113.70348383348411</v>
      </c>
    </row>
    <row r="8" spans="1:11">
      <c r="A8" s="130">
        <v>2000</v>
      </c>
      <c r="B8" s="62">
        <f>'6B'!G44/'2B'!B20*1000</f>
        <v>44.902348310766229</v>
      </c>
      <c r="C8" s="62">
        <f>'6B'!H44/'2B'!C20*1000</f>
        <v>45.002227629459547</v>
      </c>
      <c r="D8" s="62">
        <f>'6B'!I44/'2B'!D20*1000</f>
        <v>17.602140077821012</v>
      </c>
      <c r="E8" s="62">
        <f>'6B'!J44/'2B'!E20*1000</f>
        <v>21.077789418543738</v>
      </c>
      <c r="F8" s="62">
        <f>'6B'!K44/'2B'!I20*1000</f>
        <v>76.518747957103059</v>
      </c>
      <c r="G8" s="214">
        <f t="shared" si="0"/>
        <v>97.034169226129791</v>
      </c>
      <c r="H8" s="214">
        <f t="shared" si="1"/>
        <v>103.63621912201904</v>
      </c>
      <c r="I8" s="214">
        <f t="shared" si="2"/>
        <v>74.886864038985763</v>
      </c>
      <c r="J8" s="214">
        <f t="shared" si="3"/>
        <v>86.891345164076426</v>
      </c>
      <c r="K8" s="214">
        <f t="shared" si="4"/>
        <v>116.27442123073266</v>
      </c>
    </row>
    <row r="9" spans="1:11">
      <c r="A9" s="130">
        <v>2001</v>
      </c>
      <c r="B9" s="62">
        <f>'6B'!G45/'2B'!B21*1000</f>
        <v>44.760858158015267</v>
      </c>
      <c r="C9" s="62">
        <f>'6B'!H45/'2B'!C21*1000</f>
        <v>43.409173233458858</v>
      </c>
      <c r="D9" s="62">
        <f>'6B'!I45/'2B'!D21*1000</f>
        <v>19.721551675742436</v>
      </c>
      <c r="E9" s="62">
        <f>'6B'!J45/'2B'!E21*1000</f>
        <v>19.74257234104326</v>
      </c>
      <c r="F9" s="62">
        <f>'6B'!K45/'2B'!I21*1000</f>
        <v>71.816076744955339</v>
      </c>
      <c r="G9" s="214">
        <f t="shared" si="0"/>
        <v>96.728408393069401</v>
      </c>
      <c r="H9" s="214">
        <f t="shared" si="1"/>
        <v>99.967553299148847</v>
      </c>
      <c r="I9" s="214">
        <f t="shared" si="2"/>
        <v>83.903727185994597</v>
      </c>
      <c r="J9" s="214">
        <f t="shared" si="3"/>
        <v>81.387029429334689</v>
      </c>
      <c r="K9" s="214">
        <f t="shared" si="4"/>
        <v>109.12845520241443</v>
      </c>
    </row>
    <row r="10" spans="1:11">
      <c r="A10" s="130">
        <v>2002</v>
      </c>
      <c r="B10" s="62">
        <f>'6B'!G46/'2B'!B22*1000</f>
        <v>44.742012933224849</v>
      </c>
      <c r="C10" s="62">
        <f>'6B'!H46/'2B'!C22*1000</f>
        <v>40.956788864875151</v>
      </c>
      <c r="D10" s="62">
        <f>'6B'!I46/'2B'!D22*1000</f>
        <v>20.429422999016147</v>
      </c>
      <c r="E10" s="62">
        <f>'6B'!J46/'2B'!E22*1000</f>
        <v>18.845857665404608</v>
      </c>
      <c r="F10" s="62">
        <f>'6B'!K46/'2B'!I22*1000</f>
        <v>66.619278214640076</v>
      </c>
      <c r="G10" s="214">
        <f t="shared" si="0"/>
        <v>96.68768378065576</v>
      </c>
      <c r="H10" s="214">
        <f t="shared" si="1"/>
        <v>94.319925233119974</v>
      </c>
      <c r="I10" s="214">
        <f t="shared" si="2"/>
        <v>86.915307784077044</v>
      </c>
      <c r="J10" s="214">
        <f t="shared" si="3"/>
        <v>77.690401531246778</v>
      </c>
      <c r="K10" s="214">
        <f t="shared" si="4"/>
        <v>101.2316356974236</v>
      </c>
    </row>
    <row r="11" spans="1:11">
      <c r="A11" s="130">
        <v>2003</v>
      </c>
      <c r="B11" s="62">
        <f>'6B'!G47/'2B'!B23*1000</f>
        <v>44.77332566733714</v>
      </c>
      <c r="C11" s="62">
        <f>'6B'!H47/'2B'!C23*1000</f>
        <v>40.652810693288039</v>
      </c>
      <c r="D11" s="62">
        <f>'6B'!I47/'2B'!D23*1000</f>
        <v>20.213072271811114</v>
      </c>
      <c r="E11" s="62">
        <f>'6B'!J47/'2B'!E23*1000</f>
        <v>18.585602983285611</v>
      </c>
      <c r="F11" s="62">
        <f>'6B'!K47/'2B'!I23*1000</f>
        <v>66.265813138241114</v>
      </c>
      <c r="G11" s="214">
        <f t="shared" si="0"/>
        <v>96.75535073472588</v>
      </c>
      <c r="H11" s="214">
        <f t="shared" si="1"/>
        <v>93.619889922461482</v>
      </c>
      <c r="I11" s="214">
        <f t="shared" si="2"/>
        <v>85.994861325787937</v>
      </c>
      <c r="J11" s="214">
        <f t="shared" si="3"/>
        <v>76.617524344482888</v>
      </c>
      <c r="K11" s="214">
        <f t="shared" si="4"/>
        <v>100.6945261879135</v>
      </c>
    </row>
    <row r="12" spans="1:11">
      <c r="A12" s="130">
        <v>2004</v>
      </c>
      <c r="B12" s="62">
        <f>'6B'!G48/'2B'!B24*1000</f>
        <v>44.185366204837308</v>
      </c>
      <c r="C12" s="62">
        <f>'6B'!H48/'2B'!C24*1000</f>
        <v>39.379917677036374</v>
      </c>
      <c r="D12" s="62">
        <f>'6B'!I48/'2B'!D24*1000</f>
        <v>20.616157285478042</v>
      </c>
      <c r="E12" s="62">
        <f>'6B'!J48/'2B'!E24*1000</f>
        <v>18.774549613006947</v>
      </c>
      <c r="F12" s="62">
        <f>'6B'!K48/'2B'!I24*1000</f>
        <v>62.792349066296005</v>
      </c>
      <c r="G12" s="214">
        <f t="shared" si="0"/>
        <v>95.484767789097774</v>
      </c>
      <c r="H12" s="214">
        <f t="shared" si="1"/>
        <v>90.688527932176626</v>
      </c>
      <c r="I12" s="214">
        <f t="shared" si="2"/>
        <v>87.709753519644678</v>
      </c>
      <c r="J12" s="214">
        <f t="shared" si="3"/>
        <v>77.396440315920643</v>
      </c>
      <c r="K12" s="214">
        <f t="shared" si="4"/>
        <v>95.416407616794459</v>
      </c>
    </row>
    <row r="13" spans="1:11">
      <c r="A13" s="130">
        <v>2005</v>
      </c>
      <c r="B13" s="62">
        <f>'6B'!G49/'2B'!B25*1000</f>
        <v>45.144427368910357</v>
      </c>
      <c r="C13" s="62">
        <f>'6B'!H49/'2B'!C25*1000</f>
        <v>40.392842528179756</v>
      </c>
      <c r="D13" s="62">
        <f>'6B'!I49/'2B'!D25*1000</f>
        <v>20.539861895794097</v>
      </c>
      <c r="E13" s="62">
        <f>'6B'!J49/'2B'!E25*1000</f>
        <v>20.697719400045717</v>
      </c>
      <c r="F13" s="62">
        <f>'6B'!K49/'2B'!I25*1000</f>
        <v>63.708525420427236</v>
      </c>
      <c r="G13" s="214">
        <f t="shared" si="0"/>
        <v>97.557303119517442</v>
      </c>
      <c r="H13" s="214">
        <f t="shared" si="1"/>
        <v>93.021205831848292</v>
      </c>
      <c r="I13" s="214">
        <f t="shared" si="2"/>
        <v>87.385161029822243</v>
      </c>
      <c r="J13" s="214">
        <f t="shared" si="3"/>
        <v>85.32453972219389</v>
      </c>
      <c r="K13" s="214">
        <f t="shared" si="4"/>
        <v>96.808587679406216</v>
      </c>
    </row>
    <row r="14" spans="1:11">
      <c r="A14" s="130">
        <v>2006</v>
      </c>
      <c r="B14" s="62">
        <f>'6B'!G50/'2B'!B26*1000</f>
        <v>45.967690307370553</v>
      </c>
      <c r="C14" s="62">
        <f>'6B'!H50/'2B'!C26*1000</f>
        <v>40.233765431145031</v>
      </c>
      <c r="D14" s="62">
        <f>'6B'!I50/'2B'!D26*1000</f>
        <v>20.783723668716473</v>
      </c>
      <c r="E14" s="62">
        <f>'6B'!J50/'2B'!E26*1000</f>
        <v>21.519939804364185</v>
      </c>
      <c r="F14" s="62">
        <f>'6B'!K50/'2B'!I26*1000</f>
        <v>63.234033800692465</v>
      </c>
      <c r="G14" s="214">
        <f t="shared" si="0"/>
        <v>99.336377896080819</v>
      </c>
      <c r="H14" s="214">
        <f t="shared" si="1"/>
        <v>92.65486510264418</v>
      </c>
      <c r="I14" s="214">
        <f t="shared" si="2"/>
        <v>88.422650980044509</v>
      </c>
      <c r="J14" s="214">
        <f t="shared" si="3"/>
        <v>88.714071495849808</v>
      </c>
      <c r="K14" s="214">
        <f t="shared" si="4"/>
        <v>96.087571720096179</v>
      </c>
    </row>
    <row r="15" spans="1:11">
      <c r="A15" s="130">
        <v>2007</v>
      </c>
      <c r="B15" s="62">
        <f>'6B'!G51/'2B'!B27*1000</f>
        <v>46.274779975830128</v>
      </c>
      <c r="C15" s="62">
        <f>'6B'!H51/'2B'!C27*1000</f>
        <v>43.423262649590583</v>
      </c>
      <c r="D15" s="62">
        <f>'6B'!I51/'2B'!D27*1000</f>
        <v>23.504976879065755</v>
      </c>
      <c r="E15" s="62">
        <f>'6B'!J51/'2B'!E27*1000</f>
        <v>24.257639674863668</v>
      </c>
      <c r="F15" s="62">
        <f>'6B'!K51/'2B'!I27*1000</f>
        <v>65.808754107028207</v>
      </c>
      <c r="G15" s="214">
        <f>B15/B$15*100</f>
        <v>100</v>
      </c>
      <c r="H15" s="214">
        <f t="shared" ref="H15:K21" si="5">C15/C$15*100</f>
        <v>100</v>
      </c>
      <c r="I15" s="214">
        <f t="shared" si="5"/>
        <v>100</v>
      </c>
      <c r="J15" s="214">
        <f t="shared" si="5"/>
        <v>100</v>
      </c>
      <c r="K15" s="214">
        <f t="shared" si="5"/>
        <v>100</v>
      </c>
    </row>
    <row r="16" spans="1:11">
      <c r="A16" s="130">
        <v>2008</v>
      </c>
      <c r="B16" s="62">
        <f>'6B'!G52/'2B'!B28*1000</f>
        <v>46.843687879081031</v>
      </c>
      <c r="C16" s="62">
        <f>'6B'!H52/'2B'!C28*1000</f>
        <v>45.211749417115776</v>
      </c>
      <c r="D16" s="62">
        <f>'6B'!I52/'2B'!D28*1000</f>
        <v>24.251166737378025</v>
      </c>
      <c r="E16" s="62">
        <f>'6B'!J52/'2B'!E28*1000</f>
        <v>26.520180409390541</v>
      </c>
      <c r="F16" s="62">
        <f>'6B'!K52/'2B'!I28*1000</f>
        <v>66.47122823984526</v>
      </c>
      <c r="G16" s="214">
        <f t="shared" ref="G16:G21" si="6">B16/B$15*100</f>
        <v>101.22941244355576</v>
      </c>
      <c r="H16" s="214">
        <f t="shared" si="5"/>
        <v>104.11872958961561</v>
      </c>
      <c r="I16" s="214">
        <f t="shared" si="5"/>
        <v>103.17460366862497</v>
      </c>
      <c r="J16" s="214">
        <f t="shared" si="5"/>
        <v>109.32712648407986</v>
      </c>
      <c r="K16" s="214">
        <f t="shared" si="5"/>
        <v>101.00666566599882</v>
      </c>
    </row>
    <row r="17" spans="1:11">
      <c r="A17" s="130">
        <v>2009</v>
      </c>
      <c r="B17" s="62">
        <f>'6B'!G53/'2B'!B29*1000</f>
        <v>49.017431024446509</v>
      </c>
      <c r="C17" s="62">
        <f>'6B'!H53/'2B'!C29*1000</f>
        <v>50.438305451751482</v>
      </c>
      <c r="D17" s="62">
        <f>'6B'!I53/'2B'!D29*1000</f>
        <v>31.561499771376315</v>
      </c>
      <c r="E17" s="62">
        <f>'6B'!J53/'2B'!E29*1000</f>
        <v>31.239343085345055</v>
      </c>
      <c r="F17" s="62">
        <f>'6B'!K53/'2B'!I29*1000</f>
        <v>68.894378116280137</v>
      </c>
      <c r="G17" s="214">
        <f t="shared" si="6"/>
        <v>105.92688079781016</v>
      </c>
      <c r="H17" s="214">
        <f t="shared" si="5"/>
        <v>116.15503390145889</v>
      </c>
      <c r="I17" s="214">
        <f t="shared" si="5"/>
        <v>134.27581713337463</v>
      </c>
      <c r="J17" s="214">
        <f t="shared" si="5"/>
        <v>128.78146226945563</v>
      </c>
      <c r="K17" s="214">
        <f t="shared" si="5"/>
        <v>104.68877439046121</v>
      </c>
    </row>
    <row r="18" spans="1:11">
      <c r="A18" s="130">
        <v>2010</v>
      </c>
      <c r="B18" s="62">
        <f>'6B'!G54/'2B'!B30*1000</f>
        <v>48.878666215487037</v>
      </c>
      <c r="C18" s="62">
        <f>'6B'!H54/'2B'!C30*1000</f>
        <v>47.369105921877583</v>
      </c>
      <c r="D18" s="62">
        <f>'6B'!I54/'2B'!D30*1000</f>
        <v>29.005429132493934</v>
      </c>
      <c r="E18" s="62">
        <f>'6B'!J54/'2B'!E30*1000</f>
        <v>28.114679421478193</v>
      </c>
      <c r="F18" s="62">
        <f>'6B'!K54/'2B'!I30*1000</f>
        <v>67.864942458223922</v>
      </c>
      <c r="G18" s="214">
        <f t="shared" si="6"/>
        <v>105.62700944448994</v>
      </c>
      <c r="H18" s="214">
        <f t="shared" si="5"/>
        <v>109.08693412590497</v>
      </c>
      <c r="I18" s="214">
        <f t="shared" si="5"/>
        <v>123.40122384177729</v>
      </c>
      <c r="J18" s="214">
        <f t="shared" si="5"/>
        <v>115.90030933888131</v>
      </c>
      <c r="K18" s="214">
        <f t="shared" si="5"/>
        <v>103.1244906230129</v>
      </c>
    </row>
    <row r="19" spans="1:11">
      <c r="A19" s="130">
        <v>2011</v>
      </c>
      <c r="B19" s="62">
        <f>'6B'!G55/'2B'!B31*1000</f>
        <v>48.888410302273094</v>
      </c>
      <c r="C19" s="62">
        <f>'6B'!H55/'2B'!C31*1000</f>
        <v>44.140176626297169</v>
      </c>
      <c r="D19" s="62">
        <f>'6B'!I55/'2B'!D31*1000</f>
        <v>24.563866051734511</v>
      </c>
      <c r="E19" s="62">
        <f>'6B'!J55/'2B'!E31*1000</f>
        <v>28.171108995716324</v>
      </c>
      <c r="F19" s="62">
        <f>'6B'!K55/'2B'!I31*1000</f>
        <v>61.658849430458503</v>
      </c>
      <c r="G19" s="214">
        <f t="shared" si="6"/>
        <v>105.6480664582481</v>
      </c>
      <c r="H19" s="214">
        <f t="shared" si="5"/>
        <v>101.65099058191875</v>
      </c>
      <c r="I19" s="214">
        <f t="shared" si="5"/>
        <v>104.50495730379481</v>
      </c>
      <c r="J19" s="214">
        <f t="shared" si="5"/>
        <v>116.13293532803146</v>
      </c>
      <c r="K19" s="214">
        <f t="shared" si="5"/>
        <v>93.693992945345087</v>
      </c>
    </row>
    <row r="20" spans="1:11">
      <c r="A20" s="130">
        <v>2012</v>
      </c>
      <c r="B20" s="62">
        <f>'6B'!G56/'2B'!B32*1000</f>
        <v>49.019035974859293</v>
      </c>
      <c r="C20" s="62">
        <f>'6B'!H56/'2B'!C32*1000</f>
        <v>47.496820741740414</v>
      </c>
      <c r="D20" s="62">
        <f>'6B'!I56/'2B'!D32*1000</f>
        <v>29.256678281068528</v>
      </c>
      <c r="E20" s="62">
        <f>'6B'!J56/'2B'!E32*1000</f>
        <v>31.263638167030351</v>
      </c>
      <c r="F20" s="62">
        <f>'6B'!K56/'2B'!I32*1000</f>
        <v>64.458462021671977</v>
      </c>
      <c r="G20" s="214">
        <f t="shared" si="6"/>
        <v>105.93034910260519</v>
      </c>
      <c r="H20" s="214">
        <f t="shared" si="5"/>
        <v>109.38105025645335</v>
      </c>
      <c r="I20" s="214">
        <f t="shared" si="5"/>
        <v>124.47014277697679</v>
      </c>
      <c r="J20" s="214">
        <f t="shared" si="5"/>
        <v>128.88161662087208</v>
      </c>
      <c r="K20" s="214">
        <f t="shared" si="5"/>
        <v>97.94815734824553</v>
      </c>
    </row>
    <row r="21" spans="1:11">
      <c r="A21" s="130">
        <v>2013</v>
      </c>
      <c r="B21" s="62">
        <f>'6B'!G57/'2B'!B33*1000</f>
        <v>49.233937634461213</v>
      </c>
      <c r="C21" s="62">
        <f>'6B'!H57/'2B'!C33*1000</f>
        <v>45.601753913612065</v>
      </c>
      <c r="D21" s="62">
        <f>'6B'!I57/'2B'!D33*1000</f>
        <v>28.256880733944953</v>
      </c>
      <c r="E21" s="62">
        <f>'6B'!J57/'2B'!E33*1000</f>
        <v>28.440656565656564</v>
      </c>
      <c r="F21" s="62">
        <f>'6B'!K57/'2B'!I33*1000</f>
        <v>64.084900390988651</v>
      </c>
      <c r="G21" s="214">
        <f t="shared" si="6"/>
        <v>106.39475252000483</v>
      </c>
      <c r="H21" s="214">
        <f t="shared" si="5"/>
        <v>105.0168760500589</v>
      </c>
      <c r="I21" s="214">
        <f t="shared" si="5"/>
        <v>120.21658595678684</v>
      </c>
      <c r="J21" s="214">
        <f t="shared" si="5"/>
        <v>117.24412163285382</v>
      </c>
      <c r="K21" s="214">
        <f t="shared" si="5"/>
        <v>97.380510025708787</v>
      </c>
    </row>
    <row r="22" spans="1:11">
      <c r="A22" s="9"/>
      <c r="B22" s="9"/>
      <c r="C22" s="9"/>
      <c r="D22" s="9"/>
      <c r="E22" s="9"/>
      <c r="F22" s="9"/>
    </row>
    <row r="23" spans="1:11">
      <c r="A23" s="454" t="s">
        <v>11</v>
      </c>
      <c r="B23" s="454"/>
      <c r="C23" s="454"/>
      <c r="D23" s="454"/>
      <c r="E23" s="454"/>
      <c r="F23" s="454"/>
    </row>
    <row r="24" spans="1:11" ht="30">
      <c r="A24" s="130" t="s">
        <v>19</v>
      </c>
      <c r="B24" s="7">
        <f>((B5/B8)^(1/3)-1)*100</f>
        <v>1.5635009091726548</v>
      </c>
      <c r="C24" s="7">
        <f t="shared" ref="C24:K24" si="7">((C5/C8)^(1/3)-1)*100</f>
        <v>2.9869144188189534</v>
      </c>
      <c r="D24" s="7">
        <f t="shared" si="7"/>
        <v>3.8460650183582912</v>
      </c>
      <c r="E24" s="7">
        <f t="shared" si="7"/>
        <v>1.930372240764644</v>
      </c>
      <c r="F24" s="7">
        <f t="shared" si="7"/>
        <v>2.5624738074761844</v>
      </c>
      <c r="G24" s="7">
        <f t="shared" si="7"/>
        <v>1.5635009091726548</v>
      </c>
      <c r="H24" s="7">
        <f t="shared" si="7"/>
        <v>2.9869144188189534</v>
      </c>
      <c r="I24" s="7">
        <f t="shared" si="7"/>
        <v>3.8460650183582912</v>
      </c>
      <c r="J24" s="7">
        <f t="shared" si="7"/>
        <v>1.930372240764644</v>
      </c>
      <c r="K24" s="7">
        <f t="shared" si="7"/>
        <v>2.5624738074761844</v>
      </c>
    </row>
    <row r="25" spans="1:11" ht="30">
      <c r="A25" s="130" t="s">
        <v>68</v>
      </c>
      <c r="B25" s="7">
        <f>((B15/B8)^(1/7)-1)*100</f>
        <v>0.43102639310783619</v>
      </c>
      <c r="C25" s="7">
        <f t="shared" ref="C25:K25" si="8">((C15/C8)^(1/7)-1)*100</f>
        <v>-0.50893889734374698</v>
      </c>
      <c r="D25" s="7">
        <f t="shared" si="8"/>
        <v>4.2178359147412747</v>
      </c>
      <c r="E25" s="7">
        <f t="shared" si="8"/>
        <v>2.0275927345162037</v>
      </c>
      <c r="F25" s="7">
        <f t="shared" si="8"/>
        <v>-2.1310077994927457</v>
      </c>
      <c r="G25" s="7">
        <f t="shared" si="8"/>
        <v>0.43102639310783619</v>
      </c>
      <c r="H25" s="7">
        <f t="shared" si="8"/>
        <v>-0.50893889734374698</v>
      </c>
      <c r="I25" s="7">
        <f t="shared" si="8"/>
        <v>4.2178359147412747</v>
      </c>
      <c r="J25" s="7">
        <f t="shared" si="8"/>
        <v>2.0275927345162037</v>
      </c>
      <c r="K25" s="7">
        <f t="shared" si="8"/>
        <v>-2.1310077994927457</v>
      </c>
    </row>
    <row r="26" spans="1:11" ht="30">
      <c r="A26" s="130" t="s">
        <v>69</v>
      </c>
      <c r="B26" s="7">
        <f>((B21/B15)^(1/6)-1)*100</f>
        <v>1.0384561030379214</v>
      </c>
      <c r="C26" s="7">
        <f t="shared" ref="C26:K26" si="9">((C21/C15)^(1/6)-1)*100</f>
        <v>0.81918503394105002</v>
      </c>
      <c r="D26" s="7">
        <f t="shared" si="9"/>
        <v>3.1163182875682871</v>
      </c>
      <c r="E26" s="7">
        <f t="shared" si="9"/>
        <v>2.6869322406301244</v>
      </c>
      <c r="F26" s="7">
        <f t="shared" si="9"/>
        <v>-0.44142447497499404</v>
      </c>
      <c r="G26" s="7">
        <f t="shared" si="9"/>
        <v>1.0384561030379214</v>
      </c>
      <c r="H26" s="7">
        <f t="shared" si="9"/>
        <v>0.81918503394105002</v>
      </c>
      <c r="I26" s="7">
        <f t="shared" si="9"/>
        <v>3.1163182875682871</v>
      </c>
      <c r="J26" s="7">
        <f t="shared" si="9"/>
        <v>2.6869322406301244</v>
      </c>
      <c r="K26" s="7">
        <f t="shared" si="9"/>
        <v>-0.44142447497499404</v>
      </c>
    </row>
    <row r="27" spans="1:11" ht="30">
      <c r="A27" s="130" t="s">
        <v>15</v>
      </c>
      <c r="B27" s="7">
        <f>((B21/B8)^(1/13)-1)*100</f>
        <v>0.71092346068422074</v>
      </c>
      <c r="C27" s="7">
        <f t="shared" ref="C27:K27" si="10">((C21/C8)^(1/13)-1)*100</f>
        <v>0.1018532766131397</v>
      </c>
      <c r="D27" s="7">
        <f t="shared" si="10"/>
        <v>3.7079885862301154</v>
      </c>
      <c r="E27" s="7">
        <f t="shared" si="10"/>
        <v>2.3313755632942357</v>
      </c>
      <c r="F27" s="7">
        <f t="shared" si="10"/>
        <v>-1.3547928585837865</v>
      </c>
      <c r="G27" s="7">
        <f t="shared" si="10"/>
        <v>0.71092346068422074</v>
      </c>
      <c r="H27" s="7">
        <f t="shared" si="10"/>
        <v>0.1018532766131397</v>
      </c>
      <c r="I27" s="7">
        <f t="shared" si="10"/>
        <v>3.7079885862301154</v>
      </c>
      <c r="J27" s="7">
        <f t="shared" si="10"/>
        <v>2.3313755632942357</v>
      </c>
      <c r="K27" s="7">
        <f t="shared" si="10"/>
        <v>-1.3547928585837865</v>
      </c>
    </row>
    <row r="28" spans="1:11">
      <c r="A28" s="132"/>
      <c r="B28" s="132"/>
      <c r="C28" s="132"/>
      <c r="D28" s="132"/>
      <c r="E28" s="132"/>
      <c r="F28" s="132"/>
    </row>
    <row r="29" spans="1:11">
      <c r="A29" s="217" t="s">
        <v>288</v>
      </c>
    </row>
  </sheetData>
  <mergeCells count="4">
    <mergeCell ref="A1:K1"/>
    <mergeCell ref="B2:F2"/>
    <mergeCell ref="G2:K2"/>
    <mergeCell ref="A23:F23"/>
  </mergeCells>
  <printOptions gridLines="1"/>
  <pageMargins left="0.7" right="0.7" top="0.75" bottom="0.75" header="0.3" footer="0.3"/>
  <pageSetup scale="8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5"/>
  <sheetViews>
    <sheetView view="pageBreakPreview" topLeftCell="A37" zoomScaleNormal="100" zoomScaleSheetLayoutView="100" workbookViewId="0">
      <selection activeCell="C24" sqref="C24"/>
    </sheetView>
  </sheetViews>
  <sheetFormatPr defaultRowHeight="15"/>
  <cols>
    <col min="1" max="16384" width="9.140625" style="239"/>
  </cols>
  <sheetData>
    <row r="1" spans="1:5" ht="30.75" customHeight="1">
      <c r="A1" s="454" t="s">
        <v>353</v>
      </c>
      <c r="B1" s="454"/>
      <c r="C1" s="454"/>
      <c r="D1" s="454"/>
      <c r="E1" s="454"/>
    </row>
    <row r="2" spans="1:5" ht="15" customHeight="1">
      <c r="A2" s="31"/>
      <c r="B2" s="31"/>
      <c r="C2" s="31"/>
      <c r="D2" s="31"/>
      <c r="E2" s="31"/>
    </row>
    <row r="3" spans="1:5" ht="75">
      <c r="A3" s="240"/>
      <c r="B3" s="240" t="s">
        <v>223</v>
      </c>
      <c r="C3" s="240" t="s">
        <v>20</v>
      </c>
      <c r="D3" s="240" t="s">
        <v>4</v>
      </c>
      <c r="E3" s="240" t="s">
        <v>17</v>
      </c>
    </row>
    <row r="4" spans="1:5">
      <c r="A4" s="9"/>
      <c r="B4" s="9"/>
      <c r="C4" s="9"/>
      <c r="D4" s="9"/>
      <c r="E4" s="9"/>
    </row>
    <row r="5" spans="1:5">
      <c r="A5" s="240">
        <v>1961</v>
      </c>
      <c r="B5" s="13">
        <f>'6A'!C5/'6A'!$C5*100</f>
        <v>100</v>
      </c>
      <c r="C5" s="13">
        <f>'6A'!D5/'6A'!$C5*100</f>
        <v>20.954754601226995</v>
      </c>
      <c r="D5" s="13">
        <f>'6A'!E5/'6A'!$C5*100</f>
        <v>10.601993865030673</v>
      </c>
      <c r="E5" s="13">
        <f>'6A'!F5/'6A'!$C5*100</f>
        <v>68.443251533742327</v>
      </c>
    </row>
    <row r="6" spans="1:5">
      <c r="A6" s="240">
        <v>1962</v>
      </c>
      <c r="B6" s="13">
        <f>'6A'!C6/'6A'!$C6*100</f>
        <v>100</v>
      </c>
      <c r="C6" s="13">
        <f>'6A'!D6/'6A'!$C6*100</f>
        <v>20.99850411368736</v>
      </c>
      <c r="D6" s="13">
        <f>'6A'!E6/'6A'!$C6*100</f>
        <v>10.415108451757668</v>
      </c>
      <c r="E6" s="13">
        <f>'6A'!F6/'6A'!$C6*100</f>
        <v>68.586387434554979</v>
      </c>
    </row>
    <row r="7" spans="1:5">
      <c r="A7" s="240">
        <v>1963</v>
      </c>
      <c r="B7" s="13">
        <f>'6A'!C7/'6A'!$C7*100</f>
        <v>100</v>
      </c>
      <c r="C7" s="13">
        <f>'6A'!D7/'6A'!$C7*100</f>
        <v>20.135864831910819</v>
      </c>
      <c r="D7" s="13">
        <f>'6A'!E7/'6A'!$C7*100</f>
        <v>10.329210938860827</v>
      </c>
      <c r="E7" s="13">
        <f>'6A'!F7/'6A'!$C7*100</f>
        <v>69.534924229228366</v>
      </c>
    </row>
    <row r="8" spans="1:5">
      <c r="A8" s="240">
        <v>1964</v>
      </c>
      <c r="B8" s="13">
        <f>'6A'!C8/'6A'!$C8*100</f>
        <v>100</v>
      </c>
      <c r="C8" s="13">
        <f>'6A'!D8/'6A'!$C8*100</f>
        <v>20.006165228113442</v>
      </c>
      <c r="D8" s="13">
        <f>'6A'!E8/'6A'!$C8*100</f>
        <v>10.280517879161529</v>
      </c>
      <c r="E8" s="13">
        <f>'6A'!F8/'6A'!$C8*100</f>
        <v>69.713316892725047</v>
      </c>
    </row>
    <row r="9" spans="1:5">
      <c r="A9" s="240">
        <v>1965</v>
      </c>
      <c r="B9" s="13">
        <f>'6A'!C9/'6A'!$C9*100</f>
        <v>100</v>
      </c>
      <c r="C9" s="13">
        <f>'6A'!D9/'6A'!$C9*100</f>
        <v>18.232197284566361</v>
      </c>
      <c r="D9" s="13">
        <f>'6A'!E9/'6A'!$C9*100</f>
        <v>10.0166251039069</v>
      </c>
      <c r="E9" s="13">
        <f>'6A'!F9/'6A'!$C9*100</f>
        <v>71.751177611526742</v>
      </c>
    </row>
    <row r="10" spans="1:5">
      <c r="A10" s="240">
        <v>1966</v>
      </c>
      <c r="B10" s="13">
        <f>'6A'!C10/'6A'!$C10*100</f>
        <v>100</v>
      </c>
      <c r="C10" s="13">
        <f>'6A'!D10/'6A'!$C10*100</f>
        <v>17.117446393762183</v>
      </c>
      <c r="D10" s="13">
        <f>'6A'!E10/'6A'!$C10*100</f>
        <v>9.9537037037037042</v>
      </c>
      <c r="E10" s="13">
        <f>'6A'!F10/'6A'!$C10*100</f>
        <v>72.928849902534125</v>
      </c>
    </row>
    <row r="11" spans="1:5">
      <c r="A11" s="240">
        <v>1967</v>
      </c>
      <c r="B11" s="13">
        <f>'6A'!C11/'6A'!$C11*100</f>
        <v>100</v>
      </c>
      <c r="C11" s="13">
        <f>'6A'!D11/'6A'!$C11*100</f>
        <v>16.01514645283439</v>
      </c>
      <c r="D11" s="13">
        <f>'6A'!E11/'6A'!$C11*100</f>
        <v>9.9231540260608089</v>
      </c>
      <c r="E11" s="13">
        <f>'6A'!F11/'6A'!$C11*100</f>
        <v>74.061699521104813</v>
      </c>
    </row>
    <row r="12" spans="1:5">
      <c r="A12" s="240">
        <v>1968</v>
      </c>
      <c r="B12" s="13">
        <f>'6A'!C12/'6A'!$C12*100</f>
        <v>100</v>
      </c>
      <c r="C12" s="13">
        <f>'6A'!D12/'6A'!$C12*100</f>
        <v>15.453162356009562</v>
      </c>
      <c r="D12" s="13">
        <f>'6A'!E12/'6A'!$C12*100</f>
        <v>9.943490545533578</v>
      </c>
      <c r="E12" s="13">
        <f>'6A'!F12/'6A'!$C12*100</f>
        <v>74.603347098456851</v>
      </c>
    </row>
    <row r="13" spans="1:5">
      <c r="A13" s="240">
        <v>1969</v>
      </c>
      <c r="B13" s="13">
        <f>'6A'!C13/'6A'!$C13*100</f>
        <v>100</v>
      </c>
      <c r="C13" s="13">
        <f>'6A'!D13/'6A'!$C13*100</f>
        <v>15.054855749695244</v>
      </c>
      <c r="D13" s="13">
        <f>'6A'!E13/'6A'!$C13*100</f>
        <v>10.331166192604632</v>
      </c>
      <c r="E13" s="13">
        <f>'6A'!F13/'6A'!$C13*100</f>
        <v>74.613978057700123</v>
      </c>
    </row>
    <row r="14" spans="1:5">
      <c r="A14" s="240">
        <v>1970</v>
      </c>
      <c r="B14" s="13">
        <f>'6A'!C14/'6A'!$C14*100</f>
        <v>100</v>
      </c>
      <c r="C14" s="13">
        <f>'6A'!D14/'6A'!$C14*100</f>
        <v>14.147192863376324</v>
      </c>
      <c r="D14" s="13">
        <f>'6A'!E14/'6A'!$C14*100</f>
        <v>10.714632017841559</v>
      </c>
      <c r="E14" s="13">
        <f>'6A'!F14/'6A'!$C14*100</f>
        <v>75.138175118782129</v>
      </c>
    </row>
    <row r="15" spans="1:5">
      <c r="A15" s="240">
        <v>1971</v>
      </c>
      <c r="B15" s="13">
        <f>'6A'!C15/'6A'!$C15*100</f>
        <v>100</v>
      </c>
      <c r="C15" s="13">
        <f>'6A'!D15/'6A'!$C15*100</f>
        <v>14.570877531340404</v>
      </c>
      <c r="D15" s="13">
        <f>'6A'!E15/'6A'!$C15*100</f>
        <v>11.533269045323047</v>
      </c>
      <c r="E15" s="13">
        <f>'6A'!F15/'6A'!$C15*100</f>
        <v>73.895853423336547</v>
      </c>
    </row>
    <row r="16" spans="1:5">
      <c r="A16" s="240">
        <v>1972</v>
      </c>
      <c r="B16" s="13">
        <f>'6A'!C16/'6A'!$C16*100</f>
        <v>100</v>
      </c>
      <c r="C16" s="13">
        <f>'6A'!D16/'6A'!$C16*100</f>
        <v>14.281773036601066</v>
      </c>
      <c r="D16" s="13">
        <f>'6A'!E16/'6A'!$C16*100</f>
        <v>13.279382012139045</v>
      </c>
      <c r="E16" s="13">
        <f>'6A'!F16/'6A'!$C16*100</f>
        <v>72.438844951259881</v>
      </c>
    </row>
    <row r="17" spans="1:5">
      <c r="A17" s="240">
        <v>1973</v>
      </c>
      <c r="B17" s="13">
        <f>'6A'!C17/'6A'!$C17*100</f>
        <v>100</v>
      </c>
      <c r="C17" s="13">
        <f>'6A'!D17/'6A'!$C17*100</f>
        <v>13.274199768607788</v>
      </c>
      <c r="D17" s="13">
        <f>'6A'!E17/'6A'!$C17*100</f>
        <v>15.210181257231007</v>
      </c>
      <c r="E17" s="13">
        <f>'6A'!F17/'6A'!$C17*100</f>
        <v>71.515618974161214</v>
      </c>
    </row>
    <row r="18" spans="1:5">
      <c r="A18" s="240">
        <v>1974</v>
      </c>
      <c r="B18" s="13">
        <f>'6A'!C18/'6A'!$C18*100</f>
        <v>100</v>
      </c>
      <c r="C18" s="13">
        <f>'6A'!D18/'6A'!$C18*100</f>
        <v>13.27805675580988</v>
      </c>
      <c r="D18" s="13">
        <f>'6A'!E18/'6A'!$C18*100</f>
        <v>16.466191755225974</v>
      </c>
      <c r="E18" s="13">
        <f>'6A'!F18/'6A'!$C18*100</f>
        <v>70.255751488964151</v>
      </c>
    </row>
    <row r="19" spans="1:5">
      <c r="A19" s="240">
        <v>1975</v>
      </c>
      <c r="B19" s="13">
        <f>'6A'!C19/'6A'!$C19*100</f>
        <v>100</v>
      </c>
      <c r="C19" s="13">
        <f>'6A'!D19/'6A'!$C19*100</f>
        <v>13.521042682320166</v>
      </c>
      <c r="D19" s="13">
        <f>'6A'!E19/'6A'!$C19*100</f>
        <v>17.097801213809571</v>
      </c>
      <c r="E19" s="13">
        <f>'6A'!F19/'6A'!$C19*100</f>
        <v>69.381156103870268</v>
      </c>
    </row>
    <row r="20" spans="1:5">
      <c r="A20" s="240">
        <v>1976</v>
      </c>
      <c r="B20" s="13">
        <f>'6A'!C20/'6A'!$C20*100</f>
        <v>100</v>
      </c>
      <c r="C20" s="13">
        <f>'6A'!D20/'6A'!$C20*100</f>
        <v>12.756157172400826</v>
      </c>
      <c r="D20" s="13">
        <f>'6A'!E20/'6A'!$C20*100</f>
        <v>17.390486933634143</v>
      </c>
      <c r="E20" s="13">
        <f>'6A'!F20/'6A'!$C20*100</f>
        <v>69.853355893965045</v>
      </c>
    </row>
    <row r="21" spans="1:5">
      <c r="A21" s="240">
        <v>1977</v>
      </c>
      <c r="B21" s="13">
        <f>'6A'!C21/'6A'!$C21*100</f>
        <v>100</v>
      </c>
      <c r="C21" s="13">
        <f>'6A'!D21/'6A'!$C21*100</f>
        <v>11.821434805376157</v>
      </c>
      <c r="D21" s="13">
        <f>'6A'!E21/'6A'!$C21*100</f>
        <v>17.415779368127073</v>
      </c>
      <c r="E21" s="13">
        <f>'6A'!F21/'6A'!$C21*100</f>
        <v>70.762785826496767</v>
      </c>
    </row>
    <row r="22" spans="1:5">
      <c r="A22" s="240">
        <v>1978</v>
      </c>
      <c r="B22" s="13">
        <f>'6A'!C22/'6A'!$C22*100</f>
        <v>100</v>
      </c>
      <c r="C22" s="13">
        <f>'6A'!D22/'6A'!$C22*100</f>
        <v>11.431223015776943</v>
      </c>
      <c r="D22" s="13">
        <f>'6A'!E22/'6A'!$C22*100</f>
        <v>17.096396723560503</v>
      </c>
      <c r="E22" s="13">
        <f>'6A'!F22/'6A'!$C22*100</f>
        <v>71.472380260662547</v>
      </c>
    </row>
    <row r="23" spans="1:5">
      <c r="A23" s="240">
        <v>1979</v>
      </c>
      <c r="B23" s="13">
        <f>'6A'!C23/'6A'!$C23*100</f>
        <v>100</v>
      </c>
      <c r="C23" s="13">
        <f>'6A'!D23/'6A'!$C23*100</f>
        <v>11.409915891987604</v>
      </c>
      <c r="D23" s="13">
        <f>'6A'!E23/'6A'!$C23*100</f>
        <v>17.279032020067874</v>
      </c>
      <c r="E23" s="13">
        <f>'6A'!F23/'6A'!$C23*100</f>
        <v>71.311052087944518</v>
      </c>
    </row>
    <row r="24" spans="1:5">
      <c r="A24" s="240">
        <v>1980</v>
      </c>
      <c r="B24" s="13">
        <f>'6A'!C24/'6A'!$C24*100</f>
        <v>100</v>
      </c>
      <c r="C24" s="13">
        <f>'6A'!D24/'6A'!$C24*100</f>
        <v>11.362410785091196</v>
      </c>
      <c r="D24" s="13">
        <f>'6A'!E24/'6A'!$C24*100</f>
        <v>17.132434575733548</v>
      </c>
      <c r="E24" s="13">
        <f>'6A'!F24/'6A'!$C24*100</f>
        <v>71.505154639175245</v>
      </c>
    </row>
    <row r="25" spans="1:5">
      <c r="A25" s="240">
        <v>1981</v>
      </c>
      <c r="B25" s="13">
        <f>'6A'!C25/'6A'!$C25*100</f>
        <v>100</v>
      </c>
      <c r="C25" s="13">
        <f>'6A'!D25/'6A'!$C25*100</f>
        <v>11.431791319644869</v>
      </c>
      <c r="D25" s="13">
        <f>'6A'!E25/'6A'!$C25*100</f>
        <v>16.412413072757758</v>
      </c>
      <c r="E25" s="13">
        <f>'6A'!F25/'6A'!$C25*100</f>
        <v>72.155795607597369</v>
      </c>
    </row>
    <row r="26" spans="1:5">
      <c r="A26" s="240">
        <v>1982</v>
      </c>
      <c r="B26" s="13">
        <f>'6A'!C26/'6A'!$C26*100</f>
        <v>100</v>
      </c>
      <c r="C26" s="13">
        <f>'6A'!D26/'6A'!$C26*100</f>
        <v>10.387253927222112</v>
      </c>
      <c r="D26" s="13">
        <f>'6A'!E26/'6A'!$C26*100</f>
        <v>17.157983694571485</v>
      </c>
      <c r="E26" s="13">
        <f>'6A'!F26/'6A'!$C26*100</f>
        <v>72.454762378206411</v>
      </c>
    </row>
    <row r="27" spans="1:5">
      <c r="A27" s="240">
        <v>1983</v>
      </c>
      <c r="B27" s="13">
        <f>'6A'!C27/'6A'!$C27*100</f>
        <v>100</v>
      </c>
      <c r="C27" s="13">
        <f>'6A'!D27/'6A'!$C27*100</f>
        <v>10.122245773155223</v>
      </c>
      <c r="D27" s="13">
        <f>'6A'!E27/'6A'!$C27*100</f>
        <v>17.220387440232663</v>
      </c>
      <c r="E27" s="13">
        <f>'6A'!F27/'6A'!$C27*100</f>
        <v>72.657366786612116</v>
      </c>
    </row>
    <row r="28" spans="1:5">
      <c r="A28" s="240">
        <v>1984</v>
      </c>
      <c r="B28" s="13">
        <f>'6A'!C28/'6A'!$C28*100</f>
        <v>100</v>
      </c>
      <c r="C28" s="13">
        <f>'6A'!D28/'6A'!$C28*100</f>
        <v>10.121571953633024</v>
      </c>
      <c r="D28" s="13">
        <f>'6A'!E28/'6A'!$C28*100</f>
        <v>16.746772217510131</v>
      </c>
      <c r="E28" s="13">
        <f>'6A'!F28/'6A'!$C28*100</f>
        <v>73.13165582885685</v>
      </c>
    </row>
    <row r="29" spans="1:5">
      <c r="A29" s="240">
        <v>1985</v>
      </c>
      <c r="B29" s="13">
        <f>'6A'!C29/'6A'!$C29*100</f>
        <v>100</v>
      </c>
      <c r="C29" s="13">
        <f>'6A'!D29/'6A'!$C29*100</f>
        <v>9.0832487090292311</v>
      </c>
      <c r="D29" s="13">
        <f>'6A'!E29/'6A'!$C29*100</f>
        <v>16.440161614415661</v>
      </c>
      <c r="E29" s="13">
        <f>'6A'!F29/'6A'!$C29*100</f>
        <v>74.476589676555108</v>
      </c>
    </row>
    <row r="30" spans="1:5">
      <c r="A30" s="240">
        <v>1986</v>
      </c>
      <c r="B30" s="13">
        <f>'6A'!C30/'6A'!$C30*100</f>
        <v>100</v>
      </c>
      <c r="C30" s="13">
        <f>'6A'!D30/'6A'!$C30*100</f>
        <v>7.7592024835618281</v>
      </c>
      <c r="D30" s="13">
        <f>'6A'!E30/'6A'!$C30*100</f>
        <v>15.46827095505293</v>
      </c>
      <c r="E30" s="13">
        <f>'6A'!F30/'6A'!$C30*100</f>
        <v>76.772526561385234</v>
      </c>
    </row>
    <row r="31" spans="1:5">
      <c r="A31" s="240">
        <v>1987</v>
      </c>
      <c r="B31" s="13">
        <f>'6A'!C31/'6A'!$C31*100</f>
        <v>100</v>
      </c>
      <c r="C31" s="13">
        <f>'6A'!D31/'6A'!$C31*100</f>
        <v>6.8928727590730228</v>
      </c>
      <c r="D31" s="13">
        <f>'6A'!E31/'6A'!$C31*100</f>
        <v>14.745955400087452</v>
      </c>
      <c r="E31" s="13">
        <f>'6A'!F31/'6A'!$C31*100</f>
        <v>78.361171840839532</v>
      </c>
    </row>
    <row r="32" spans="1:5">
      <c r="A32" s="240">
        <v>1988</v>
      </c>
      <c r="B32" s="13">
        <f>'6A'!C32/'6A'!$C32*100</f>
        <v>100</v>
      </c>
      <c r="C32" s="13">
        <f>'6A'!D32/'6A'!$C32*100</f>
        <v>6.4217325726277128</v>
      </c>
      <c r="D32" s="13">
        <f>'6A'!E32/'6A'!$C32*100</f>
        <v>15.379697029313396</v>
      </c>
      <c r="E32" s="13">
        <f>'6A'!F32/'6A'!$C32*100</f>
        <v>78.198570398058891</v>
      </c>
    </row>
    <row r="33" spans="1:5">
      <c r="A33" s="240">
        <v>1989</v>
      </c>
      <c r="B33" s="13">
        <f>'6A'!C33/'6A'!$C33*100</f>
        <v>100</v>
      </c>
      <c r="C33" s="13">
        <f>'6A'!D33/'6A'!$C33*100</f>
        <v>5.8007894394401633</v>
      </c>
      <c r="D33" s="13">
        <f>'6A'!E33/'6A'!$C33*100</f>
        <v>14.794037274265143</v>
      </c>
      <c r="E33" s="13">
        <f>'6A'!F33/'6A'!$C33*100</f>
        <v>79.405173286294698</v>
      </c>
    </row>
    <row r="34" spans="1:5">
      <c r="A34" s="240">
        <v>1990</v>
      </c>
      <c r="B34" s="13">
        <f>'6A'!C34/'6A'!$C34*100</f>
        <v>100</v>
      </c>
      <c r="C34" s="13">
        <f>'6A'!D34/'6A'!$C34*100</f>
        <v>5.6164252397171275</v>
      </c>
      <c r="D34" s="13">
        <f>'6A'!E34/'6A'!$C34*100</f>
        <v>14.217516790457823</v>
      </c>
      <c r="E34" s="13">
        <f>'6A'!F34/'6A'!$C34*100</f>
        <v>80.166057969825061</v>
      </c>
    </row>
    <row r="35" spans="1:5">
      <c r="A35" s="240">
        <v>1991</v>
      </c>
      <c r="B35" s="13">
        <f>'6A'!C35/'6A'!$C35*100</f>
        <v>100</v>
      </c>
      <c r="C35" s="13">
        <f>'6A'!D35/'6A'!$C35*100</f>
        <v>5.2608726101267598</v>
      </c>
      <c r="D35" s="13">
        <f>'6A'!E35/'6A'!$C35*100</f>
        <v>14.218082498774423</v>
      </c>
      <c r="E35" s="13">
        <f>'6A'!F35/'6A'!$C35*100</f>
        <v>80.521044891098811</v>
      </c>
    </row>
    <row r="36" spans="1:5">
      <c r="A36" s="240">
        <v>1992</v>
      </c>
      <c r="B36" s="13">
        <f>'6A'!C36/'6A'!$C36*100</f>
        <v>100</v>
      </c>
      <c r="C36" s="13">
        <f>'6A'!D36/'6A'!$C36*100</f>
        <v>5.2946706197121998</v>
      </c>
      <c r="D36" s="13">
        <f>'6A'!E36/'6A'!$C36*100</f>
        <v>14.507195024947576</v>
      </c>
      <c r="E36" s="13">
        <f>'6A'!F36/'6A'!$C36*100</f>
        <v>80.19813435534023</v>
      </c>
    </row>
    <row r="37" spans="1:5">
      <c r="A37" s="240">
        <v>1993</v>
      </c>
      <c r="B37" s="13">
        <f>'6A'!C37/'6A'!$C37*100</f>
        <v>100</v>
      </c>
      <c r="C37" s="13">
        <f>'6A'!D37/'6A'!$C37*100</f>
        <v>5.4244045745462177</v>
      </c>
      <c r="D37" s="13">
        <f>'6A'!E37/'6A'!$C37*100</f>
        <v>15.02015977936658</v>
      </c>
      <c r="E37" s="13">
        <f>'6A'!F37/'6A'!$C37*100</f>
        <v>79.555435646087204</v>
      </c>
    </row>
    <row r="38" spans="1:5">
      <c r="A38" s="240">
        <v>1994</v>
      </c>
      <c r="B38" s="13">
        <f>'6A'!C38/'6A'!$C38*100</f>
        <v>100</v>
      </c>
      <c r="C38" s="13">
        <f>'6A'!D38/'6A'!$C38*100</f>
        <v>5.9961892844955065</v>
      </c>
      <c r="D38" s="13">
        <f>'6A'!E38/'6A'!$C38*100</f>
        <v>16.39176430440223</v>
      </c>
      <c r="E38" s="13">
        <f>'6A'!F38/'6A'!$C38*100</f>
        <v>77.61204641110227</v>
      </c>
    </row>
    <row r="39" spans="1:5">
      <c r="A39" s="240">
        <v>1995</v>
      </c>
      <c r="B39" s="13">
        <f>'6A'!C39/'6A'!$C39*100</f>
        <v>100</v>
      </c>
      <c r="C39" s="13">
        <f>'6A'!D39/'6A'!$C39*100</f>
        <v>5.5368092118220131</v>
      </c>
      <c r="D39" s="13">
        <f>'6A'!E39/'6A'!$C39*100</f>
        <v>17.790790803933668</v>
      </c>
      <c r="E39" s="13">
        <f>'6A'!F39/'6A'!$C39*100</f>
        <v>76.672399984244322</v>
      </c>
    </row>
    <row r="40" spans="1:5">
      <c r="A40" s="240">
        <v>1996</v>
      </c>
      <c r="B40" s="13">
        <f>'6A'!C40/'6A'!$C40*100</f>
        <v>100</v>
      </c>
      <c r="C40" s="13">
        <f>'6A'!D40/'6A'!$C40*100</f>
        <v>5.3524349599562244</v>
      </c>
      <c r="D40" s="13">
        <f>'6A'!E40/'6A'!$C40*100</f>
        <v>18.967318310699895</v>
      </c>
      <c r="E40" s="13">
        <f>'6A'!F40/'6A'!$C40*100</f>
        <v>75.680246729343878</v>
      </c>
    </row>
    <row r="41" spans="1:5">
      <c r="A41" s="240">
        <v>1997</v>
      </c>
      <c r="B41" s="13">
        <f>'6A'!C41/'6A'!$C41*100</f>
        <v>100</v>
      </c>
      <c r="C41" s="13">
        <f>'6A'!D41/'6A'!$C41*100</f>
        <v>5.2084190238915067</v>
      </c>
      <c r="D41" s="13">
        <f>'6A'!E41/'6A'!$C41*100</f>
        <v>21.482378103956847</v>
      </c>
      <c r="E41" s="13">
        <f>'6A'!F41/'6A'!$C41*100</f>
        <v>73.309202872151658</v>
      </c>
    </row>
    <row r="42" spans="1:5">
      <c r="A42" s="240">
        <v>1998</v>
      </c>
      <c r="B42" s="13">
        <f>'6A'!C42/'6A'!$C42*100</f>
        <v>100</v>
      </c>
      <c r="C42" s="13">
        <f>'6A'!D42/'6A'!$C42*100</f>
        <v>4.9213109938653083</v>
      </c>
      <c r="D42" s="13">
        <f>'6A'!E42/'6A'!$C42*100</f>
        <v>22.119914588817466</v>
      </c>
      <c r="E42" s="13">
        <f>'6A'!F42/'6A'!$C42*100</f>
        <v>72.958774417317244</v>
      </c>
    </row>
    <row r="43" spans="1:5">
      <c r="A43" s="240">
        <v>1999</v>
      </c>
      <c r="B43" s="13">
        <f>'6A'!C43/'6A'!$C43*100</f>
        <v>100</v>
      </c>
      <c r="C43" s="13">
        <f>'6A'!D43/'6A'!$C43*100</f>
        <v>5.3395506949802627</v>
      </c>
      <c r="D43" s="13">
        <f>'6A'!E43/'6A'!$C43*100</f>
        <v>23.583481498876179</v>
      </c>
      <c r="E43" s="13">
        <f>'6A'!F43/'6A'!$C43*100</f>
        <v>71.076967806143557</v>
      </c>
    </row>
    <row r="44" spans="1:5">
      <c r="A44" s="240">
        <v>2000</v>
      </c>
      <c r="B44" s="13">
        <f>'6A'!C44/'6A'!$C44*100</f>
        <v>100</v>
      </c>
      <c r="C44" s="13">
        <f>'6A'!D44/'6A'!$C44*100</f>
        <v>5.8416126863521391</v>
      </c>
      <c r="D44" s="13">
        <f>'6A'!E44/'6A'!$C44*100</f>
        <v>24.909558517506692</v>
      </c>
      <c r="E44" s="13">
        <f>'6A'!F44/'6A'!$C44*100</f>
        <v>69.248828796141154</v>
      </c>
    </row>
    <row r="45" spans="1:5">
      <c r="A45" s="240">
        <v>2001</v>
      </c>
      <c r="B45" s="13">
        <f>'6A'!C45/'6A'!$C45*100</f>
        <v>100</v>
      </c>
      <c r="C45" s="13">
        <f>'6A'!D45/'6A'!$C45*100</f>
        <v>5.9696484239695184</v>
      </c>
      <c r="D45" s="13">
        <f>'6A'!E45/'6A'!$C45*100</f>
        <v>24.427390024246623</v>
      </c>
      <c r="E45" s="13">
        <f>'6A'!F45/'6A'!$C45*100</f>
        <v>69.602961551783864</v>
      </c>
    </row>
    <row r="46" spans="1:5">
      <c r="A46" s="240">
        <v>2002</v>
      </c>
      <c r="B46" s="13">
        <f>'6A'!C46/'6A'!$C46*100</f>
        <v>100</v>
      </c>
      <c r="C46" s="13">
        <f>'6A'!D46/'6A'!$C46*100</f>
        <v>6.5125448818203839</v>
      </c>
      <c r="D46" s="13">
        <f>'6A'!E46/'6A'!$C46*100</f>
        <v>23.689891402515588</v>
      </c>
      <c r="E46" s="13">
        <f>'6A'!F46/'6A'!$C46*100</f>
        <v>69.79756371566404</v>
      </c>
    </row>
    <row r="47" spans="1:5">
      <c r="A47" s="240">
        <v>2003</v>
      </c>
      <c r="B47" s="13">
        <f>'6A'!C47/'6A'!$C47*100</f>
        <v>100</v>
      </c>
      <c r="C47" s="13">
        <f>'6A'!D47/'6A'!$C47*100</f>
        <v>6.1094885553216063</v>
      </c>
      <c r="D47" s="13">
        <f>'6A'!E47/'6A'!$C47*100</f>
        <v>22.43089044352374</v>
      </c>
      <c r="E47" s="13">
        <f>'6A'!F47/'6A'!$C47*100</f>
        <v>71.459621001154659</v>
      </c>
    </row>
    <row r="48" spans="1:5">
      <c r="A48" s="240">
        <v>2004</v>
      </c>
      <c r="B48" s="13">
        <f>'6A'!C48/'6A'!$C48*100</f>
        <v>100</v>
      </c>
      <c r="C48" s="13">
        <f>'6A'!D48/'6A'!$C48*100</f>
        <v>6.0010995840703742</v>
      </c>
      <c r="D48" s="13">
        <f>'6A'!E48/'6A'!$C48*100</f>
        <v>24.030692737964337</v>
      </c>
      <c r="E48" s="13">
        <f>'6A'!F48/'6A'!$C48*100</f>
        <v>69.968207677965296</v>
      </c>
    </row>
    <row r="49" spans="1:5">
      <c r="A49" s="240">
        <v>2005</v>
      </c>
      <c r="B49" s="13">
        <f>'6A'!C49/'6A'!$C49*100</f>
        <v>100</v>
      </c>
      <c r="C49" s="13">
        <f>'6A'!D49/'6A'!$C49*100</f>
        <v>6.1807587465926437</v>
      </c>
      <c r="D49" s="13">
        <f>'6A'!E49/'6A'!$C49*100</f>
        <v>25.503288568784853</v>
      </c>
      <c r="E49" s="13">
        <f>'6A'!F49/'6A'!$C49*100</f>
        <v>68.315952684622502</v>
      </c>
    </row>
    <row r="50" spans="1:5">
      <c r="A50" s="240">
        <v>2006</v>
      </c>
      <c r="B50" s="13">
        <f>'6A'!C50/'6A'!$C50*100</f>
        <v>100</v>
      </c>
      <c r="C50" s="13">
        <f>'6A'!D50/'6A'!$C50*100</f>
        <v>6.3334674436412248</v>
      </c>
      <c r="D50" s="13">
        <f>'6A'!E50/'6A'!$C50*100</f>
        <v>27.1391675643405</v>
      </c>
      <c r="E50" s="13">
        <f>'6A'!F50/'6A'!$C50*100</f>
        <v>66.527364992018263</v>
      </c>
    </row>
    <row r="51" spans="1:5">
      <c r="A51" s="240">
        <v>2007</v>
      </c>
      <c r="B51" s="13">
        <f>'6A'!C51/'6A'!$C51*100</f>
        <v>100</v>
      </c>
      <c r="C51" s="13">
        <f>'6A'!D51/'6A'!$C51*100</f>
        <v>6.2224432734702653</v>
      </c>
      <c r="D51" s="13">
        <f>'6A'!E51/'6A'!$C51*100</f>
        <v>29.120066673835897</v>
      </c>
      <c r="E51" s="13">
        <f>'6A'!F51/'6A'!$C51*100</f>
        <v>64.657490052693831</v>
      </c>
    </row>
    <row r="52" spans="1:5">
      <c r="A52" s="240">
        <v>2008</v>
      </c>
      <c r="B52" s="13">
        <f>'6A'!C52/'6A'!$C52*100</f>
        <v>100</v>
      </c>
      <c r="C52" s="13">
        <f>'6A'!D52/'6A'!$C52*100</f>
        <v>6.6306341086767677</v>
      </c>
      <c r="D52" s="13">
        <f>'6A'!E52/'6A'!$C52*100</f>
        <v>29.653784107987363</v>
      </c>
      <c r="E52" s="13">
        <f>'6A'!F52/'6A'!$C52*100</f>
        <v>63.715581783335864</v>
      </c>
    </row>
    <row r="53" spans="1:5">
      <c r="A53" s="240">
        <v>2009</v>
      </c>
      <c r="B53" s="13">
        <f>'6A'!C53/'6A'!$C53*100</f>
        <v>100</v>
      </c>
      <c r="C53" s="13">
        <f>'6A'!D53/'6A'!$C53*100</f>
        <v>6.7261604893846707</v>
      </c>
      <c r="D53" s="13">
        <f>'6A'!E53/'6A'!$C53*100</f>
        <v>30.762144656351204</v>
      </c>
      <c r="E53" s="13">
        <f>'6A'!F53/'6A'!$C53*100</f>
        <v>62.511694854264121</v>
      </c>
    </row>
    <row r="54" spans="1:5">
      <c r="A54" s="240">
        <v>2010</v>
      </c>
      <c r="B54" s="13">
        <f>'6A'!C54/'6A'!$C54*100</f>
        <v>100</v>
      </c>
      <c r="C54" s="13">
        <f>'6A'!D54/'6A'!$C54*100</f>
        <v>7.0444713067820341</v>
      </c>
      <c r="D54" s="13">
        <f>'6A'!E54/'6A'!$C54*100</f>
        <v>32.561394579463041</v>
      </c>
      <c r="E54" s="13">
        <f>'6A'!F54/'6A'!$C54*100</f>
        <v>60.39413411375493</v>
      </c>
    </row>
    <row r="55" spans="1:5">
      <c r="A55" s="240">
        <v>2011</v>
      </c>
      <c r="B55" s="13">
        <f>'6A'!C55/'6A'!$C55*100</f>
        <v>100</v>
      </c>
      <c r="C55" s="13">
        <f>'6A'!D55/'6A'!$C55*100</f>
        <v>6.9850344159151021</v>
      </c>
      <c r="D55" s="13">
        <f>'6A'!E55/'6A'!$C55*100</f>
        <v>32.840504000131425</v>
      </c>
      <c r="E55" s="13">
        <f>'6A'!F55/'6A'!$C55*100</f>
        <v>60.174461583953487</v>
      </c>
    </row>
    <row r="56" spans="1:5">
      <c r="A56" s="240">
        <v>2012</v>
      </c>
      <c r="B56" s="13">
        <f>'6A'!C56/'6A'!$C56*100</f>
        <v>100</v>
      </c>
      <c r="C56" s="13">
        <f>'6A'!D56/'6A'!$C56*100</f>
        <v>6.9133625064474789</v>
      </c>
      <c r="D56" s="13">
        <f>'6A'!E56/'6A'!$C56*100</f>
        <v>32.709938270577858</v>
      </c>
      <c r="E56" s="13">
        <f>'6A'!F56/'6A'!$C56*100</f>
        <v>60.376699222974651</v>
      </c>
    </row>
    <row r="57" spans="1:5">
      <c r="A57" s="240">
        <v>2013</v>
      </c>
      <c r="B57" s="13">
        <f>'6A'!C57/'6A'!$C57*100</f>
        <v>100</v>
      </c>
      <c r="C57" s="13">
        <f>'6A'!D57/'6A'!$C57*100</f>
        <v>6.7055099016570123</v>
      </c>
      <c r="D57" s="13">
        <f>'6A'!E57/'6A'!$C57*100</f>
        <v>32.427926714266469</v>
      </c>
      <c r="E57" s="13">
        <f>'6A'!F57/'6A'!$C57*100</f>
        <v>60.866563384076521</v>
      </c>
    </row>
    <row r="58" spans="1:5">
      <c r="A58" s="9"/>
      <c r="B58" s="9"/>
      <c r="C58" s="9"/>
      <c r="D58" s="9"/>
      <c r="E58" s="9"/>
    </row>
    <row r="59" spans="1:5">
      <c r="A59" s="454" t="s">
        <v>11</v>
      </c>
      <c r="B59" s="454"/>
      <c r="C59" s="454"/>
      <c r="D59" s="454"/>
      <c r="E59" s="454"/>
    </row>
    <row r="60" spans="1:5" ht="30">
      <c r="A60" s="240" t="s">
        <v>282</v>
      </c>
      <c r="B60" s="7">
        <f t="shared" ref="B60:E60" si="0">((B5/B44)^(1/39)-1)*100</f>
        <v>0</v>
      </c>
      <c r="C60" s="7">
        <f t="shared" si="0"/>
        <v>3.3295063000490455</v>
      </c>
      <c r="D60" s="7">
        <f t="shared" si="0"/>
        <v>-2.1664683456966705</v>
      </c>
      <c r="E60" s="7">
        <f t="shared" si="0"/>
        <v>-2.9998768900096895E-2</v>
      </c>
    </row>
    <row r="61" spans="1:5" ht="30">
      <c r="A61" s="240" t="s">
        <v>68</v>
      </c>
      <c r="B61" s="7">
        <f t="shared" ref="B61:E61" si="1">((B51/B44)^(1/7)-1)*100</f>
        <v>0</v>
      </c>
      <c r="C61" s="7">
        <f t="shared" si="1"/>
        <v>0.90630710467460851</v>
      </c>
      <c r="D61" s="7">
        <f t="shared" si="1"/>
        <v>2.2561592053590207</v>
      </c>
      <c r="E61" s="7">
        <f t="shared" si="1"/>
        <v>-0.97524587804312945</v>
      </c>
    </row>
    <row r="62" spans="1:5" ht="30">
      <c r="A62" s="240" t="s">
        <v>69</v>
      </c>
      <c r="B62" s="7">
        <f t="shared" ref="B62:E62" si="2">((B57/B51)^(1/6)-1)*100</f>
        <v>0</v>
      </c>
      <c r="C62" s="7">
        <f t="shared" si="2"/>
        <v>1.2539117505492303</v>
      </c>
      <c r="D62" s="7">
        <f t="shared" si="2"/>
        <v>1.8093824128289304</v>
      </c>
      <c r="E62" s="7">
        <f t="shared" si="2"/>
        <v>-1.0019462578024774</v>
      </c>
    </row>
    <row r="63" spans="1:5" ht="30">
      <c r="A63" s="240" t="s">
        <v>15</v>
      </c>
      <c r="B63" s="7">
        <f t="shared" ref="B63:E63" si="3">((B57/B44)^(1/13)-1)*100</f>
        <v>0</v>
      </c>
      <c r="C63" s="7">
        <f t="shared" si="3"/>
        <v>1.0665914864369297</v>
      </c>
      <c r="D63" s="7">
        <f t="shared" si="3"/>
        <v>2.0497114240111136</v>
      </c>
      <c r="E63" s="7">
        <f t="shared" si="3"/>
        <v>-0.98757002495276636</v>
      </c>
    </row>
    <row r="65" spans="1:5">
      <c r="A65" s="229" t="s">
        <v>355</v>
      </c>
      <c r="B65" s="229"/>
      <c r="C65" s="229"/>
      <c r="D65" s="229"/>
      <c r="E65" s="229"/>
    </row>
  </sheetData>
  <mergeCells count="2">
    <mergeCell ref="A1:E1"/>
    <mergeCell ref="A59:E59"/>
  </mergeCells>
  <printOptions gridLines="1"/>
  <pageMargins left="0.7" right="0.7" top="0.75" bottom="0.75" header="0.3" footer="0.3"/>
  <pageSetup scale="63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5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6384" width="9.140625" style="239"/>
  </cols>
  <sheetData>
    <row r="1" spans="1:5" ht="30" customHeight="1">
      <c r="A1" s="454" t="s">
        <v>356</v>
      </c>
      <c r="B1" s="454"/>
      <c r="C1" s="454"/>
      <c r="D1" s="454"/>
      <c r="E1" s="454"/>
    </row>
    <row r="2" spans="1:5" ht="15" customHeight="1">
      <c r="A2" s="31"/>
      <c r="B2" s="31"/>
      <c r="C2" s="31"/>
      <c r="D2" s="31"/>
      <c r="E2" s="31"/>
    </row>
    <row r="3" spans="1:5" ht="75">
      <c r="A3" s="240"/>
      <c r="B3" s="240" t="s">
        <v>223</v>
      </c>
      <c r="C3" s="240" t="s">
        <v>20</v>
      </c>
      <c r="D3" s="240" t="s">
        <v>4</v>
      </c>
      <c r="E3" s="240" t="s">
        <v>17</v>
      </c>
    </row>
    <row r="4" spans="1:5">
      <c r="A4" s="9"/>
      <c r="B4" s="9"/>
      <c r="C4" s="9"/>
      <c r="D4" s="9"/>
      <c r="E4" s="9"/>
    </row>
    <row r="5" spans="1:5">
      <c r="A5" s="240">
        <v>1961</v>
      </c>
      <c r="B5" s="13">
        <f>'6B'!C5/'6B'!$C5*100</f>
        <v>100</v>
      </c>
      <c r="C5" s="13">
        <f>'6B'!D5/'6B'!$C5*100</f>
        <v>13.38423534695711</v>
      </c>
      <c r="D5" s="13">
        <f>'6B'!E5/'6B'!$C5*100</f>
        <v>16.505726476532676</v>
      </c>
      <c r="E5" s="13">
        <f>'6B'!F5/'6B'!$C5*100</f>
        <v>70.11003817651023</v>
      </c>
    </row>
    <row r="6" spans="1:5">
      <c r="A6" s="240">
        <v>1962</v>
      </c>
      <c r="B6" s="13">
        <f>'6B'!C6/'6B'!$C6*100</f>
        <v>100</v>
      </c>
      <c r="C6" s="13">
        <f>'6B'!D6/'6B'!$C6*100</f>
        <v>13.762486126526083</v>
      </c>
      <c r="D6" s="13">
        <f>'6B'!E6/'6B'!$C6*100</f>
        <v>16.60377358490566</v>
      </c>
      <c r="E6" s="13">
        <f>'6B'!F6/'6B'!$C6*100</f>
        <v>69.633740288568262</v>
      </c>
    </row>
    <row r="7" spans="1:5">
      <c r="A7" s="240">
        <v>1963</v>
      </c>
      <c r="B7" s="13">
        <f>'6B'!C7/'6B'!$C7*100</f>
        <v>100</v>
      </c>
      <c r="C7" s="13">
        <f>'6B'!D7/'6B'!$C7*100</f>
        <v>14.087176247631081</v>
      </c>
      <c r="D7" s="13">
        <f>'6B'!E7/'6B'!$C7*100</f>
        <v>16.234996841440303</v>
      </c>
      <c r="E7" s="13">
        <f>'6B'!F7/'6B'!$C7*100</f>
        <v>69.677826910928616</v>
      </c>
    </row>
    <row r="8" spans="1:5">
      <c r="A8" s="240">
        <v>1964</v>
      </c>
      <c r="B8" s="13">
        <f>'6B'!C8/'6B'!$C8*100</f>
        <v>100</v>
      </c>
      <c r="C8" s="13">
        <f>'6B'!D8/'6B'!$C8*100</f>
        <v>13.276397515527949</v>
      </c>
      <c r="D8" s="13">
        <f>'6B'!E8/'6B'!$C8*100</f>
        <v>16.071428571428569</v>
      </c>
      <c r="E8" s="13">
        <f>'6B'!F8/'6B'!$C8*100</f>
        <v>70.65217391304347</v>
      </c>
    </row>
    <row r="9" spans="1:5">
      <c r="A9" s="240">
        <v>1965</v>
      </c>
      <c r="B9" s="13">
        <f>'6B'!C9/'6B'!$C9*100</f>
        <v>100</v>
      </c>
      <c r="C9" s="13">
        <f>'6B'!D9/'6B'!$C9*100</f>
        <v>12.415050555279299</v>
      </c>
      <c r="D9" s="13">
        <f>'6B'!E9/'6B'!$C9*100</f>
        <v>15.498093817337978</v>
      </c>
      <c r="E9" s="13">
        <f>'6B'!F9/'6B'!$C9*100</f>
        <v>72.086855627382732</v>
      </c>
    </row>
    <row r="10" spans="1:5">
      <c r="A10" s="240">
        <v>1966</v>
      </c>
      <c r="B10" s="13">
        <f>'6B'!C10/'6B'!$C10*100</f>
        <v>100</v>
      </c>
      <c r="C10" s="13">
        <f>'6B'!D10/'6B'!$C10*100</f>
        <v>12.451009948748869</v>
      </c>
      <c r="D10" s="13">
        <f>'6B'!E10/'6B'!$C10*100</f>
        <v>15.420560747663551</v>
      </c>
      <c r="E10" s="13">
        <f>'6B'!F10/'6B'!$C10*100</f>
        <v>72.128429303587581</v>
      </c>
    </row>
    <row r="11" spans="1:5">
      <c r="A11" s="240">
        <v>1967</v>
      </c>
      <c r="B11" s="13">
        <f>'6B'!C11/'6B'!$C11*100</f>
        <v>100</v>
      </c>
      <c r="C11" s="13">
        <f>'6B'!D11/'6B'!$C11*100</f>
        <v>12.325378346915016</v>
      </c>
      <c r="D11" s="13">
        <f>'6B'!E11/'6B'!$C11*100</f>
        <v>15.235739231664727</v>
      </c>
      <c r="E11" s="13">
        <f>'6B'!F11/'6B'!$C11*100</f>
        <v>72.438882421420246</v>
      </c>
    </row>
    <row r="12" spans="1:5">
      <c r="A12" s="240">
        <v>1968</v>
      </c>
      <c r="B12" s="13">
        <f>'6B'!C12/'6B'!$C12*100</f>
        <v>100</v>
      </c>
      <c r="C12" s="13">
        <f>'6B'!D12/'6B'!$C12*100</f>
        <v>12.122557726465365</v>
      </c>
      <c r="D12" s="13">
        <f>'6B'!E12/'6B'!$C12*100</f>
        <v>15.526939017169925</v>
      </c>
      <c r="E12" s="13">
        <f>'6B'!F12/'6B'!$C12*100</f>
        <v>72.350503256364703</v>
      </c>
    </row>
    <row r="13" spans="1:5">
      <c r="A13" s="240">
        <v>1969</v>
      </c>
      <c r="B13" s="13">
        <f>'6B'!C13/'6B'!$C13*100</f>
        <v>100</v>
      </c>
      <c r="C13" s="13">
        <f>'6B'!D13/'6B'!$C13*100</f>
        <v>11.754756871035941</v>
      </c>
      <c r="D13" s="13">
        <f>'6B'!E13/'6B'!$C13*100</f>
        <v>16.617336152219874</v>
      </c>
      <c r="E13" s="13">
        <f>'6B'!F13/'6B'!$C13*100</f>
        <v>71.627906976744185</v>
      </c>
    </row>
    <row r="14" spans="1:5">
      <c r="A14" s="240">
        <v>1970</v>
      </c>
      <c r="B14" s="13">
        <f>'6B'!C14/'6B'!$C14*100</f>
        <v>100</v>
      </c>
      <c r="C14" s="13">
        <f>'6B'!D14/'6B'!$C14*100</f>
        <v>11.003070624360287</v>
      </c>
      <c r="D14" s="13">
        <f>'6B'!E14/'6B'!$C14*100</f>
        <v>16.530194472876154</v>
      </c>
      <c r="E14" s="13">
        <f>'6B'!F14/'6B'!$C14*100</f>
        <v>72.466734902763562</v>
      </c>
    </row>
    <row r="15" spans="1:5">
      <c r="A15" s="240">
        <v>1971</v>
      </c>
      <c r="B15" s="13">
        <f>'6B'!C15/'6B'!$C15*100</f>
        <v>100</v>
      </c>
      <c r="C15" s="13">
        <f>'6B'!D15/'6B'!$C15*100</f>
        <v>10.496298992840675</v>
      </c>
      <c r="D15" s="13">
        <f>'6B'!E15/'6B'!$C15*100</f>
        <v>16.308700400436841</v>
      </c>
      <c r="E15" s="13">
        <f>'6B'!F15/'6B'!$C15*100</f>
        <v>73.195000606722488</v>
      </c>
    </row>
    <row r="16" spans="1:5">
      <c r="A16" s="240">
        <v>1972</v>
      </c>
      <c r="B16" s="13">
        <f>'6B'!C16/'6B'!$C16*100</f>
        <v>100</v>
      </c>
      <c r="C16" s="13">
        <f>'6B'!D16/'6B'!$C16*100</f>
        <v>10.64935064935065</v>
      </c>
      <c r="D16" s="13">
        <f>'6B'!E16/'6B'!$C16*100</f>
        <v>17.556080283353008</v>
      </c>
      <c r="E16" s="13">
        <f>'6B'!F16/'6B'!$C16*100</f>
        <v>71.794569067296337</v>
      </c>
    </row>
    <row r="17" spans="1:5">
      <c r="A17" s="240">
        <v>1973</v>
      </c>
      <c r="B17" s="13">
        <f>'6B'!C17/'6B'!$C17*100</f>
        <v>100</v>
      </c>
      <c r="C17" s="13">
        <f>'6B'!D17/'6B'!$C17*100</f>
        <v>10.700570835495588</v>
      </c>
      <c r="D17" s="13">
        <f>'6B'!E17/'6B'!$C17*100</f>
        <v>20.197197716658017</v>
      </c>
      <c r="E17" s="13">
        <f>'6B'!F17/'6B'!$C17*100</f>
        <v>69.102231447846378</v>
      </c>
    </row>
    <row r="18" spans="1:5">
      <c r="A18" s="240">
        <v>1974</v>
      </c>
      <c r="B18" s="13">
        <f>'6B'!C18/'6B'!$C18*100</f>
        <v>100</v>
      </c>
      <c r="C18" s="13">
        <f>'6B'!D18/'6B'!$C18*100</f>
        <v>11.047556790325217</v>
      </c>
      <c r="D18" s="13">
        <f>'6B'!E18/'6B'!$C18*100</f>
        <v>22.152312469357742</v>
      </c>
      <c r="E18" s="13">
        <f>'6B'!F18/'6B'!$C18*100</f>
        <v>66.800130740317044</v>
      </c>
    </row>
    <row r="19" spans="1:5">
      <c r="A19" s="240">
        <v>1975</v>
      </c>
      <c r="B19" s="13">
        <f>'6B'!C19/'6B'!$C19*100</f>
        <v>100</v>
      </c>
      <c r="C19" s="13">
        <f>'6B'!D19/'6B'!$C19*100</f>
        <v>10.596791734638391</v>
      </c>
      <c r="D19" s="13">
        <f>'6B'!E19/'6B'!$C19*100</f>
        <v>22.131593257205004</v>
      </c>
      <c r="E19" s="13">
        <f>'6B'!F19/'6B'!$C19*100</f>
        <v>67.271615008156601</v>
      </c>
    </row>
    <row r="20" spans="1:5">
      <c r="A20" s="240">
        <v>1976</v>
      </c>
      <c r="B20" s="13">
        <f>'6B'!C20/'6B'!$C20*100</f>
        <v>100</v>
      </c>
      <c r="C20" s="13">
        <f>'6B'!D20/'6B'!$C20*100</f>
        <v>9.7205492652372918</v>
      </c>
      <c r="D20" s="13">
        <f>'6B'!E20/'6B'!$C20*100</f>
        <v>20.428812334377255</v>
      </c>
      <c r="E20" s="13">
        <f>'6B'!F20/'6B'!$C20*100</f>
        <v>69.850638400385449</v>
      </c>
    </row>
    <row r="21" spans="1:5">
      <c r="A21" s="240">
        <v>1977</v>
      </c>
      <c r="B21" s="13">
        <f>'6B'!C21/'6B'!$C21*100</f>
        <v>100</v>
      </c>
      <c r="C21" s="13">
        <f>'6B'!D21/'6B'!$C21*100</f>
        <v>9.56768249468462</v>
      </c>
      <c r="D21" s="13">
        <f>'6B'!E21/'6B'!$C21*100</f>
        <v>19.337076814043506</v>
      </c>
      <c r="E21" s="13">
        <f>'6B'!F21/'6B'!$C21*100</f>
        <v>71.095240691271883</v>
      </c>
    </row>
    <row r="22" spans="1:5">
      <c r="A22" s="240">
        <v>1978</v>
      </c>
      <c r="B22" s="13">
        <f>'6B'!C22/'6B'!$C22*100</f>
        <v>100</v>
      </c>
      <c r="C22" s="13">
        <f>'6B'!D22/'6B'!$C22*100</f>
        <v>9.4561917991459588</v>
      </c>
      <c r="D22" s="13">
        <f>'6B'!E22/'6B'!$C22*100</f>
        <v>19.586355919123321</v>
      </c>
      <c r="E22" s="13">
        <f>'6B'!F22/'6B'!$C22*100</f>
        <v>70.95745228173071</v>
      </c>
    </row>
    <row r="23" spans="1:5">
      <c r="A23" s="240">
        <v>1979</v>
      </c>
      <c r="B23" s="13">
        <f>'6B'!C23/'6B'!$C23*100</f>
        <v>100</v>
      </c>
      <c r="C23" s="13">
        <f>'6B'!D23/'6B'!$C23*100</f>
        <v>9.5107176141658893</v>
      </c>
      <c r="D23" s="13">
        <f>'6B'!E23/'6B'!$C23*100</f>
        <v>19.506057781919854</v>
      </c>
      <c r="E23" s="13">
        <f>'6B'!F23/'6B'!$C23*100</f>
        <v>70.983224603914252</v>
      </c>
    </row>
    <row r="24" spans="1:5">
      <c r="A24" s="240">
        <v>1980</v>
      </c>
      <c r="B24" s="13">
        <f>'6B'!C24/'6B'!$C24*100</f>
        <v>100</v>
      </c>
      <c r="C24" s="13">
        <f>'6B'!D24/'6B'!$C24*100</f>
        <v>9.3542813517097301</v>
      </c>
      <c r="D24" s="13">
        <f>'6B'!E24/'6B'!$C24*100</f>
        <v>19.275123558484349</v>
      </c>
      <c r="E24" s="13">
        <f>'6B'!F24/'6B'!$C24*100</f>
        <v>71.370595089805931</v>
      </c>
    </row>
    <row r="25" spans="1:5">
      <c r="A25" s="240">
        <v>1981</v>
      </c>
      <c r="B25" s="13">
        <f>'6B'!C25/'6B'!$C25*100</f>
        <v>100</v>
      </c>
      <c r="C25" s="13">
        <f>'6B'!D25/'6B'!$C25*100</f>
        <v>8.9031292694034221</v>
      </c>
      <c r="D25" s="13">
        <f>'6B'!E25/'6B'!$C25*100</f>
        <v>17.37037277991022</v>
      </c>
      <c r="E25" s="13">
        <f>'6B'!F25/'6B'!$C25*100</f>
        <v>73.726497950686365</v>
      </c>
    </row>
    <row r="26" spans="1:5">
      <c r="A26" s="240">
        <v>1982</v>
      </c>
      <c r="B26" s="13">
        <f>'6B'!C26/'6B'!$C26*100</f>
        <v>100</v>
      </c>
      <c r="C26" s="13">
        <f>'6B'!D26/'6B'!$C26*100</f>
        <v>7.7779711153645374</v>
      </c>
      <c r="D26" s="13">
        <f>'6B'!E26/'6B'!$C26*100</f>
        <v>16.327359201902443</v>
      </c>
      <c r="E26" s="13">
        <f>'6B'!F26/'6B'!$C26*100</f>
        <v>75.894669682733024</v>
      </c>
    </row>
    <row r="27" spans="1:5">
      <c r="A27" s="240">
        <v>1983</v>
      </c>
      <c r="B27" s="13">
        <f>'6B'!C27/'6B'!$C27*100</f>
        <v>100</v>
      </c>
      <c r="C27" s="13">
        <f>'6B'!D27/'6B'!$C27*100</f>
        <v>7.6975638740344632</v>
      </c>
      <c r="D27" s="13">
        <f>'6B'!E27/'6B'!$C27*100</f>
        <v>16.443850267379677</v>
      </c>
      <c r="E27" s="13">
        <f>'6B'!F27/'6B'!$C27*100</f>
        <v>75.858585858585855</v>
      </c>
    </row>
    <row r="28" spans="1:5">
      <c r="A28" s="240">
        <v>1984</v>
      </c>
      <c r="B28" s="13">
        <f>'6B'!C28/'6B'!$C28*100</f>
        <v>100</v>
      </c>
      <c r="C28" s="13">
        <f>'6B'!D28/'6B'!$C28*100</f>
        <v>7.786694580134915</v>
      </c>
      <c r="D28" s="13">
        <f>'6B'!E28/'6B'!$C28*100</f>
        <v>16.605605954873226</v>
      </c>
      <c r="E28" s="13">
        <f>'6B'!F28/'6B'!$C28*100</f>
        <v>75.607699464991867</v>
      </c>
    </row>
    <row r="29" spans="1:5">
      <c r="A29" s="240">
        <v>1985</v>
      </c>
      <c r="B29" s="13">
        <f>'6B'!C29/'6B'!$C29*100</f>
        <v>100</v>
      </c>
      <c r="C29" s="13">
        <f>'6B'!D29/'6B'!$C29*100</f>
        <v>7.628904478647069</v>
      </c>
      <c r="D29" s="13">
        <f>'6B'!E29/'6B'!$C29*100</f>
        <v>15.524553869134946</v>
      </c>
      <c r="E29" s="13">
        <f>'6B'!F29/'6B'!$C29*100</f>
        <v>76.846541652217979</v>
      </c>
    </row>
    <row r="30" spans="1:5">
      <c r="A30" s="240">
        <v>1986</v>
      </c>
      <c r="B30" s="13">
        <f>'6B'!C30/'6B'!$C30*100</f>
        <v>100</v>
      </c>
      <c r="C30" s="13">
        <f>'6B'!D30/'6B'!$C30*100</f>
        <v>7.5782930910829549</v>
      </c>
      <c r="D30" s="13">
        <f>'6B'!E30/'6B'!$C30*100</f>
        <v>15.597524371131833</v>
      </c>
      <c r="E30" s="13">
        <f>'6B'!F30/'6B'!$C30*100</f>
        <v>76.824182537785219</v>
      </c>
    </row>
    <row r="31" spans="1:5">
      <c r="A31" s="240">
        <v>1987</v>
      </c>
      <c r="B31" s="13">
        <f>'6B'!C31/'6B'!$C31*100</f>
        <v>100</v>
      </c>
      <c r="C31" s="13">
        <f>'6B'!D31/'6B'!$C31*100</f>
        <v>7.6184329417839178</v>
      </c>
      <c r="D31" s="13">
        <f>'6B'!E31/'6B'!$C31*100</f>
        <v>16.873628501355363</v>
      </c>
      <c r="E31" s="13">
        <f>'6B'!F31/'6B'!$C31*100</f>
        <v>75.507938556860722</v>
      </c>
    </row>
    <row r="32" spans="1:5">
      <c r="A32" s="240">
        <v>1988</v>
      </c>
      <c r="B32" s="13">
        <f>'6B'!C32/'6B'!$C32*100</f>
        <v>100</v>
      </c>
      <c r="C32" s="13">
        <f>'6B'!D32/'6B'!$C32*100</f>
        <v>7.1570386317426138</v>
      </c>
      <c r="D32" s="13">
        <f>'6B'!E32/'6B'!$C32*100</f>
        <v>18.244229159191487</v>
      </c>
      <c r="E32" s="13">
        <f>'6B'!F32/'6B'!$C32*100</f>
        <v>74.598732209065901</v>
      </c>
    </row>
    <row r="33" spans="1:5">
      <c r="A33" s="240">
        <v>1989</v>
      </c>
      <c r="B33" s="13">
        <f>'6B'!C33/'6B'!$C33*100</f>
        <v>100</v>
      </c>
      <c r="C33" s="13">
        <f>'6B'!D33/'6B'!$C33*100</f>
        <v>6.2670186451599497</v>
      </c>
      <c r="D33" s="13">
        <f>'6B'!E33/'6B'!$C33*100</f>
        <v>17.414620964892226</v>
      </c>
      <c r="E33" s="13">
        <f>'6B'!F33/'6B'!$C33*100</f>
        <v>76.318360389947827</v>
      </c>
    </row>
    <row r="34" spans="1:5">
      <c r="A34" s="240">
        <v>1990</v>
      </c>
      <c r="B34" s="13">
        <f>'6B'!C34/'6B'!$C34*100</f>
        <v>100</v>
      </c>
      <c r="C34" s="13">
        <f>'6B'!D34/'6B'!$C34*100</f>
        <v>5.8777726755445521</v>
      </c>
      <c r="D34" s="13">
        <f>'6B'!E34/'6B'!$C34*100</f>
        <v>16.5372252281031</v>
      </c>
      <c r="E34" s="13">
        <f>'6B'!F34/'6B'!$C34*100</f>
        <v>77.585002096352355</v>
      </c>
    </row>
    <row r="35" spans="1:5">
      <c r="A35" s="240">
        <v>1991</v>
      </c>
      <c r="B35" s="13">
        <f>'6B'!C35/'6B'!$C35*100</f>
        <v>100</v>
      </c>
      <c r="C35" s="13">
        <f>'6B'!D35/'6B'!$C35*100</f>
        <v>5.4632129598380024</v>
      </c>
      <c r="D35" s="13">
        <f>'6B'!E35/'6B'!$C35*100</f>
        <v>16.128079649004388</v>
      </c>
      <c r="E35" s="13">
        <f>'6B'!F35/'6B'!$C35*100</f>
        <v>78.408707391157606</v>
      </c>
    </row>
    <row r="36" spans="1:5">
      <c r="A36" s="240">
        <v>1992</v>
      </c>
      <c r="B36" s="13">
        <f>'6B'!C36/'6B'!$C36*100</f>
        <v>100</v>
      </c>
      <c r="C36" s="13">
        <f>'6B'!D36/'6B'!$C36*100</f>
        <v>5.4671265451273587</v>
      </c>
      <c r="D36" s="13">
        <f>'6B'!E36/'6B'!$C36*100</f>
        <v>15.61087426894321</v>
      </c>
      <c r="E36" s="13">
        <f>'6B'!F36/'6B'!$C36*100</f>
        <v>78.921999185929437</v>
      </c>
    </row>
    <row r="37" spans="1:5">
      <c r="A37" s="240">
        <v>1993</v>
      </c>
      <c r="B37" s="13">
        <f>'6B'!C37/'6B'!$C37*100</f>
        <v>100</v>
      </c>
      <c r="C37" s="13">
        <f>'6B'!D37/'6B'!$C37*100</f>
        <v>5.6004111965390955</v>
      </c>
      <c r="D37" s="13">
        <f>'6B'!E37/'6B'!$C37*100</f>
        <v>15.357762405499752</v>
      </c>
      <c r="E37" s="13">
        <f>'6B'!F37/'6B'!$C37*100</f>
        <v>79.041826397961145</v>
      </c>
    </row>
    <row r="38" spans="1:5">
      <c r="A38" s="240">
        <v>1994</v>
      </c>
      <c r="B38" s="13">
        <f>'6B'!C38/'6B'!$C38*100</f>
        <v>100</v>
      </c>
      <c r="C38" s="13">
        <f>'6B'!D38/'6B'!$C38*100</f>
        <v>5.5221811460258783</v>
      </c>
      <c r="D38" s="13">
        <f>'6B'!E38/'6B'!$C38*100</f>
        <v>16.264073264997482</v>
      </c>
      <c r="E38" s="13">
        <f>'6B'!F38/'6B'!$C38*100</f>
        <v>78.213745588976664</v>
      </c>
    </row>
    <row r="39" spans="1:5">
      <c r="A39" s="240">
        <v>1995</v>
      </c>
      <c r="B39" s="13">
        <f>'6B'!C39/'6B'!$C39*100</f>
        <v>100</v>
      </c>
      <c r="C39" s="13">
        <f>'6B'!D39/'6B'!$C39*100</f>
        <v>5.4305179055500075</v>
      </c>
      <c r="D39" s="13">
        <f>'6B'!E39/'6B'!$C39*100</f>
        <v>16.564417177914109</v>
      </c>
      <c r="E39" s="13">
        <f>'6B'!F39/'6B'!$C39*100</f>
        <v>78.005064916535886</v>
      </c>
    </row>
    <row r="40" spans="1:5">
      <c r="A40" s="240">
        <v>1996</v>
      </c>
      <c r="B40" s="13">
        <f>'6B'!C40/'6B'!$C40*100</f>
        <v>100</v>
      </c>
      <c r="C40" s="13">
        <f>'6B'!D40/'6B'!$C40*100</f>
        <v>5.3757662272231093</v>
      </c>
      <c r="D40" s="13">
        <f>'6B'!E40/'6B'!$C40*100</f>
        <v>16.103787051809558</v>
      </c>
      <c r="E40" s="13">
        <f>'6B'!F40/'6B'!$C40*100</f>
        <v>78.520446720967342</v>
      </c>
    </row>
    <row r="41" spans="1:5">
      <c r="A41" s="240">
        <v>1997</v>
      </c>
      <c r="B41" s="13">
        <f>'6B'!C41/'6B'!$C41*100</f>
        <v>100</v>
      </c>
      <c r="C41" s="13">
        <f>'6B'!D41/'6B'!$C41*100</f>
        <v>5.4326931113451344</v>
      </c>
      <c r="D41" s="13">
        <f>'6B'!E41/'6B'!$C41*100</f>
        <v>17.797502632766662</v>
      </c>
      <c r="E41" s="13">
        <f>'6B'!F41/'6B'!$C41*100</f>
        <v>76.769804255888204</v>
      </c>
    </row>
    <row r="42" spans="1:5">
      <c r="A42" s="240">
        <v>1998</v>
      </c>
      <c r="B42" s="13">
        <f>'6B'!C42/'6B'!$C42*100</f>
        <v>100</v>
      </c>
      <c r="C42" s="13">
        <f>'6B'!D42/'6B'!$C42*100</f>
        <v>5.5042869297728902</v>
      </c>
      <c r="D42" s="13">
        <f>'6B'!E42/'6B'!$C42*100</f>
        <v>18.348713921068132</v>
      </c>
      <c r="E42" s="13">
        <f>'6B'!F42/'6B'!$C42*100</f>
        <v>76.146999149158972</v>
      </c>
    </row>
    <row r="43" spans="1:5">
      <c r="A43" s="240">
        <v>1999</v>
      </c>
      <c r="B43" s="13">
        <f>'6B'!C43/'6B'!$C43*100</f>
        <v>100</v>
      </c>
      <c r="C43" s="13">
        <f>'6B'!D43/'6B'!$C43*100</f>
        <v>5.4578115032065266</v>
      </c>
      <c r="D43" s="13">
        <f>'6B'!E43/'6B'!$C43*100</f>
        <v>18.931941040190711</v>
      </c>
      <c r="E43" s="13">
        <f>'6B'!F43/'6B'!$C43*100</f>
        <v>75.610247456602764</v>
      </c>
    </row>
    <row r="44" spans="1:5">
      <c r="A44" s="240">
        <v>2000</v>
      </c>
      <c r="B44" s="13">
        <f>'6B'!C44/'6B'!$C44*100</f>
        <v>100</v>
      </c>
      <c r="C44" s="13">
        <f>'6B'!D44/'6B'!$C44*100</f>
        <v>5.1895358539338705</v>
      </c>
      <c r="D44" s="13">
        <f>'6B'!E44/'6B'!$C44*100</f>
        <v>19.162999198337776</v>
      </c>
      <c r="E44" s="13">
        <f>'6B'!F44/'6B'!$C44*100</f>
        <v>75.647464947728352</v>
      </c>
    </row>
    <row r="45" spans="1:5">
      <c r="A45" s="240">
        <v>2001</v>
      </c>
      <c r="B45" s="13">
        <f>'6B'!C45/'6B'!$C45*100</f>
        <v>100</v>
      </c>
      <c r="C45" s="13">
        <f>'6B'!D45/'6B'!$C45*100</f>
        <v>5.0345686293784198</v>
      </c>
      <c r="D45" s="13">
        <f>'6B'!E45/'6B'!$C45*100</f>
        <v>18.937383269438712</v>
      </c>
      <c r="E45" s="13">
        <f>'6B'!F45/'6B'!$C45*100</f>
        <v>76.028048101182875</v>
      </c>
    </row>
    <row r="46" spans="1:5">
      <c r="A46" s="240">
        <v>2002</v>
      </c>
      <c r="B46" s="13">
        <f>'6B'!C46/'6B'!$C46*100</f>
        <v>100</v>
      </c>
      <c r="C46" s="13">
        <f>'6B'!D46/'6B'!$C46*100</f>
        <v>5.3269385038147101</v>
      </c>
      <c r="D46" s="13">
        <f>'6B'!E46/'6B'!$C46*100</f>
        <v>19.16912731058731</v>
      </c>
      <c r="E46" s="13">
        <f>'6B'!F46/'6B'!$C46*100</f>
        <v>75.50393418559797</v>
      </c>
    </row>
    <row r="47" spans="1:5">
      <c r="A47" s="240">
        <v>2003</v>
      </c>
      <c r="B47" s="13">
        <f>'6B'!C47/'6B'!$C47*100</f>
        <v>100</v>
      </c>
      <c r="C47" s="13">
        <f>'6B'!D47/'6B'!$C47*100</f>
        <v>5.7177107361461763</v>
      </c>
      <c r="D47" s="13">
        <f>'6B'!E47/'6B'!$C47*100</f>
        <v>18.97124797936684</v>
      </c>
      <c r="E47" s="13">
        <f>'6B'!F47/'6B'!$C47*100</f>
        <v>75.311041284486976</v>
      </c>
    </row>
    <row r="48" spans="1:5">
      <c r="A48" s="240">
        <v>2004</v>
      </c>
      <c r="B48" s="13">
        <f>'6B'!C48/'6B'!$C48*100</f>
        <v>100</v>
      </c>
      <c r="C48" s="13">
        <f>'6B'!D48/'6B'!$C48*100</f>
        <v>5.7311773811522038</v>
      </c>
      <c r="D48" s="13">
        <f>'6B'!E48/'6B'!$C48*100</f>
        <v>20.048863276077512</v>
      </c>
      <c r="E48" s="13">
        <f>'6B'!F48/'6B'!$C48*100</f>
        <v>74.219959342770295</v>
      </c>
    </row>
    <row r="49" spans="1:5">
      <c r="A49" s="240">
        <v>2005</v>
      </c>
      <c r="B49" s="13">
        <f>'6B'!C49/'6B'!$C49*100</f>
        <v>100</v>
      </c>
      <c r="C49" s="13">
        <f>'6B'!D49/'6B'!$C49*100</f>
        <v>5.8847231282858123</v>
      </c>
      <c r="D49" s="13">
        <f>'6B'!E49/'6B'!$C49*100</f>
        <v>21.568364096857128</v>
      </c>
      <c r="E49" s="13">
        <f>'6B'!F49/'6B'!$C49*100</f>
        <v>72.546912774857049</v>
      </c>
    </row>
    <row r="50" spans="1:5">
      <c r="A50" s="240">
        <v>2006</v>
      </c>
      <c r="B50" s="13">
        <f>'6B'!C50/'6B'!$C50*100</f>
        <v>100</v>
      </c>
      <c r="C50" s="13">
        <f>'6B'!D50/'6B'!$C50*100</f>
        <v>6.0814529444138685</v>
      </c>
      <c r="D50" s="13">
        <f>'6B'!E50/'6B'!$C50*100</f>
        <v>22.951883009670571</v>
      </c>
      <c r="E50" s="13">
        <f>'6B'!F50/'6B'!$C50*100</f>
        <v>70.96666404591555</v>
      </c>
    </row>
    <row r="51" spans="1:5">
      <c r="A51" s="240">
        <v>2007</v>
      </c>
      <c r="B51" s="13">
        <f>'6B'!C51/'6B'!$C51*100</f>
        <v>100</v>
      </c>
      <c r="C51" s="13">
        <f>'6B'!D51/'6B'!$C51*100</f>
        <v>6.041742213626657</v>
      </c>
      <c r="D51" s="13">
        <f>'6B'!E51/'6B'!$C51*100</f>
        <v>23.747935049760265</v>
      </c>
      <c r="E51" s="13">
        <f>'6B'!F51/'6B'!$C51*100</f>
        <v>70.21032273661308</v>
      </c>
    </row>
    <row r="52" spans="1:5">
      <c r="A52" s="240">
        <v>2008</v>
      </c>
      <c r="B52" s="13">
        <f>'6B'!C52/'6B'!$C52*100</f>
        <v>100</v>
      </c>
      <c r="C52" s="13">
        <f>'6B'!D52/'6B'!$C52*100</f>
        <v>6.1077487846016476</v>
      </c>
      <c r="D52" s="13">
        <f>'6B'!E52/'6B'!$C52*100</f>
        <v>24.373449746998709</v>
      </c>
      <c r="E52" s="13">
        <f>'6B'!F52/'6B'!$C52*100</f>
        <v>69.518801468399644</v>
      </c>
    </row>
    <row r="53" spans="1:5">
      <c r="A53" s="240">
        <v>2009</v>
      </c>
      <c r="B53" s="13">
        <f>'6B'!C53/'6B'!$C53*100</f>
        <v>100</v>
      </c>
      <c r="C53" s="13">
        <f>'6B'!D53/'6B'!$C53*100</f>
        <v>6.4038886058753599</v>
      </c>
      <c r="D53" s="13">
        <f>'6B'!E53/'6B'!$C53*100</f>
        <v>24.106384785192731</v>
      </c>
      <c r="E53" s="13">
        <f>'6B'!F53/'6B'!$C53*100</f>
        <v>69.489726608931903</v>
      </c>
    </row>
    <row r="54" spans="1:5">
      <c r="A54" s="240">
        <v>2010</v>
      </c>
      <c r="B54" s="13">
        <f>'6B'!C54/'6B'!$C54*100</f>
        <v>100</v>
      </c>
      <c r="C54" s="13">
        <f>'6B'!D54/'6B'!$C54*100</f>
        <v>6.4685892292443494</v>
      </c>
      <c r="D54" s="13">
        <f>'6B'!E54/'6B'!$C54*100</f>
        <v>24.694388068155003</v>
      </c>
      <c r="E54" s="13">
        <f>'6B'!F54/'6B'!$C54*100</f>
        <v>68.837022702600663</v>
      </c>
    </row>
    <row r="55" spans="1:5">
      <c r="A55" s="240">
        <v>2011</v>
      </c>
      <c r="B55" s="13">
        <f>'6B'!C55/'6B'!$C55*100</f>
        <v>100</v>
      </c>
      <c r="C55" s="13">
        <f>'6B'!D55/'6B'!$C55*100</f>
        <v>6.8397563922380851</v>
      </c>
      <c r="D55" s="13">
        <f>'6B'!E55/'6B'!$C55*100</f>
        <v>25.171980176048525</v>
      </c>
      <c r="E55" s="13">
        <f>'6B'!F55/'6B'!$C55*100</f>
        <v>67.988263431713392</v>
      </c>
    </row>
    <row r="56" spans="1:5">
      <c r="A56" s="240">
        <v>2012</v>
      </c>
      <c r="B56" s="13">
        <f>'6B'!C56/'6B'!$C56*100</f>
        <v>100</v>
      </c>
      <c r="C56" s="13">
        <f>'6B'!D56/'6B'!$C56*100</f>
        <v>7.2836118732851087</v>
      </c>
      <c r="D56" s="13">
        <f>'6B'!E56/'6B'!$C56*100</f>
        <v>25.804440009977554</v>
      </c>
      <c r="E56" s="13">
        <f>'6B'!F56/'6B'!$C56*100</f>
        <v>66.911948116737335</v>
      </c>
    </row>
    <row r="57" spans="1:5">
      <c r="A57" s="240">
        <v>2013</v>
      </c>
      <c r="B57" s="13">
        <f>'6B'!C57/'6B'!$C57*100</f>
        <v>100</v>
      </c>
      <c r="C57" s="13">
        <f>'6B'!D57/'6B'!$C57*100</f>
        <v>7.3611534165905175</v>
      </c>
      <c r="D57" s="13">
        <f>'6B'!E57/'6B'!$C57*100</f>
        <v>25.291907807899278</v>
      </c>
      <c r="E57" s="13">
        <f>'6B'!F57/'6B'!$C57*100</f>
        <v>67.346938775510196</v>
      </c>
    </row>
    <row r="58" spans="1:5">
      <c r="A58" s="9"/>
      <c r="B58" s="9"/>
      <c r="C58" s="9"/>
      <c r="D58" s="9"/>
      <c r="E58" s="9"/>
    </row>
    <row r="59" spans="1:5">
      <c r="A59" s="454" t="s">
        <v>11</v>
      </c>
      <c r="B59" s="454"/>
      <c r="C59" s="454"/>
      <c r="D59" s="454"/>
      <c r="E59" s="454"/>
    </row>
    <row r="60" spans="1:5" ht="30">
      <c r="A60" s="240" t="s">
        <v>282</v>
      </c>
      <c r="B60" s="7">
        <f t="shared" ref="B60:E60" si="0">((B5/B44)^(1/39)-1)*100</f>
        <v>0</v>
      </c>
      <c r="C60" s="7">
        <f t="shared" si="0"/>
        <v>2.4590644052278288</v>
      </c>
      <c r="D60" s="7">
        <f t="shared" si="0"/>
        <v>-0.38202205959183555</v>
      </c>
      <c r="E60" s="7">
        <f t="shared" si="0"/>
        <v>-0.19472797309683099</v>
      </c>
    </row>
    <row r="61" spans="1:5" ht="30">
      <c r="A61" s="240" t="s">
        <v>68</v>
      </c>
      <c r="B61" s="7">
        <f t="shared" ref="B61:E61" si="1">((B51/B44)^(1/7)-1)*100</f>
        <v>0</v>
      </c>
      <c r="C61" s="7">
        <f t="shared" si="1"/>
        <v>2.1958786711601119</v>
      </c>
      <c r="D61" s="7">
        <f t="shared" si="1"/>
        <v>3.1119286461410933</v>
      </c>
      <c r="E61" s="7">
        <f t="shared" si="1"/>
        <v>-1.0598942801106515</v>
      </c>
    </row>
    <row r="62" spans="1:5" ht="30">
      <c r="A62" s="240" t="s">
        <v>69</v>
      </c>
      <c r="B62" s="7">
        <f t="shared" ref="B62:E62" si="2">((B57/B51)^(1/6)-1)*100</f>
        <v>0</v>
      </c>
      <c r="C62" s="7">
        <f t="shared" si="2"/>
        <v>3.3468585094609038</v>
      </c>
      <c r="D62" s="7">
        <f t="shared" si="2"/>
        <v>1.0553451218952903</v>
      </c>
      <c r="E62" s="7">
        <f t="shared" si="2"/>
        <v>-0.69156259696568911</v>
      </c>
    </row>
    <row r="63" spans="1:5" ht="30">
      <c r="A63" s="240" t="s">
        <v>15</v>
      </c>
      <c r="B63" s="7">
        <f t="shared" ref="B63:E63" si="3">((B57/B44)^(1/13)-1)*100</f>
        <v>0</v>
      </c>
      <c r="C63" s="7">
        <f t="shared" si="3"/>
        <v>2.7254985981567614</v>
      </c>
      <c r="D63" s="7">
        <f t="shared" si="3"/>
        <v>2.1575864266658362</v>
      </c>
      <c r="E63" s="7">
        <f t="shared" si="3"/>
        <v>-0.89006510496555391</v>
      </c>
    </row>
    <row r="64" spans="1:5">
      <c r="A64" s="244"/>
      <c r="B64" s="244"/>
      <c r="C64" s="244"/>
      <c r="D64" s="244"/>
      <c r="E64" s="244"/>
    </row>
    <row r="65" spans="1:5">
      <c r="A65" s="229" t="s">
        <v>354</v>
      </c>
      <c r="B65" s="229"/>
      <c r="C65" s="229"/>
      <c r="D65" s="229"/>
      <c r="E65" s="229"/>
    </row>
  </sheetData>
  <mergeCells count="2">
    <mergeCell ref="A1:E1"/>
    <mergeCell ref="A59:E59"/>
  </mergeCells>
  <printOptions gridLines="1"/>
  <pageMargins left="0.7" right="0.7" top="0.75" bottom="0.75" header="0.3" footer="0.3"/>
  <pageSetup scale="63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" width="9.140625" style="51"/>
    <col min="2" max="2" width="15.140625" style="51" customWidth="1"/>
    <col min="3" max="3" width="9.140625" style="165"/>
    <col min="4" max="16384" width="9.140625" style="51"/>
  </cols>
  <sheetData>
    <row r="1" spans="1:20" ht="30" customHeight="1">
      <c r="A1" s="454" t="s">
        <v>224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61" t="s">
        <v>226</v>
      </c>
      <c r="C2" s="461"/>
      <c r="D2" s="461"/>
      <c r="E2" s="461"/>
      <c r="F2" s="461"/>
      <c r="G2" s="461" t="s">
        <v>227</v>
      </c>
      <c r="H2" s="461"/>
      <c r="I2" s="461"/>
      <c r="J2" s="461"/>
      <c r="K2" s="461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v>1710.8</v>
      </c>
      <c r="C5" s="129" t="str">
        <f t="shared" ref="C5:C36" si="0">M5</f>
        <v>x</v>
      </c>
      <c r="D5" s="129">
        <v>12.2</v>
      </c>
      <c r="E5" s="129">
        <v>7.3</v>
      </c>
      <c r="F5" s="129" t="s">
        <v>9</v>
      </c>
      <c r="G5" s="129">
        <v>11358.2</v>
      </c>
      <c r="H5" s="129" t="str">
        <f>K5</f>
        <v>x</v>
      </c>
      <c r="I5" s="129">
        <v>99.3</v>
      </c>
      <c r="J5" s="129">
        <v>45.2</v>
      </c>
      <c r="K5" s="129" t="s">
        <v>9</v>
      </c>
      <c r="L5" s="129">
        <v>7095.5</v>
      </c>
      <c r="M5" s="129" t="s">
        <v>9</v>
      </c>
      <c r="N5" s="129">
        <v>72.400000000000006</v>
      </c>
      <c r="O5" s="129">
        <v>41.1</v>
      </c>
      <c r="P5" s="129" t="s">
        <v>9</v>
      </c>
      <c r="Q5" s="249"/>
      <c r="R5" s="249"/>
      <c r="S5" s="249"/>
      <c r="T5" s="249"/>
    </row>
    <row r="6" spans="1:20">
      <c r="A6" s="248">
        <v>1962</v>
      </c>
      <c r="B6" s="129">
        <v>1800.2</v>
      </c>
      <c r="C6" s="129" t="str">
        <f t="shared" si="0"/>
        <v>x</v>
      </c>
      <c r="D6" s="129">
        <v>12.4</v>
      </c>
      <c r="E6" s="129">
        <v>6.1</v>
      </c>
      <c r="F6" s="129" t="s">
        <v>9</v>
      </c>
      <c r="G6" s="129">
        <v>11962.2</v>
      </c>
      <c r="H6" s="129" t="str">
        <f t="shared" ref="H6:H57" si="1">K6</f>
        <v>x</v>
      </c>
      <c r="I6" s="129">
        <v>99.2</v>
      </c>
      <c r="J6" s="129">
        <v>37.700000000000003</v>
      </c>
      <c r="K6" s="129" t="s">
        <v>9</v>
      </c>
      <c r="L6" s="129">
        <v>7404.4</v>
      </c>
      <c r="M6" s="129" t="s">
        <v>9</v>
      </c>
      <c r="N6" s="129">
        <v>72.099999999999994</v>
      </c>
      <c r="O6" s="129">
        <v>34.200000000000003</v>
      </c>
      <c r="P6" s="129" t="s">
        <v>9</v>
      </c>
      <c r="Q6" s="249"/>
      <c r="R6" s="249"/>
      <c r="S6" s="249"/>
      <c r="T6" s="249"/>
    </row>
    <row r="7" spans="1:20">
      <c r="A7" s="248">
        <v>1963</v>
      </c>
      <c r="B7" s="129">
        <v>1897.6</v>
      </c>
      <c r="C7" s="129" t="str">
        <f t="shared" si="0"/>
        <v>x</v>
      </c>
      <c r="D7" s="129">
        <v>10.4</v>
      </c>
      <c r="E7" s="129">
        <v>8.5</v>
      </c>
      <c r="F7" s="129" t="s">
        <v>9</v>
      </c>
      <c r="G7" s="129">
        <v>12124.6</v>
      </c>
      <c r="H7" s="129" t="str">
        <f t="shared" si="1"/>
        <v>x</v>
      </c>
      <c r="I7" s="129">
        <v>75.5</v>
      </c>
      <c r="J7" s="129">
        <v>51.5</v>
      </c>
      <c r="K7" s="129" t="s">
        <v>9</v>
      </c>
      <c r="L7" s="129">
        <v>7588.3</v>
      </c>
      <c r="M7" s="129" t="s">
        <v>9</v>
      </c>
      <c r="N7" s="129">
        <v>58.5</v>
      </c>
      <c r="O7" s="129">
        <v>46.4</v>
      </c>
      <c r="P7" s="129" t="s">
        <v>9</v>
      </c>
      <c r="Q7" s="249"/>
      <c r="R7" s="249"/>
      <c r="S7" s="249"/>
      <c r="T7" s="249"/>
    </row>
    <row r="8" spans="1:20">
      <c r="A8" s="248">
        <v>1964</v>
      </c>
      <c r="B8" s="129">
        <v>2372.9</v>
      </c>
      <c r="C8" s="129" t="str">
        <f t="shared" si="0"/>
        <v>x</v>
      </c>
      <c r="D8" s="129">
        <v>16.3</v>
      </c>
      <c r="E8" s="129">
        <v>12.3</v>
      </c>
      <c r="F8" s="129" t="s">
        <v>9</v>
      </c>
      <c r="G8" s="129">
        <v>14904.8</v>
      </c>
      <c r="H8" s="129" t="str">
        <f t="shared" si="1"/>
        <v>x</v>
      </c>
      <c r="I8" s="129">
        <v>109.5</v>
      </c>
      <c r="J8" s="129">
        <v>72.7</v>
      </c>
      <c r="K8" s="129" t="s">
        <v>9</v>
      </c>
      <c r="L8" s="129">
        <v>9172.6</v>
      </c>
      <c r="M8" s="129" t="s">
        <v>9</v>
      </c>
      <c r="N8" s="129">
        <v>85.6</v>
      </c>
      <c r="O8" s="129">
        <v>64.5</v>
      </c>
      <c r="P8" s="129" t="s">
        <v>9</v>
      </c>
      <c r="Q8" s="249"/>
      <c r="R8" s="249"/>
      <c r="S8" s="249"/>
      <c r="T8" s="249"/>
    </row>
    <row r="9" spans="1:20">
      <c r="A9" s="248">
        <v>1965</v>
      </c>
      <c r="B9" s="129">
        <v>2752.7</v>
      </c>
      <c r="C9" s="129" t="str">
        <f t="shared" si="0"/>
        <v>x</v>
      </c>
      <c r="D9" s="129">
        <v>14.9</v>
      </c>
      <c r="E9" s="129">
        <v>10.5</v>
      </c>
      <c r="F9" s="129" t="s">
        <v>9</v>
      </c>
      <c r="G9" s="129">
        <v>16538.8</v>
      </c>
      <c r="H9" s="129" t="str">
        <f t="shared" si="1"/>
        <v>x</v>
      </c>
      <c r="I9" s="129">
        <v>97.9</v>
      </c>
      <c r="J9" s="129">
        <v>58.7</v>
      </c>
      <c r="K9" s="129" t="s">
        <v>9</v>
      </c>
      <c r="L9" s="129">
        <v>10267.4</v>
      </c>
      <c r="M9" s="129" t="s">
        <v>9</v>
      </c>
      <c r="N9" s="129">
        <v>77.900000000000006</v>
      </c>
      <c r="O9" s="129">
        <v>52.7</v>
      </c>
      <c r="P9" s="129" t="s">
        <v>9</v>
      </c>
      <c r="Q9" s="249"/>
      <c r="R9" s="249"/>
      <c r="S9" s="249"/>
      <c r="T9" s="249"/>
    </row>
    <row r="10" spans="1:20">
      <c r="A10" s="248">
        <v>1966</v>
      </c>
      <c r="B10" s="129">
        <v>3034.3</v>
      </c>
      <c r="C10" s="129" t="str">
        <f t="shared" si="0"/>
        <v>x</v>
      </c>
      <c r="D10" s="129">
        <v>15.4</v>
      </c>
      <c r="E10" s="129">
        <v>15.5</v>
      </c>
      <c r="F10" s="129" t="s">
        <v>9</v>
      </c>
      <c r="G10" s="129">
        <v>16841.8</v>
      </c>
      <c r="H10" s="129" t="str">
        <f t="shared" si="1"/>
        <v>x</v>
      </c>
      <c r="I10" s="129">
        <v>91</v>
      </c>
      <c r="J10" s="129">
        <v>85.4</v>
      </c>
      <c r="K10" s="129" t="s">
        <v>9</v>
      </c>
      <c r="L10" s="129">
        <v>10828.2</v>
      </c>
      <c r="M10" s="129" t="s">
        <v>9</v>
      </c>
      <c r="N10" s="129">
        <v>77.400000000000006</v>
      </c>
      <c r="O10" s="129">
        <v>75.400000000000006</v>
      </c>
      <c r="P10" s="129" t="s">
        <v>9</v>
      </c>
      <c r="Q10" s="249"/>
      <c r="R10" s="249"/>
      <c r="S10" s="249"/>
      <c r="T10" s="249"/>
    </row>
    <row r="11" spans="1:20">
      <c r="A11" s="248">
        <v>1967</v>
      </c>
      <c r="B11" s="129">
        <v>2799.9</v>
      </c>
      <c r="C11" s="129" t="str">
        <f t="shared" si="0"/>
        <v>x</v>
      </c>
      <c r="D11" s="129">
        <v>18.5</v>
      </c>
      <c r="E11" s="129">
        <v>16</v>
      </c>
      <c r="F11" s="129" t="s">
        <v>9</v>
      </c>
      <c r="G11" s="129">
        <v>15021.9</v>
      </c>
      <c r="H11" s="129" t="str">
        <f t="shared" si="1"/>
        <v>x</v>
      </c>
      <c r="I11" s="129">
        <v>106.9</v>
      </c>
      <c r="J11" s="129">
        <v>86.3</v>
      </c>
      <c r="K11" s="129" t="s">
        <v>9</v>
      </c>
      <c r="L11" s="129">
        <v>9767.2000000000007</v>
      </c>
      <c r="M11" s="129" t="s">
        <v>9</v>
      </c>
      <c r="N11" s="129">
        <v>92.3</v>
      </c>
      <c r="O11" s="129">
        <v>77.5</v>
      </c>
      <c r="P11" s="129" t="s">
        <v>9</v>
      </c>
      <c r="Q11" s="249"/>
      <c r="R11" s="249"/>
      <c r="S11" s="249"/>
      <c r="T11" s="249"/>
    </row>
    <row r="12" spans="1:20">
      <c r="A12" s="248">
        <v>1968</v>
      </c>
      <c r="B12" s="129">
        <v>2750.6</v>
      </c>
      <c r="C12" s="129" t="str">
        <f t="shared" si="0"/>
        <v>x</v>
      </c>
      <c r="D12" s="129">
        <v>13.4</v>
      </c>
      <c r="E12" s="129">
        <v>12.7</v>
      </c>
      <c r="F12" s="129" t="s">
        <v>9</v>
      </c>
      <c r="G12" s="129">
        <v>14459.5</v>
      </c>
      <c r="H12" s="129" t="str">
        <f t="shared" si="1"/>
        <v>x</v>
      </c>
      <c r="I12" s="129">
        <v>74.5</v>
      </c>
      <c r="J12" s="129">
        <v>67.7</v>
      </c>
      <c r="K12" s="129" t="s">
        <v>9</v>
      </c>
      <c r="L12" s="129">
        <v>9487.4</v>
      </c>
      <c r="M12" s="129" t="s">
        <v>9</v>
      </c>
      <c r="N12" s="129">
        <v>65.7</v>
      </c>
      <c r="O12" s="129">
        <v>61.1</v>
      </c>
      <c r="P12" s="129" t="s">
        <v>9</v>
      </c>
      <c r="Q12" s="249"/>
      <c r="R12" s="249"/>
      <c r="S12" s="249"/>
      <c r="T12" s="249"/>
    </row>
    <row r="13" spans="1:20">
      <c r="A13" s="248">
        <v>1969</v>
      </c>
      <c r="B13" s="129">
        <v>2906.7</v>
      </c>
      <c r="C13" s="129" t="str">
        <f t="shared" si="0"/>
        <v>x</v>
      </c>
      <c r="D13" s="129">
        <v>14.8</v>
      </c>
      <c r="E13" s="129">
        <v>18.3</v>
      </c>
      <c r="F13" s="129" t="s">
        <v>9</v>
      </c>
      <c r="G13" s="129">
        <v>14738.7</v>
      </c>
      <c r="H13" s="129" t="str">
        <f t="shared" si="1"/>
        <v>x</v>
      </c>
      <c r="I13" s="129">
        <v>84.7</v>
      </c>
      <c r="J13" s="129">
        <v>95.3</v>
      </c>
      <c r="K13" s="129" t="s">
        <v>9</v>
      </c>
      <c r="L13" s="129">
        <v>9611.4</v>
      </c>
      <c r="M13" s="129" t="s">
        <v>9</v>
      </c>
      <c r="N13" s="129">
        <v>70</v>
      </c>
      <c r="O13" s="129">
        <v>84.7</v>
      </c>
      <c r="P13" s="129" t="s">
        <v>9</v>
      </c>
      <c r="Q13" s="249"/>
      <c r="R13" s="249"/>
      <c r="S13" s="249"/>
      <c r="T13" s="249"/>
    </row>
    <row r="14" spans="1:20">
      <c r="A14" s="248">
        <v>1970</v>
      </c>
      <c r="B14" s="129">
        <v>2947.7</v>
      </c>
      <c r="C14" s="129" t="str">
        <f t="shared" si="0"/>
        <v>x</v>
      </c>
      <c r="D14" s="129">
        <v>9</v>
      </c>
      <c r="E14" s="129">
        <v>16.2</v>
      </c>
      <c r="F14" s="129" t="s">
        <v>9</v>
      </c>
      <c r="G14" s="129">
        <v>14389.5</v>
      </c>
      <c r="H14" s="129" t="str">
        <f t="shared" si="1"/>
        <v>x</v>
      </c>
      <c r="I14" s="129">
        <v>52.5</v>
      </c>
      <c r="J14" s="129">
        <v>78.5</v>
      </c>
      <c r="K14" s="129" t="s">
        <v>9</v>
      </c>
      <c r="L14" s="129">
        <v>9320.4</v>
      </c>
      <c r="M14" s="129" t="s">
        <v>9</v>
      </c>
      <c r="N14" s="129">
        <v>40.9</v>
      </c>
      <c r="O14" s="129">
        <v>70.900000000000006</v>
      </c>
      <c r="P14" s="129" t="s">
        <v>9</v>
      </c>
      <c r="Q14" s="249"/>
      <c r="R14" s="249"/>
      <c r="S14" s="249"/>
      <c r="T14" s="249"/>
    </row>
    <row r="15" spans="1:20">
      <c r="A15" s="248">
        <v>1971</v>
      </c>
      <c r="B15" s="129">
        <v>3567.8</v>
      </c>
      <c r="C15" s="129" t="str">
        <f t="shared" si="0"/>
        <v>x</v>
      </c>
      <c r="D15" s="129">
        <v>8.1999999999999993</v>
      </c>
      <c r="E15" s="129">
        <v>18.7</v>
      </c>
      <c r="F15" s="129" t="s">
        <v>9</v>
      </c>
      <c r="G15" s="129">
        <v>16784</v>
      </c>
      <c r="H15" s="129" t="str">
        <f t="shared" si="1"/>
        <v>x</v>
      </c>
      <c r="I15" s="129">
        <v>40.200000000000003</v>
      </c>
      <c r="J15" s="129">
        <v>88.2</v>
      </c>
      <c r="K15" s="129" t="s">
        <v>9</v>
      </c>
      <c r="L15" s="129">
        <v>10652.9</v>
      </c>
      <c r="M15" s="129" t="s">
        <v>9</v>
      </c>
      <c r="N15" s="129">
        <v>35.6</v>
      </c>
      <c r="O15" s="129">
        <v>79.2</v>
      </c>
      <c r="P15" s="129" t="s">
        <v>9</v>
      </c>
      <c r="Q15" s="249"/>
      <c r="R15" s="249"/>
      <c r="S15" s="249"/>
      <c r="T15" s="249"/>
    </row>
    <row r="16" spans="1:20">
      <c r="A16" s="248">
        <v>1972</v>
      </c>
      <c r="B16" s="129">
        <v>4100.3999999999996</v>
      </c>
      <c r="C16" s="129" t="str">
        <f t="shared" si="0"/>
        <v>x</v>
      </c>
      <c r="D16" s="129">
        <v>9.8000000000000007</v>
      </c>
      <c r="E16" s="129">
        <v>38.4</v>
      </c>
      <c r="F16" s="129" t="s">
        <v>9</v>
      </c>
      <c r="G16" s="129">
        <v>18122.2</v>
      </c>
      <c r="H16" s="129" t="str">
        <f t="shared" si="1"/>
        <v>x</v>
      </c>
      <c r="I16" s="129">
        <v>44.5</v>
      </c>
      <c r="J16" s="129">
        <v>179.3</v>
      </c>
      <c r="K16" s="129" t="s">
        <v>9</v>
      </c>
      <c r="L16" s="129">
        <v>11650.4</v>
      </c>
      <c r="M16" s="129" t="s">
        <v>9</v>
      </c>
      <c r="N16" s="129">
        <v>40.6</v>
      </c>
      <c r="O16" s="129">
        <v>158</v>
      </c>
      <c r="P16" s="129" t="s">
        <v>9</v>
      </c>
      <c r="Q16" s="249"/>
      <c r="R16" s="249"/>
      <c r="S16" s="249"/>
      <c r="T16" s="249"/>
    </row>
    <row r="17" spans="1:20">
      <c r="A17" s="248">
        <v>1973</v>
      </c>
      <c r="B17" s="129">
        <v>4920.5</v>
      </c>
      <c r="C17" s="129" t="str">
        <f t="shared" si="0"/>
        <v>x</v>
      </c>
      <c r="D17" s="129">
        <v>19.600000000000001</v>
      </c>
      <c r="E17" s="129">
        <v>60</v>
      </c>
      <c r="F17" s="129" t="s">
        <v>9</v>
      </c>
      <c r="G17" s="129">
        <v>19927.099999999999</v>
      </c>
      <c r="H17" s="129" t="str">
        <f t="shared" si="1"/>
        <v>x</v>
      </c>
      <c r="I17" s="129">
        <v>85.3</v>
      </c>
      <c r="J17" s="129">
        <v>258.10000000000002</v>
      </c>
      <c r="K17" s="129" t="s">
        <v>9</v>
      </c>
      <c r="L17" s="129">
        <v>13016.4</v>
      </c>
      <c r="M17" s="129" t="s">
        <v>9</v>
      </c>
      <c r="N17" s="129">
        <v>76.099999999999994</v>
      </c>
      <c r="O17" s="129">
        <v>226.6</v>
      </c>
      <c r="P17" s="129" t="s">
        <v>9</v>
      </c>
      <c r="Q17" s="249"/>
      <c r="R17" s="249"/>
      <c r="S17" s="249"/>
      <c r="T17" s="249"/>
    </row>
    <row r="18" spans="1:20">
      <c r="A18" s="248">
        <v>1974</v>
      </c>
      <c r="B18" s="129">
        <v>6245.8</v>
      </c>
      <c r="C18" s="129" t="str">
        <f t="shared" si="0"/>
        <v>x</v>
      </c>
      <c r="D18" s="129">
        <v>41.7</v>
      </c>
      <c r="E18" s="129">
        <v>73.5</v>
      </c>
      <c r="F18" s="129" t="s">
        <v>9</v>
      </c>
      <c r="G18" s="129">
        <v>21220.400000000001</v>
      </c>
      <c r="H18" s="129" t="str">
        <f t="shared" si="1"/>
        <v>x</v>
      </c>
      <c r="I18" s="129">
        <v>150.5</v>
      </c>
      <c r="J18" s="129">
        <v>259</v>
      </c>
      <c r="K18" s="129" t="s">
        <v>9</v>
      </c>
      <c r="L18" s="129">
        <v>14188.6</v>
      </c>
      <c r="M18" s="129" t="s">
        <v>9</v>
      </c>
      <c r="N18" s="129">
        <v>139.4</v>
      </c>
      <c r="O18" s="129">
        <v>230.6</v>
      </c>
      <c r="P18" s="129" t="s">
        <v>9</v>
      </c>
      <c r="Q18" s="249"/>
      <c r="R18" s="249"/>
      <c r="S18" s="249"/>
      <c r="T18" s="249"/>
    </row>
    <row r="19" spans="1:20">
      <c r="A19" s="248">
        <v>1975</v>
      </c>
      <c r="B19" s="129">
        <v>7987.9</v>
      </c>
      <c r="C19" s="129" t="str">
        <f t="shared" si="0"/>
        <v>x</v>
      </c>
      <c r="D19" s="129">
        <v>36.299999999999997</v>
      </c>
      <c r="E19" s="129">
        <v>66.900000000000006</v>
      </c>
      <c r="F19" s="129" t="s">
        <v>9</v>
      </c>
      <c r="G19" s="129">
        <v>23802.1</v>
      </c>
      <c r="H19" s="129" t="str">
        <f t="shared" si="1"/>
        <v>x</v>
      </c>
      <c r="I19" s="129">
        <v>115.6</v>
      </c>
      <c r="J19" s="129">
        <v>204.7</v>
      </c>
      <c r="K19" s="129" t="s">
        <v>9</v>
      </c>
      <c r="L19" s="129">
        <v>15963.7</v>
      </c>
      <c r="M19" s="129" t="s">
        <v>9</v>
      </c>
      <c r="N19" s="129">
        <v>105.2</v>
      </c>
      <c r="O19" s="129">
        <v>184.5</v>
      </c>
      <c r="P19" s="129" t="s">
        <v>9</v>
      </c>
      <c r="Q19" s="249"/>
      <c r="R19" s="249"/>
      <c r="S19" s="249"/>
      <c r="T19" s="249"/>
    </row>
    <row r="20" spans="1:20">
      <c r="A20" s="248">
        <v>1976</v>
      </c>
      <c r="B20" s="129">
        <v>7831.7</v>
      </c>
      <c r="C20" s="129" t="str">
        <f t="shared" si="0"/>
        <v>x</v>
      </c>
      <c r="D20" s="129">
        <v>20.100000000000001</v>
      </c>
      <c r="E20" s="129">
        <v>52.9</v>
      </c>
      <c r="F20" s="129" t="s">
        <v>9</v>
      </c>
      <c r="G20" s="129">
        <v>21827.7</v>
      </c>
      <c r="H20" s="129" t="str">
        <f t="shared" si="1"/>
        <v>x</v>
      </c>
      <c r="I20" s="129">
        <v>60.9</v>
      </c>
      <c r="J20" s="129">
        <v>152.19999999999999</v>
      </c>
      <c r="K20" s="129" t="s">
        <v>9</v>
      </c>
      <c r="L20" s="129">
        <v>14712.5</v>
      </c>
      <c r="M20" s="129" t="s">
        <v>9</v>
      </c>
      <c r="N20" s="129">
        <v>54.7</v>
      </c>
      <c r="O20" s="129">
        <v>137.5</v>
      </c>
      <c r="P20" s="129" t="s">
        <v>9</v>
      </c>
      <c r="Q20" s="249"/>
      <c r="R20" s="249"/>
      <c r="S20" s="249"/>
      <c r="T20" s="249"/>
    </row>
    <row r="21" spans="1:20">
      <c r="A21" s="248">
        <v>1977</v>
      </c>
      <c r="B21" s="129">
        <v>8687.2999999999993</v>
      </c>
      <c r="C21" s="129" t="str">
        <f t="shared" si="0"/>
        <v>x</v>
      </c>
      <c r="D21" s="129">
        <v>17.2</v>
      </c>
      <c r="E21" s="129">
        <v>51.9</v>
      </c>
      <c r="F21" s="129" t="s">
        <v>9</v>
      </c>
      <c r="G21" s="129">
        <v>22869.5</v>
      </c>
      <c r="H21" s="129" t="str">
        <f t="shared" si="1"/>
        <v>x</v>
      </c>
      <c r="I21" s="129">
        <v>51.1</v>
      </c>
      <c r="J21" s="129">
        <v>137.1</v>
      </c>
      <c r="K21" s="129" t="s">
        <v>9</v>
      </c>
      <c r="L21" s="129">
        <v>15430.6</v>
      </c>
      <c r="M21" s="129" t="s">
        <v>9</v>
      </c>
      <c r="N21" s="129">
        <v>43.7</v>
      </c>
      <c r="O21" s="129">
        <v>124.3</v>
      </c>
      <c r="P21" s="129" t="s">
        <v>9</v>
      </c>
      <c r="Q21" s="249"/>
      <c r="R21" s="249"/>
      <c r="S21" s="249"/>
      <c r="T21" s="249"/>
    </row>
    <row r="22" spans="1:20">
      <c r="A22" s="248">
        <v>1978</v>
      </c>
      <c r="B22" s="129">
        <v>9156.9</v>
      </c>
      <c r="C22" s="129" t="str">
        <f t="shared" si="0"/>
        <v>x</v>
      </c>
      <c r="D22" s="129">
        <v>23.1</v>
      </c>
      <c r="E22" s="129">
        <v>47.8</v>
      </c>
      <c r="F22" s="129" t="s">
        <v>9</v>
      </c>
      <c r="G22" s="129">
        <v>21916.9</v>
      </c>
      <c r="H22" s="129" t="str">
        <f t="shared" si="1"/>
        <v>x</v>
      </c>
      <c r="I22" s="129">
        <v>59.6</v>
      </c>
      <c r="J22" s="129">
        <v>114.1</v>
      </c>
      <c r="K22" s="129" t="s">
        <v>9</v>
      </c>
      <c r="L22" s="129">
        <v>15202</v>
      </c>
      <c r="M22" s="129" t="s">
        <v>9</v>
      </c>
      <c r="N22" s="129">
        <v>53.6</v>
      </c>
      <c r="O22" s="129">
        <v>104.5</v>
      </c>
      <c r="P22" s="129" t="s">
        <v>9</v>
      </c>
      <c r="Q22" s="249"/>
      <c r="R22" s="249"/>
      <c r="S22" s="249"/>
      <c r="T22" s="249"/>
    </row>
    <row r="23" spans="1:20">
      <c r="A23" s="248">
        <v>1979</v>
      </c>
      <c r="B23" s="129">
        <v>10191.700000000001</v>
      </c>
      <c r="C23" s="129" t="str">
        <f t="shared" si="0"/>
        <v>x</v>
      </c>
      <c r="D23" s="129">
        <v>36.1</v>
      </c>
      <c r="E23" s="129">
        <v>68.099999999999994</v>
      </c>
      <c r="F23" s="129" t="s">
        <v>9</v>
      </c>
      <c r="G23" s="129">
        <v>22083.200000000001</v>
      </c>
      <c r="H23" s="129" t="str">
        <f t="shared" si="1"/>
        <v>x</v>
      </c>
      <c r="I23" s="129">
        <v>87.9</v>
      </c>
      <c r="J23" s="129">
        <v>147.69999999999999</v>
      </c>
      <c r="K23" s="129" t="s">
        <v>9</v>
      </c>
      <c r="L23" s="129">
        <v>15548.3</v>
      </c>
      <c r="M23" s="129" t="s">
        <v>9</v>
      </c>
      <c r="N23" s="129">
        <v>75.7</v>
      </c>
      <c r="O23" s="129">
        <v>135.1</v>
      </c>
      <c r="P23" s="129" t="s">
        <v>9</v>
      </c>
      <c r="Q23" s="249"/>
      <c r="R23" s="249"/>
      <c r="S23" s="249"/>
      <c r="T23" s="249"/>
    </row>
    <row r="24" spans="1:20">
      <c r="A24" s="248">
        <v>1980</v>
      </c>
      <c r="B24" s="129">
        <v>11534.5</v>
      </c>
      <c r="C24" s="129" t="str">
        <f t="shared" si="0"/>
        <v>x</v>
      </c>
      <c r="D24" s="129">
        <v>46.8</v>
      </c>
      <c r="E24" s="129">
        <v>82.3</v>
      </c>
      <c r="F24" s="129" t="s">
        <v>9</v>
      </c>
      <c r="G24" s="129">
        <v>22438.2</v>
      </c>
      <c r="H24" s="129" t="str">
        <f t="shared" si="1"/>
        <v>x</v>
      </c>
      <c r="I24" s="129">
        <v>102.2</v>
      </c>
      <c r="J24" s="129">
        <v>160.6</v>
      </c>
      <c r="K24" s="129" t="s">
        <v>9</v>
      </c>
      <c r="L24" s="129">
        <v>16227.1</v>
      </c>
      <c r="M24" s="129" t="s">
        <v>9</v>
      </c>
      <c r="N24" s="129">
        <v>86.4</v>
      </c>
      <c r="O24" s="129">
        <v>146.1</v>
      </c>
      <c r="P24" s="129" t="s">
        <v>9</v>
      </c>
      <c r="Q24" s="249"/>
      <c r="R24" s="249"/>
      <c r="S24" s="249"/>
      <c r="T24" s="249"/>
    </row>
    <row r="25" spans="1:20">
      <c r="A25" s="248">
        <v>1981</v>
      </c>
      <c r="B25" s="129">
        <v>12424.2</v>
      </c>
      <c r="C25" s="129" t="str">
        <f t="shared" si="0"/>
        <v>x</v>
      </c>
      <c r="D25" s="129">
        <v>42</v>
      </c>
      <c r="E25" s="129">
        <v>73.8</v>
      </c>
      <c r="F25" s="129" t="s">
        <v>9</v>
      </c>
      <c r="G25" s="129">
        <v>21657.1</v>
      </c>
      <c r="H25" s="129" t="str">
        <f t="shared" si="1"/>
        <v>x</v>
      </c>
      <c r="I25" s="129">
        <v>80.3</v>
      </c>
      <c r="J25" s="129">
        <v>129.19999999999999</v>
      </c>
      <c r="K25" s="129" t="s">
        <v>9</v>
      </c>
      <c r="L25" s="129">
        <v>15987.5</v>
      </c>
      <c r="M25" s="129" t="s">
        <v>9</v>
      </c>
      <c r="N25" s="129">
        <v>67.2</v>
      </c>
      <c r="O25" s="129">
        <v>117.4</v>
      </c>
      <c r="P25" s="129" t="s">
        <v>9</v>
      </c>
      <c r="Q25" s="249"/>
      <c r="R25" s="249"/>
      <c r="S25" s="249"/>
      <c r="T25" s="249"/>
    </row>
    <row r="26" spans="1:20">
      <c r="A26" s="248">
        <v>1982</v>
      </c>
      <c r="B26" s="129">
        <v>12179.3</v>
      </c>
      <c r="C26" s="129" t="str">
        <f t="shared" si="0"/>
        <v>x</v>
      </c>
      <c r="D26" s="129">
        <v>22.3</v>
      </c>
      <c r="E26" s="129">
        <v>133.1</v>
      </c>
      <c r="F26" s="129" t="s">
        <v>9</v>
      </c>
      <c r="G26" s="129">
        <v>19869.099999999999</v>
      </c>
      <c r="H26" s="129" t="str">
        <f t="shared" si="1"/>
        <v>x</v>
      </c>
      <c r="I26" s="129">
        <v>42.2</v>
      </c>
      <c r="J26" s="129">
        <v>216.7</v>
      </c>
      <c r="K26" s="129" t="s">
        <v>9</v>
      </c>
      <c r="L26" s="129">
        <v>14571.3</v>
      </c>
      <c r="M26" s="129" t="s">
        <v>9</v>
      </c>
      <c r="N26" s="129">
        <v>33.799999999999997</v>
      </c>
      <c r="O26" s="129">
        <v>195.9</v>
      </c>
      <c r="P26" s="129" t="s">
        <v>9</v>
      </c>
      <c r="Q26" s="249"/>
      <c r="R26" s="249"/>
      <c r="S26" s="249"/>
      <c r="T26" s="249"/>
    </row>
    <row r="27" spans="1:20">
      <c r="A27" s="248">
        <v>1983</v>
      </c>
      <c r="B27" s="129">
        <v>12119</v>
      </c>
      <c r="C27" s="129" t="str">
        <f t="shared" si="0"/>
        <v>x</v>
      </c>
      <c r="D27" s="129">
        <v>18.7</v>
      </c>
      <c r="E27" s="129">
        <v>90.2</v>
      </c>
      <c r="F27" s="129" t="s">
        <v>9</v>
      </c>
      <c r="G27" s="129">
        <v>18568.3</v>
      </c>
      <c r="H27" s="129" t="str">
        <f t="shared" si="1"/>
        <v>x</v>
      </c>
      <c r="I27" s="129">
        <v>33.4</v>
      </c>
      <c r="J27" s="129">
        <v>142.9</v>
      </c>
      <c r="K27" s="129" t="s">
        <v>9</v>
      </c>
      <c r="L27" s="129">
        <v>14285.4</v>
      </c>
      <c r="M27" s="129" t="s">
        <v>9</v>
      </c>
      <c r="N27" s="129">
        <v>27</v>
      </c>
      <c r="O27" s="129">
        <v>131</v>
      </c>
      <c r="P27" s="129" t="s">
        <v>9</v>
      </c>
      <c r="Q27" s="249"/>
      <c r="R27" s="249"/>
      <c r="S27" s="249"/>
      <c r="T27" s="249"/>
    </row>
    <row r="28" spans="1:20">
      <c r="A28" s="248">
        <v>1984</v>
      </c>
      <c r="B28" s="129">
        <v>13673.8</v>
      </c>
      <c r="C28" s="129" t="str">
        <f t="shared" si="0"/>
        <v>x</v>
      </c>
      <c r="D28" s="129">
        <v>20.3</v>
      </c>
      <c r="E28" s="129">
        <v>76.599999999999994</v>
      </c>
      <c r="F28" s="129" t="s">
        <v>9</v>
      </c>
      <c r="G28" s="129">
        <v>19973.5</v>
      </c>
      <c r="H28" s="129" t="str">
        <f t="shared" si="1"/>
        <v>x</v>
      </c>
      <c r="I28" s="129">
        <v>31.4</v>
      </c>
      <c r="J28" s="129">
        <v>114.7</v>
      </c>
      <c r="K28" s="129" t="s">
        <v>9</v>
      </c>
      <c r="L28" s="129">
        <v>15628.7</v>
      </c>
      <c r="M28" s="129" t="s">
        <v>9</v>
      </c>
      <c r="N28" s="129">
        <v>26.9</v>
      </c>
      <c r="O28" s="129">
        <v>106.8</v>
      </c>
      <c r="P28" s="129" t="s">
        <v>9</v>
      </c>
      <c r="Q28" s="249"/>
      <c r="R28" s="249"/>
      <c r="S28" s="249"/>
      <c r="T28" s="249"/>
    </row>
    <row r="29" spans="1:20">
      <c r="A29" s="248">
        <v>1985</v>
      </c>
      <c r="B29" s="129">
        <v>15464.8</v>
      </c>
      <c r="C29" s="129" t="str">
        <f t="shared" si="0"/>
        <v>x</v>
      </c>
      <c r="D29" s="129">
        <v>20.2</v>
      </c>
      <c r="E29" s="129">
        <v>112.9</v>
      </c>
      <c r="F29" s="129" t="s">
        <v>9</v>
      </c>
      <c r="G29" s="129">
        <v>21711.1</v>
      </c>
      <c r="H29" s="129" t="str">
        <f t="shared" si="1"/>
        <v>x</v>
      </c>
      <c r="I29" s="129">
        <v>30.8</v>
      </c>
      <c r="J29" s="129">
        <v>158.6</v>
      </c>
      <c r="K29" s="129" t="s">
        <v>9</v>
      </c>
      <c r="L29" s="129">
        <v>17223.8</v>
      </c>
      <c r="M29" s="129" t="s">
        <v>9</v>
      </c>
      <c r="N29" s="129">
        <v>25.8</v>
      </c>
      <c r="O29" s="129">
        <v>149.69999999999999</v>
      </c>
      <c r="P29" s="129" t="s">
        <v>9</v>
      </c>
      <c r="Q29" s="249"/>
      <c r="R29" s="249"/>
      <c r="S29" s="249"/>
      <c r="T29" s="249"/>
    </row>
    <row r="30" spans="1:20">
      <c r="A30" s="248">
        <v>1986</v>
      </c>
      <c r="B30" s="129">
        <v>16147.8</v>
      </c>
      <c r="C30" s="129" t="str">
        <f t="shared" si="0"/>
        <v>x</v>
      </c>
      <c r="D30" s="129">
        <v>20.3</v>
      </c>
      <c r="E30" s="129">
        <v>116.4</v>
      </c>
      <c r="F30" s="129" t="s">
        <v>9</v>
      </c>
      <c r="G30" s="129">
        <v>21620.2</v>
      </c>
      <c r="H30" s="129" t="str">
        <f t="shared" si="1"/>
        <v>x</v>
      </c>
      <c r="I30" s="129">
        <v>30.1</v>
      </c>
      <c r="J30" s="129">
        <v>159.30000000000001</v>
      </c>
      <c r="K30" s="129" t="s">
        <v>9</v>
      </c>
      <c r="L30" s="129">
        <v>17550.900000000001</v>
      </c>
      <c r="M30" s="129" t="s">
        <v>9</v>
      </c>
      <c r="N30" s="129">
        <v>25.6</v>
      </c>
      <c r="O30" s="129">
        <v>149.4</v>
      </c>
      <c r="P30" s="129" t="s">
        <v>9</v>
      </c>
      <c r="Q30" s="249"/>
      <c r="R30" s="249"/>
      <c r="S30" s="249"/>
      <c r="T30" s="249"/>
    </row>
    <row r="31" spans="1:20">
      <c r="A31" s="248">
        <v>1987</v>
      </c>
      <c r="B31" s="129">
        <v>18343.599999999999</v>
      </c>
      <c r="C31" s="129" t="str">
        <f t="shared" si="0"/>
        <v>x</v>
      </c>
      <c r="D31" s="129">
        <v>19.100000000000001</v>
      </c>
      <c r="E31" s="129">
        <v>134.69999999999999</v>
      </c>
      <c r="F31" s="129" t="s">
        <v>9</v>
      </c>
      <c r="G31" s="129">
        <v>23553.1</v>
      </c>
      <c r="H31" s="129" t="str">
        <f t="shared" si="1"/>
        <v>x</v>
      </c>
      <c r="I31" s="129">
        <v>26.8</v>
      </c>
      <c r="J31" s="129">
        <v>179.8</v>
      </c>
      <c r="K31" s="129" t="s">
        <v>9</v>
      </c>
      <c r="L31" s="129">
        <v>19724.2</v>
      </c>
      <c r="M31" s="129" t="s">
        <v>9</v>
      </c>
      <c r="N31" s="129">
        <v>23.8</v>
      </c>
      <c r="O31" s="129">
        <v>171.9</v>
      </c>
      <c r="P31" s="129" t="s">
        <v>9</v>
      </c>
      <c r="Q31" s="249"/>
      <c r="R31" s="249"/>
      <c r="S31" s="249"/>
      <c r="T31" s="249"/>
    </row>
    <row r="32" spans="1:20">
      <c r="A32" s="248">
        <v>1988</v>
      </c>
      <c r="B32" s="129">
        <v>20643.3</v>
      </c>
      <c r="C32" s="129" t="str">
        <f t="shared" si="0"/>
        <v>x</v>
      </c>
      <c r="D32" s="129">
        <v>27.8</v>
      </c>
      <c r="E32" s="129">
        <v>199.1</v>
      </c>
      <c r="F32" s="129" t="s">
        <v>9</v>
      </c>
      <c r="G32" s="129">
        <v>25962.2</v>
      </c>
      <c r="H32" s="129" t="str">
        <f t="shared" si="1"/>
        <v>x</v>
      </c>
      <c r="I32" s="129">
        <v>39</v>
      </c>
      <c r="J32" s="129">
        <v>265.39999999999998</v>
      </c>
      <c r="K32" s="129" t="s">
        <v>9</v>
      </c>
      <c r="L32" s="129">
        <v>21911.7</v>
      </c>
      <c r="M32" s="129" t="s">
        <v>9</v>
      </c>
      <c r="N32" s="129">
        <v>34.200000000000003</v>
      </c>
      <c r="O32" s="129">
        <v>254.2</v>
      </c>
      <c r="P32" s="129" t="s">
        <v>9</v>
      </c>
      <c r="Q32" s="249"/>
      <c r="R32" s="249"/>
      <c r="S32" s="249"/>
      <c r="T32" s="249"/>
    </row>
    <row r="33" spans="1:20">
      <c r="A33" s="248">
        <v>1989</v>
      </c>
      <c r="B33" s="129">
        <v>23064.2</v>
      </c>
      <c r="C33" s="129" t="str">
        <f t="shared" si="0"/>
        <v>x</v>
      </c>
      <c r="D33" s="129">
        <v>35.5</v>
      </c>
      <c r="E33" s="129">
        <v>187.4</v>
      </c>
      <c r="F33" s="129" t="s">
        <v>9</v>
      </c>
      <c r="G33" s="129">
        <v>28432.3</v>
      </c>
      <c r="H33" s="129" t="str">
        <f t="shared" si="1"/>
        <v>x</v>
      </c>
      <c r="I33" s="129">
        <v>48.7</v>
      </c>
      <c r="J33" s="129">
        <v>245.1</v>
      </c>
      <c r="K33" s="129" t="s">
        <v>9</v>
      </c>
      <c r="L33" s="129">
        <v>24096</v>
      </c>
      <c r="M33" s="129" t="s">
        <v>9</v>
      </c>
      <c r="N33" s="129">
        <v>42.6</v>
      </c>
      <c r="O33" s="129">
        <v>232.7</v>
      </c>
      <c r="P33" s="129" t="s">
        <v>9</v>
      </c>
      <c r="Q33" s="249"/>
      <c r="R33" s="249"/>
      <c r="S33" s="249"/>
      <c r="T33" s="249"/>
    </row>
    <row r="34" spans="1:20">
      <c r="A34" s="248">
        <v>1990</v>
      </c>
      <c r="B34" s="129">
        <v>23670.1</v>
      </c>
      <c r="C34" s="129" t="str">
        <f t="shared" si="0"/>
        <v>x</v>
      </c>
      <c r="D34" s="129">
        <v>31.2</v>
      </c>
      <c r="E34" s="129">
        <v>134.4</v>
      </c>
      <c r="F34" s="129" t="s">
        <v>9</v>
      </c>
      <c r="G34" s="129">
        <v>28863.3</v>
      </c>
      <c r="H34" s="129" t="str">
        <f t="shared" si="1"/>
        <v>x</v>
      </c>
      <c r="I34" s="129">
        <v>41.5</v>
      </c>
      <c r="J34" s="129">
        <v>171.5</v>
      </c>
      <c r="K34" s="129" t="s">
        <v>9</v>
      </c>
      <c r="L34" s="129">
        <v>24283.1</v>
      </c>
      <c r="M34" s="129" t="s">
        <v>9</v>
      </c>
      <c r="N34" s="129">
        <v>36.1</v>
      </c>
      <c r="O34" s="129">
        <v>164</v>
      </c>
      <c r="P34" s="129" t="s">
        <v>9</v>
      </c>
      <c r="Q34" s="249"/>
      <c r="R34" s="249"/>
      <c r="S34" s="249"/>
      <c r="T34" s="249"/>
    </row>
    <row r="35" spans="1:20">
      <c r="A35" s="248">
        <v>1991</v>
      </c>
      <c r="B35" s="129">
        <v>22253.7</v>
      </c>
      <c r="C35" s="129" t="str">
        <f t="shared" si="0"/>
        <v>x</v>
      </c>
      <c r="D35" s="129">
        <v>19.399999999999999</v>
      </c>
      <c r="E35" s="129">
        <v>131.19999999999999</v>
      </c>
      <c r="F35" s="129" t="s">
        <v>9</v>
      </c>
      <c r="G35" s="129">
        <v>27432</v>
      </c>
      <c r="H35" s="129" t="str">
        <f t="shared" si="1"/>
        <v>x</v>
      </c>
      <c r="I35" s="129">
        <v>27.5</v>
      </c>
      <c r="J35" s="129">
        <v>168</v>
      </c>
      <c r="K35" s="129" t="s">
        <v>9</v>
      </c>
      <c r="L35" s="129">
        <v>23598.6</v>
      </c>
      <c r="M35" s="129" t="s">
        <v>9</v>
      </c>
      <c r="N35" s="129">
        <v>23.4</v>
      </c>
      <c r="O35" s="129">
        <v>162.80000000000001</v>
      </c>
      <c r="P35" s="129" t="s">
        <v>9</v>
      </c>
      <c r="Q35" s="249"/>
      <c r="R35" s="249"/>
      <c r="S35" s="249"/>
      <c r="T35" s="249"/>
    </row>
    <row r="36" spans="1:20">
      <c r="A36" s="248">
        <v>1992</v>
      </c>
      <c r="B36" s="129">
        <v>21331.200000000001</v>
      </c>
      <c r="C36" s="129" t="str">
        <f t="shared" si="0"/>
        <v>x</v>
      </c>
      <c r="D36" s="129">
        <v>19.899999999999999</v>
      </c>
      <c r="E36" s="129">
        <v>101.7</v>
      </c>
      <c r="F36" s="129" t="s">
        <v>9</v>
      </c>
      <c r="G36" s="129">
        <v>25737.7</v>
      </c>
      <c r="H36" s="129" t="str">
        <f t="shared" si="1"/>
        <v>x</v>
      </c>
      <c r="I36" s="129">
        <v>25.6</v>
      </c>
      <c r="J36" s="129">
        <v>126.6</v>
      </c>
      <c r="K36" s="129" t="s">
        <v>9</v>
      </c>
      <c r="L36" s="129">
        <v>22599</v>
      </c>
      <c r="M36" s="129" t="s">
        <v>9</v>
      </c>
      <c r="N36" s="129">
        <v>23.3</v>
      </c>
      <c r="O36" s="129">
        <v>122.9</v>
      </c>
      <c r="P36" s="129" t="s">
        <v>9</v>
      </c>
      <c r="Q36" s="249"/>
      <c r="R36" s="249"/>
      <c r="S36" s="249"/>
      <c r="T36" s="249"/>
    </row>
    <row r="37" spans="1:20">
      <c r="A37" s="248">
        <v>1993</v>
      </c>
      <c r="B37" s="129">
        <v>21475.4</v>
      </c>
      <c r="C37" s="129" t="str">
        <f t="shared" ref="C37:C57" si="2">M37</f>
        <v>x</v>
      </c>
      <c r="D37" s="129">
        <v>32.799999999999997</v>
      </c>
      <c r="E37" s="129">
        <v>115.7</v>
      </c>
      <c r="F37" s="129" t="s">
        <v>9</v>
      </c>
      <c r="G37" s="129">
        <v>25817.9</v>
      </c>
      <c r="H37" s="129" t="str">
        <f t="shared" si="1"/>
        <v>x</v>
      </c>
      <c r="I37" s="129">
        <v>41.3</v>
      </c>
      <c r="J37" s="129">
        <v>131.80000000000001</v>
      </c>
      <c r="K37" s="129" t="s">
        <v>9</v>
      </c>
      <c r="L37" s="129">
        <v>22562.1</v>
      </c>
      <c r="M37" s="129" t="s">
        <v>9</v>
      </c>
      <c r="N37" s="129">
        <v>37.299999999999997</v>
      </c>
      <c r="O37" s="129">
        <v>135</v>
      </c>
      <c r="P37" s="129" t="s">
        <v>9</v>
      </c>
      <c r="Q37" s="249"/>
      <c r="R37" s="249"/>
      <c r="S37" s="249"/>
      <c r="T37" s="249"/>
    </row>
    <row r="38" spans="1:20">
      <c r="A38" s="248">
        <v>1994</v>
      </c>
      <c r="B38" s="129">
        <v>22802.6</v>
      </c>
      <c r="C38" s="129" t="str">
        <f t="shared" si="2"/>
        <v>x</v>
      </c>
      <c r="D38" s="129">
        <v>99.2</v>
      </c>
      <c r="E38" s="129">
        <v>269.3</v>
      </c>
      <c r="F38" s="129" t="s">
        <v>9</v>
      </c>
      <c r="G38" s="129">
        <v>26489.599999999999</v>
      </c>
      <c r="H38" s="129" t="str">
        <f t="shared" si="1"/>
        <v>x</v>
      </c>
      <c r="I38" s="129">
        <v>112.4</v>
      </c>
      <c r="J38" s="129">
        <v>311.3</v>
      </c>
      <c r="K38" s="129" t="s">
        <v>9</v>
      </c>
      <c r="L38" s="129">
        <v>23474.6</v>
      </c>
      <c r="M38" s="129" t="s">
        <v>9</v>
      </c>
      <c r="N38" s="129">
        <v>107.4</v>
      </c>
      <c r="O38" s="129">
        <v>301.5</v>
      </c>
      <c r="P38" s="129" t="s">
        <v>9</v>
      </c>
      <c r="Q38" s="249"/>
      <c r="R38" s="249"/>
      <c r="S38" s="249"/>
      <c r="T38" s="249"/>
    </row>
    <row r="39" spans="1:20">
      <c r="A39" s="248">
        <v>1995</v>
      </c>
      <c r="B39" s="129">
        <v>23204.7</v>
      </c>
      <c r="C39" s="129" t="str">
        <f t="shared" si="2"/>
        <v>x</v>
      </c>
      <c r="D39" s="129">
        <v>40.799999999999997</v>
      </c>
      <c r="E39" s="129">
        <v>348.4</v>
      </c>
      <c r="F39" s="129" t="s">
        <v>9</v>
      </c>
      <c r="G39" s="129">
        <v>26014.1</v>
      </c>
      <c r="H39" s="129" t="str">
        <f t="shared" si="1"/>
        <v>x</v>
      </c>
      <c r="I39" s="129">
        <v>44.3</v>
      </c>
      <c r="J39" s="129">
        <v>380</v>
      </c>
      <c r="K39" s="129" t="s">
        <v>9</v>
      </c>
      <c r="L39" s="129">
        <v>23428.9</v>
      </c>
      <c r="M39" s="129" t="s">
        <v>9</v>
      </c>
      <c r="N39" s="129">
        <v>42.3</v>
      </c>
      <c r="O39" s="129">
        <v>376.4</v>
      </c>
      <c r="P39" s="129" t="s">
        <v>9</v>
      </c>
      <c r="Q39" s="249"/>
      <c r="R39" s="249"/>
      <c r="S39" s="249"/>
      <c r="T39" s="249"/>
    </row>
    <row r="40" spans="1:20">
      <c r="A40" s="248">
        <v>1996</v>
      </c>
      <c r="B40" s="129">
        <v>24292.3</v>
      </c>
      <c r="C40" s="129" t="str">
        <f t="shared" si="2"/>
        <v>x</v>
      </c>
      <c r="D40" s="129">
        <v>54.5</v>
      </c>
      <c r="E40" s="129">
        <v>366.9</v>
      </c>
      <c r="F40" s="129" t="s">
        <v>9</v>
      </c>
      <c r="G40" s="129">
        <v>26406.5</v>
      </c>
      <c r="H40" s="129" t="str">
        <f t="shared" si="1"/>
        <v>x</v>
      </c>
      <c r="I40" s="129">
        <v>58.3</v>
      </c>
      <c r="J40" s="129">
        <v>395.8</v>
      </c>
      <c r="K40" s="129" t="s">
        <v>9</v>
      </c>
      <c r="L40" s="129">
        <v>24311.7</v>
      </c>
      <c r="M40" s="129" t="s">
        <v>9</v>
      </c>
      <c r="N40" s="129">
        <v>55</v>
      </c>
      <c r="O40" s="129">
        <v>388.3</v>
      </c>
      <c r="P40" s="129" t="s">
        <v>9</v>
      </c>
      <c r="Q40" s="249"/>
      <c r="R40" s="249"/>
      <c r="S40" s="249"/>
      <c r="T40" s="249"/>
    </row>
    <row r="41" spans="1:20">
      <c r="A41" s="248">
        <v>1997</v>
      </c>
      <c r="B41" s="129">
        <v>26225.200000000001</v>
      </c>
      <c r="C41" s="129" t="str">
        <f t="shared" si="2"/>
        <v>x</v>
      </c>
      <c r="D41" s="129">
        <v>63</v>
      </c>
      <c r="E41" s="129">
        <v>521.4</v>
      </c>
      <c r="F41" s="129" t="s">
        <v>9</v>
      </c>
      <c r="G41" s="129">
        <v>27380.6</v>
      </c>
      <c r="H41" s="129" t="str">
        <f t="shared" si="1"/>
        <v>x</v>
      </c>
      <c r="I41" s="129">
        <v>65.400000000000006</v>
      </c>
      <c r="J41" s="129">
        <v>547.5</v>
      </c>
      <c r="K41" s="129" t="s">
        <v>9</v>
      </c>
      <c r="L41" s="129">
        <v>25767.5</v>
      </c>
      <c r="M41" s="129" t="s">
        <v>9</v>
      </c>
      <c r="N41" s="129">
        <v>61.2</v>
      </c>
      <c r="O41" s="129">
        <v>533.29999999999995</v>
      </c>
      <c r="P41" s="129" t="s">
        <v>9</v>
      </c>
      <c r="Q41" s="249"/>
      <c r="R41" s="249"/>
      <c r="S41" s="249"/>
      <c r="T41" s="249"/>
    </row>
    <row r="42" spans="1:20">
      <c r="A42" s="248">
        <v>1998</v>
      </c>
      <c r="B42" s="129">
        <v>29239.8</v>
      </c>
      <c r="C42" s="129" t="str">
        <f t="shared" si="2"/>
        <v>x</v>
      </c>
      <c r="D42" s="129">
        <v>49.3</v>
      </c>
      <c r="E42" s="129">
        <v>368.6</v>
      </c>
      <c r="F42" s="129" t="s">
        <v>9</v>
      </c>
      <c r="G42" s="129">
        <v>29394.7</v>
      </c>
      <c r="H42" s="129" t="str">
        <f t="shared" si="1"/>
        <v>x</v>
      </c>
      <c r="I42" s="129">
        <v>43.6</v>
      </c>
      <c r="J42" s="129">
        <v>358.7</v>
      </c>
      <c r="K42" s="129" t="s">
        <v>9</v>
      </c>
      <c r="L42" s="129">
        <v>28521.599999999999</v>
      </c>
      <c r="M42" s="129" t="s">
        <v>9</v>
      </c>
      <c r="N42" s="129">
        <v>46.2</v>
      </c>
      <c r="O42" s="129">
        <v>362.4</v>
      </c>
      <c r="P42" s="129" t="s">
        <v>9</v>
      </c>
      <c r="Q42" s="249"/>
      <c r="R42" s="249"/>
      <c r="S42" s="249"/>
      <c r="T42" s="249"/>
    </row>
    <row r="43" spans="1:20">
      <c r="A43" s="248">
        <v>1999</v>
      </c>
      <c r="B43" s="129">
        <v>31163.5</v>
      </c>
      <c r="C43" s="129" t="str">
        <f t="shared" si="2"/>
        <v>x</v>
      </c>
      <c r="D43" s="129">
        <v>105.1</v>
      </c>
      <c r="E43" s="129">
        <v>455.9</v>
      </c>
      <c r="F43" s="129" t="s">
        <v>9</v>
      </c>
      <c r="G43" s="129">
        <v>30959.4</v>
      </c>
      <c r="H43" s="129" t="str">
        <f t="shared" si="1"/>
        <v>x</v>
      </c>
      <c r="I43" s="129">
        <v>98.9</v>
      </c>
      <c r="J43" s="129">
        <v>467</v>
      </c>
      <c r="K43" s="129" t="s">
        <v>9</v>
      </c>
      <c r="L43" s="129">
        <v>30680.3</v>
      </c>
      <c r="M43" s="129" t="s">
        <v>9</v>
      </c>
      <c r="N43" s="129">
        <v>97.6</v>
      </c>
      <c r="O43" s="129">
        <v>443.5</v>
      </c>
      <c r="P43" s="129" t="s">
        <v>9</v>
      </c>
      <c r="Q43" s="249"/>
      <c r="R43" s="249"/>
      <c r="S43" s="249"/>
      <c r="T43" s="249"/>
    </row>
    <row r="44" spans="1:20">
      <c r="A44" s="248">
        <v>2000</v>
      </c>
      <c r="B44" s="129">
        <v>33204.199999999997</v>
      </c>
      <c r="C44" s="129" t="str">
        <f t="shared" si="2"/>
        <v>x</v>
      </c>
      <c r="D44" s="129" t="s">
        <v>9</v>
      </c>
      <c r="E44" s="129">
        <v>542.5</v>
      </c>
      <c r="F44" s="129" t="s">
        <v>9</v>
      </c>
      <c r="G44" s="129">
        <v>32410.799999999999</v>
      </c>
      <c r="H44" s="129" t="str">
        <f t="shared" si="1"/>
        <v>x</v>
      </c>
      <c r="I44" s="129" t="s">
        <v>9</v>
      </c>
      <c r="J44" s="129">
        <v>504.3</v>
      </c>
      <c r="K44" s="129" t="s">
        <v>9</v>
      </c>
      <c r="L44" s="129">
        <v>32420.5</v>
      </c>
      <c r="M44" s="129" t="s">
        <v>9</v>
      </c>
      <c r="N44" s="129" t="s">
        <v>9</v>
      </c>
      <c r="O44" s="129">
        <v>517.9</v>
      </c>
      <c r="P44" s="129" t="s">
        <v>9</v>
      </c>
      <c r="Q44" s="249"/>
      <c r="R44" s="249"/>
      <c r="S44" s="249"/>
      <c r="T44" s="249"/>
    </row>
    <row r="45" spans="1:20">
      <c r="A45" s="248">
        <v>2001</v>
      </c>
      <c r="B45" s="129">
        <v>33254.5</v>
      </c>
      <c r="C45" s="129" t="str">
        <f t="shared" si="2"/>
        <v>x</v>
      </c>
      <c r="D45" s="129" t="s">
        <v>9</v>
      </c>
      <c r="E45" s="129">
        <v>241.5</v>
      </c>
      <c r="F45" s="129" t="s">
        <v>9</v>
      </c>
      <c r="G45" s="129">
        <v>32391.8</v>
      </c>
      <c r="H45" s="129" t="str">
        <f t="shared" si="1"/>
        <v>x</v>
      </c>
      <c r="I45" s="129" t="s">
        <v>9</v>
      </c>
      <c r="J45" s="129">
        <v>214.9</v>
      </c>
      <c r="K45" s="129" t="s">
        <v>9</v>
      </c>
      <c r="L45" s="129">
        <v>32117.9</v>
      </c>
      <c r="M45" s="129" t="s">
        <v>9</v>
      </c>
      <c r="N45" s="129" t="s">
        <v>9</v>
      </c>
      <c r="O45" s="129">
        <v>223.7</v>
      </c>
      <c r="P45" s="129" t="s">
        <v>9</v>
      </c>
      <c r="Q45" s="249"/>
      <c r="R45" s="249"/>
      <c r="S45" s="249"/>
      <c r="T45" s="249"/>
    </row>
    <row r="46" spans="1:20">
      <c r="A46" s="248">
        <v>2002</v>
      </c>
      <c r="B46" s="129">
        <v>33960</v>
      </c>
      <c r="C46" s="129" t="str">
        <f t="shared" si="2"/>
        <v>x</v>
      </c>
      <c r="D46" s="129" t="s">
        <v>9</v>
      </c>
      <c r="E46" s="129">
        <v>214.5</v>
      </c>
      <c r="F46" s="129" t="s">
        <v>9</v>
      </c>
      <c r="G46" s="129">
        <v>33278.6</v>
      </c>
      <c r="H46" s="129" t="str">
        <f t="shared" si="1"/>
        <v>x</v>
      </c>
      <c r="I46" s="129" t="s">
        <v>9</v>
      </c>
      <c r="J46" s="129">
        <v>193.7</v>
      </c>
      <c r="K46" s="129" t="s">
        <v>9</v>
      </c>
      <c r="L46" s="129">
        <v>32493.3</v>
      </c>
      <c r="M46" s="129" t="s">
        <v>9</v>
      </c>
      <c r="N46" s="129" t="s">
        <v>9</v>
      </c>
      <c r="O46" s="129">
        <v>189</v>
      </c>
      <c r="P46" s="129" t="s">
        <v>9</v>
      </c>
      <c r="Q46" s="249"/>
      <c r="R46" s="249"/>
      <c r="S46" s="249"/>
      <c r="T46" s="249"/>
    </row>
    <row r="47" spans="1:20">
      <c r="A47" s="248">
        <v>2003</v>
      </c>
      <c r="B47" s="129">
        <v>34923.800000000003</v>
      </c>
      <c r="C47" s="129" t="str">
        <f t="shared" si="2"/>
        <v>x</v>
      </c>
      <c r="D47" s="129" t="s">
        <v>9</v>
      </c>
      <c r="E47" s="129">
        <v>248.5</v>
      </c>
      <c r="F47" s="129" t="s">
        <v>9</v>
      </c>
      <c r="G47" s="129">
        <v>35002.1</v>
      </c>
      <c r="H47" s="129" t="str">
        <f t="shared" si="1"/>
        <v>x</v>
      </c>
      <c r="I47" s="129" t="s">
        <v>9</v>
      </c>
      <c r="J47" s="129">
        <v>237.6</v>
      </c>
      <c r="K47" s="129" t="s">
        <v>9</v>
      </c>
      <c r="L47" s="129">
        <v>34362.800000000003</v>
      </c>
      <c r="M47" s="129" t="s">
        <v>9</v>
      </c>
      <c r="N47" s="129" t="s">
        <v>9</v>
      </c>
      <c r="O47" s="129">
        <v>230.6</v>
      </c>
      <c r="P47" s="129" t="s">
        <v>9</v>
      </c>
      <c r="Q47" s="249"/>
      <c r="R47" s="249"/>
      <c r="S47" s="249"/>
      <c r="T47" s="249"/>
    </row>
    <row r="48" spans="1:20">
      <c r="A48" s="248">
        <v>2004</v>
      </c>
      <c r="B48" s="129">
        <v>37869.1</v>
      </c>
      <c r="C48" s="129" t="str">
        <f t="shared" si="2"/>
        <v>x</v>
      </c>
      <c r="D48" s="129" t="s">
        <v>9</v>
      </c>
      <c r="E48" s="129">
        <v>348.1</v>
      </c>
      <c r="F48" s="129" t="s">
        <v>9</v>
      </c>
      <c r="G48" s="129">
        <v>38048.699999999997</v>
      </c>
      <c r="H48" s="129" t="str">
        <f t="shared" si="1"/>
        <v>x</v>
      </c>
      <c r="I48" s="129" t="s">
        <v>9</v>
      </c>
      <c r="J48" s="129">
        <v>330.2</v>
      </c>
      <c r="K48" s="129" t="s">
        <v>9</v>
      </c>
      <c r="L48" s="129">
        <v>37651.5</v>
      </c>
      <c r="M48" s="129" t="s">
        <v>9</v>
      </c>
      <c r="N48" s="129" t="s">
        <v>9</v>
      </c>
      <c r="O48" s="129">
        <v>331.6</v>
      </c>
      <c r="P48" s="129" t="s">
        <v>9</v>
      </c>
      <c r="Q48" s="249"/>
      <c r="R48" s="249"/>
      <c r="S48" s="249"/>
      <c r="T48" s="249"/>
    </row>
    <row r="49" spans="1:20">
      <c r="A49" s="248">
        <v>2005</v>
      </c>
      <c r="B49" s="129">
        <v>38753.9</v>
      </c>
      <c r="C49" s="129" t="str">
        <f t="shared" si="2"/>
        <v>x</v>
      </c>
      <c r="D49" s="129" t="s">
        <v>9</v>
      </c>
      <c r="E49" s="129">
        <v>352.8</v>
      </c>
      <c r="F49" s="129" t="s">
        <v>9</v>
      </c>
      <c r="G49" s="129">
        <v>38795.9</v>
      </c>
      <c r="H49" s="129" t="str">
        <f t="shared" si="1"/>
        <v>x</v>
      </c>
      <c r="I49" s="129" t="s">
        <v>9</v>
      </c>
      <c r="J49" s="129">
        <v>344.5</v>
      </c>
      <c r="K49" s="129" t="s">
        <v>9</v>
      </c>
      <c r="L49" s="129">
        <v>38731.199999999997</v>
      </c>
      <c r="M49" s="129" t="s">
        <v>9</v>
      </c>
      <c r="N49" s="129" t="s">
        <v>9</v>
      </c>
      <c r="O49" s="129">
        <v>342.6</v>
      </c>
      <c r="P49" s="129" t="s">
        <v>9</v>
      </c>
      <c r="Q49" s="249"/>
      <c r="R49" s="249"/>
      <c r="S49" s="249"/>
      <c r="T49" s="249"/>
    </row>
    <row r="50" spans="1:20">
      <c r="A50" s="248">
        <v>2006</v>
      </c>
      <c r="B50" s="129">
        <v>40194.5</v>
      </c>
      <c r="C50" s="129" t="str">
        <f t="shared" si="2"/>
        <v>x</v>
      </c>
      <c r="D50" s="129" t="s">
        <v>9</v>
      </c>
      <c r="E50" s="129">
        <v>383.8</v>
      </c>
      <c r="F50" s="129" t="s">
        <v>9</v>
      </c>
      <c r="G50" s="129">
        <v>40280.800000000003</v>
      </c>
      <c r="H50" s="129" t="str">
        <f t="shared" si="1"/>
        <v>x</v>
      </c>
      <c r="I50" s="129" t="s">
        <v>9</v>
      </c>
      <c r="J50" s="129">
        <v>378.7</v>
      </c>
      <c r="K50" s="129" t="s">
        <v>9</v>
      </c>
      <c r="L50" s="129">
        <v>40288.300000000003</v>
      </c>
      <c r="M50" s="129" t="s">
        <v>9</v>
      </c>
      <c r="N50" s="129" t="s">
        <v>9</v>
      </c>
      <c r="O50" s="129">
        <v>379.8</v>
      </c>
      <c r="P50" s="129" t="s">
        <v>9</v>
      </c>
      <c r="Q50" s="249"/>
      <c r="R50" s="249"/>
      <c r="S50" s="249"/>
      <c r="T50" s="249"/>
    </row>
    <row r="51" spans="1:20">
      <c r="A51" s="248">
        <v>2007</v>
      </c>
      <c r="B51" s="129">
        <v>43071.4</v>
      </c>
      <c r="C51" s="129" t="str">
        <f t="shared" si="2"/>
        <v>x</v>
      </c>
      <c r="D51" s="129" t="s">
        <v>9</v>
      </c>
      <c r="E51" s="129">
        <v>414.7</v>
      </c>
      <c r="F51" s="129" t="s">
        <v>9</v>
      </c>
      <c r="G51" s="129">
        <v>43071.4</v>
      </c>
      <c r="H51" s="129" t="str">
        <f t="shared" si="1"/>
        <v>x</v>
      </c>
      <c r="I51" s="129" t="s">
        <v>9</v>
      </c>
      <c r="J51" s="129">
        <v>414.7</v>
      </c>
      <c r="K51" s="129" t="s">
        <v>9</v>
      </c>
      <c r="L51" s="129">
        <v>43071.4</v>
      </c>
      <c r="M51" s="129" t="s">
        <v>9</v>
      </c>
      <c r="N51" s="129" t="s">
        <v>9</v>
      </c>
      <c r="O51" s="129">
        <v>414.7</v>
      </c>
      <c r="P51" s="129" t="s">
        <v>9</v>
      </c>
      <c r="Q51" s="249"/>
      <c r="R51" s="249"/>
      <c r="S51" s="249"/>
      <c r="T51" s="249"/>
    </row>
    <row r="52" spans="1:20">
      <c r="A52" s="248">
        <v>2008</v>
      </c>
      <c r="B52" s="129">
        <v>46665.2</v>
      </c>
      <c r="C52" s="129" t="str">
        <f t="shared" si="2"/>
        <v>x</v>
      </c>
      <c r="D52" s="129" t="s">
        <v>9</v>
      </c>
      <c r="E52" s="129">
        <v>252.5</v>
      </c>
      <c r="F52" s="129" t="s">
        <v>9</v>
      </c>
      <c r="G52" s="129">
        <v>45295.9</v>
      </c>
      <c r="H52" s="129" t="str">
        <f t="shared" si="1"/>
        <v>x</v>
      </c>
      <c r="I52" s="129" t="s">
        <v>9</v>
      </c>
      <c r="J52" s="129">
        <v>248.1</v>
      </c>
      <c r="K52" s="129" t="s">
        <v>9</v>
      </c>
      <c r="L52" s="129">
        <v>45300.9</v>
      </c>
      <c r="M52" s="129" t="s">
        <v>9</v>
      </c>
      <c r="N52" s="129" t="s">
        <v>9</v>
      </c>
      <c r="O52" s="129">
        <v>247.1</v>
      </c>
      <c r="P52" s="129" t="s">
        <v>9</v>
      </c>
      <c r="Q52" s="249"/>
      <c r="R52" s="249"/>
      <c r="S52" s="249"/>
      <c r="T52" s="249"/>
    </row>
    <row r="53" spans="1:20">
      <c r="A53" s="248">
        <v>2009</v>
      </c>
      <c r="B53" s="129">
        <v>45337.2</v>
      </c>
      <c r="C53" s="129" t="str">
        <f t="shared" si="2"/>
        <v>x</v>
      </c>
      <c r="D53" s="129" t="s">
        <v>9</v>
      </c>
      <c r="E53" s="129">
        <v>240.2</v>
      </c>
      <c r="F53" s="129" t="s">
        <v>9</v>
      </c>
      <c r="G53" s="129">
        <v>42526.3</v>
      </c>
      <c r="H53" s="129" t="str">
        <f t="shared" si="1"/>
        <v>x</v>
      </c>
      <c r="I53" s="129" t="s">
        <v>9</v>
      </c>
      <c r="J53" s="129">
        <v>224.8</v>
      </c>
      <c r="K53" s="129" t="s">
        <v>9</v>
      </c>
      <c r="L53" s="129">
        <v>42603.199999999997</v>
      </c>
      <c r="M53" s="129" t="s">
        <v>9</v>
      </c>
      <c r="N53" s="129" t="s">
        <v>9</v>
      </c>
      <c r="O53" s="129">
        <v>225.5</v>
      </c>
      <c r="P53" s="129" t="s">
        <v>9</v>
      </c>
      <c r="Q53" s="249"/>
      <c r="R53" s="249"/>
      <c r="S53" s="249"/>
      <c r="T53" s="249"/>
    </row>
    <row r="54" spans="1:20">
      <c r="A54" s="248">
        <v>2010</v>
      </c>
      <c r="B54" s="129">
        <v>45885.5</v>
      </c>
      <c r="C54" s="129" t="str">
        <f t="shared" si="2"/>
        <v>x</v>
      </c>
      <c r="D54" s="129" t="s">
        <v>9</v>
      </c>
      <c r="E54" s="129">
        <v>298.7</v>
      </c>
      <c r="F54" s="129" t="s">
        <v>9</v>
      </c>
      <c r="G54" s="129">
        <v>43940.800000000003</v>
      </c>
      <c r="H54" s="129" t="str">
        <f t="shared" si="1"/>
        <v>x</v>
      </c>
      <c r="I54" s="129" t="s">
        <v>9</v>
      </c>
      <c r="J54" s="129">
        <v>294.2</v>
      </c>
      <c r="K54" s="129" t="s">
        <v>9</v>
      </c>
      <c r="L54" s="129">
        <v>43888.2</v>
      </c>
      <c r="M54" s="129" t="s">
        <v>9</v>
      </c>
      <c r="N54" s="129" t="s">
        <v>9</v>
      </c>
      <c r="O54" s="129">
        <v>292</v>
      </c>
      <c r="P54" s="129" t="s">
        <v>9</v>
      </c>
      <c r="Q54" s="249"/>
      <c r="R54" s="249"/>
      <c r="S54" s="249"/>
      <c r="T54" s="249"/>
    </row>
    <row r="55" spans="1:20">
      <c r="A55" s="248">
        <v>2011</v>
      </c>
      <c r="B55" s="129">
        <v>48371.3</v>
      </c>
      <c r="C55" s="129" t="str">
        <f t="shared" si="2"/>
        <v>x</v>
      </c>
      <c r="D55" s="129" t="s">
        <v>9</v>
      </c>
      <c r="E55" s="129">
        <v>255</v>
      </c>
      <c r="F55" s="129" t="s">
        <v>9</v>
      </c>
      <c r="G55" s="129">
        <v>45793.8</v>
      </c>
      <c r="H55" s="129" t="str">
        <f t="shared" si="1"/>
        <v>x</v>
      </c>
      <c r="I55" s="129" t="s">
        <v>9</v>
      </c>
      <c r="J55" s="129">
        <v>254.1</v>
      </c>
      <c r="K55" s="129" t="s">
        <v>9</v>
      </c>
      <c r="L55" s="129">
        <v>45785.2</v>
      </c>
      <c r="M55" s="129" t="s">
        <v>9</v>
      </c>
      <c r="N55" s="129" t="s">
        <v>9</v>
      </c>
      <c r="O55" s="129">
        <v>250.6</v>
      </c>
      <c r="P55" s="129" t="s">
        <v>9</v>
      </c>
      <c r="Q55" s="249"/>
      <c r="R55" s="249"/>
      <c r="S55" s="249"/>
      <c r="T55" s="249"/>
    </row>
    <row r="56" spans="1:20">
      <c r="A56" s="248">
        <v>2012</v>
      </c>
      <c r="B56" s="129">
        <v>53972.7</v>
      </c>
      <c r="C56" s="129" t="str">
        <f t="shared" si="2"/>
        <v>x</v>
      </c>
      <c r="D56" s="129" t="s">
        <v>9</v>
      </c>
      <c r="E56" s="129">
        <v>254.5</v>
      </c>
      <c r="F56" s="129" t="s">
        <v>9</v>
      </c>
      <c r="G56" s="129">
        <v>50065.4</v>
      </c>
      <c r="H56" s="129" t="str">
        <f t="shared" si="1"/>
        <v>x</v>
      </c>
      <c r="I56" s="129" t="s">
        <v>9</v>
      </c>
      <c r="J56" s="129">
        <v>245.1</v>
      </c>
      <c r="K56" s="129" t="s">
        <v>9</v>
      </c>
      <c r="L56" s="129">
        <v>50138.3</v>
      </c>
      <c r="M56" s="129" t="s">
        <v>9</v>
      </c>
      <c r="N56" s="129" t="s">
        <v>9</v>
      </c>
      <c r="O56" s="129">
        <v>247.2</v>
      </c>
      <c r="P56" s="129" t="s">
        <v>9</v>
      </c>
      <c r="Q56" s="249"/>
      <c r="R56" s="249"/>
      <c r="S56" s="249"/>
      <c r="T56" s="249"/>
    </row>
    <row r="57" spans="1:20">
      <c r="A57" s="248">
        <v>2013</v>
      </c>
      <c r="B57" s="129">
        <v>54405.1</v>
      </c>
      <c r="C57" s="129" t="str">
        <f t="shared" si="2"/>
        <v>x</v>
      </c>
      <c r="D57" s="129" t="s">
        <v>9</v>
      </c>
      <c r="E57" s="129">
        <v>245.1</v>
      </c>
      <c r="F57" s="129" t="s">
        <v>9</v>
      </c>
      <c r="G57" s="129">
        <v>49855.7</v>
      </c>
      <c r="H57" s="129" t="str">
        <f t="shared" si="1"/>
        <v>x</v>
      </c>
      <c r="I57" s="129" t="s">
        <v>9</v>
      </c>
      <c r="J57" s="129">
        <v>238.6</v>
      </c>
      <c r="K57" s="129" t="s">
        <v>9</v>
      </c>
      <c r="L57" s="129">
        <v>49828.4</v>
      </c>
      <c r="M57" s="129" t="s">
        <v>9</v>
      </c>
      <c r="N57" s="129" t="s">
        <v>9</v>
      </c>
      <c r="O57" s="129">
        <v>235.3</v>
      </c>
      <c r="P57" s="129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L60" si="3">((B57/B28)^(1/29)-1)*100</f>
        <v>4.8771912637904924</v>
      </c>
      <c r="C60" s="11" t="s">
        <v>10</v>
      </c>
      <c r="D60" s="11" t="s">
        <v>10</v>
      </c>
      <c r="E60" s="11">
        <f t="shared" si="3"/>
        <v>4.0920934186445379</v>
      </c>
      <c r="F60" s="11" t="s">
        <v>10</v>
      </c>
      <c r="G60" s="11">
        <f t="shared" si="3"/>
        <v>3.2045020850813621</v>
      </c>
      <c r="H60" s="11" t="s">
        <v>10</v>
      </c>
      <c r="I60" s="11" t="s">
        <v>10</v>
      </c>
      <c r="J60" s="11">
        <f t="shared" si="3"/>
        <v>2.5579208016299759</v>
      </c>
      <c r="K60" s="11" t="s">
        <v>10</v>
      </c>
      <c r="L60" s="11">
        <f t="shared" si="3"/>
        <v>4.0791972833974954</v>
      </c>
      <c r="M60" s="11" t="s">
        <v>10</v>
      </c>
      <c r="N60" s="11" t="s">
        <v>10</v>
      </c>
      <c r="O60" s="11">
        <f>((O57/O28)^(1/29)-1)*100</f>
        <v>2.7612393917700206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N61" si="4">((B33/B28)^(1/5)-1)*100</f>
        <v>11.022201378898512</v>
      </c>
      <c r="C61" s="11" t="s">
        <v>10</v>
      </c>
      <c r="D61" s="11">
        <f t="shared" si="4"/>
        <v>11.826945632804842</v>
      </c>
      <c r="E61" s="11">
        <f t="shared" si="4"/>
        <v>19.593661736696276</v>
      </c>
      <c r="F61" s="11" t="s">
        <v>10</v>
      </c>
      <c r="G61" s="11">
        <f t="shared" si="4"/>
        <v>7.3177512410514733</v>
      </c>
      <c r="H61" s="11" t="s">
        <v>10</v>
      </c>
      <c r="I61" s="11">
        <f t="shared" si="4"/>
        <v>9.1741608897790705</v>
      </c>
      <c r="J61" s="11">
        <f t="shared" si="4"/>
        <v>16.400803624940565</v>
      </c>
      <c r="K61" s="11" t="s">
        <v>10</v>
      </c>
      <c r="L61" s="11">
        <f t="shared" si="4"/>
        <v>9.044664329958696</v>
      </c>
      <c r="M61" s="11" t="s">
        <v>10</v>
      </c>
      <c r="N61" s="11">
        <f t="shared" si="4"/>
        <v>9.6305174148223927</v>
      </c>
      <c r="O61" s="11">
        <f>((O33/O28)^(1/5)-1)*100</f>
        <v>16.854388239212568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L62" si="5">((B44/B33)^(1/11)-1)*100</f>
        <v>3.3681596320210394</v>
      </c>
      <c r="C62" s="11" t="s">
        <v>10</v>
      </c>
      <c r="D62" s="11" t="s">
        <v>10</v>
      </c>
      <c r="E62" s="11">
        <f t="shared" si="5"/>
        <v>10.145403393691721</v>
      </c>
      <c r="F62" s="11" t="s">
        <v>10</v>
      </c>
      <c r="G62" s="11">
        <f t="shared" si="5"/>
        <v>1.1977147294499391</v>
      </c>
      <c r="H62" s="11" t="s">
        <v>10</v>
      </c>
      <c r="I62" s="11" t="s">
        <v>10</v>
      </c>
      <c r="J62" s="11">
        <f t="shared" si="5"/>
        <v>6.7790293802802104</v>
      </c>
      <c r="K62" s="11" t="s">
        <v>10</v>
      </c>
      <c r="L62" s="11">
        <f t="shared" si="5"/>
        <v>2.734399492527495</v>
      </c>
      <c r="M62" s="11" t="s">
        <v>10</v>
      </c>
      <c r="N62" s="11" t="s">
        <v>10</v>
      </c>
      <c r="O62" s="11">
        <f>((O44/O33)^(1/11)-1)*100</f>
        <v>7.5440334493093175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3.7868380545700964</v>
      </c>
      <c r="C63" s="11" t="s">
        <v>10</v>
      </c>
      <c r="D63" s="11" t="s">
        <v>10</v>
      </c>
      <c r="E63" s="11">
        <f t="shared" ref="E63:O63" si="6">((E51/E44)^(1/7)-1)*100</f>
        <v>-3.7649069862876305</v>
      </c>
      <c r="F63" s="11" t="s">
        <v>10</v>
      </c>
      <c r="G63" s="11">
        <f t="shared" si="6"/>
        <v>4.1460368873114106</v>
      </c>
      <c r="H63" s="11" t="s">
        <v>10</v>
      </c>
      <c r="I63" s="11" t="s">
        <v>10</v>
      </c>
      <c r="J63" s="11">
        <f t="shared" si="6"/>
        <v>-2.7558283985531062</v>
      </c>
      <c r="K63" s="11" t="s">
        <v>10</v>
      </c>
      <c r="L63" s="11">
        <f t="shared" si="6"/>
        <v>4.1415849152673712</v>
      </c>
      <c r="M63" s="11" t="s">
        <v>10</v>
      </c>
      <c r="N63" s="11" t="s">
        <v>10</v>
      </c>
      <c r="O63" s="11">
        <f t="shared" si="6"/>
        <v>-3.1248051146427591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3.9700941915796983</v>
      </c>
      <c r="C64" s="11" t="s">
        <v>10</v>
      </c>
      <c r="D64" s="11" t="s">
        <v>10</v>
      </c>
      <c r="E64" s="11">
        <f t="shared" ref="E64:O64" si="7">((E57/E51)^(1/6)-1)*100</f>
        <v>-8.3916883102111974</v>
      </c>
      <c r="F64" s="11" t="s">
        <v>10</v>
      </c>
      <c r="G64" s="11">
        <f t="shared" si="7"/>
        <v>2.4678534159797483</v>
      </c>
      <c r="H64" s="11" t="s">
        <v>10</v>
      </c>
      <c r="I64" s="11" t="s">
        <v>10</v>
      </c>
      <c r="J64" s="11">
        <f t="shared" si="7"/>
        <v>-8.8011418798050514</v>
      </c>
      <c r="K64" s="11" t="s">
        <v>10</v>
      </c>
      <c r="L64" s="11">
        <f t="shared" si="7"/>
        <v>2.4584997183547008</v>
      </c>
      <c r="M64" s="11" t="s">
        <v>10</v>
      </c>
      <c r="N64" s="11" t="s">
        <v>10</v>
      </c>
      <c r="O64" s="11">
        <f t="shared" si="7"/>
        <v>-9.0125873821803815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L65" si="8">((B57/B44)^(1/13)-1)*100</f>
        <v>3.8713776389524224</v>
      </c>
      <c r="C65" s="11" t="s">
        <v>10</v>
      </c>
      <c r="D65" s="11" t="s">
        <v>10</v>
      </c>
      <c r="E65" s="11">
        <f t="shared" si="8"/>
        <v>-5.9286887623413387</v>
      </c>
      <c r="F65" s="11" t="s">
        <v>10</v>
      </c>
      <c r="G65" s="11">
        <f t="shared" si="8"/>
        <v>3.368102387629901</v>
      </c>
      <c r="H65" s="11" t="s">
        <v>10</v>
      </c>
      <c r="I65" s="11" t="s">
        <v>10</v>
      </c>
      <c r="J65" s="11">
        <f t="shared" si="8"/>
        <v>-5.5942221985767375</v>
      </c>
      <c r="K65" s="11" t="s">
        <v>10</v>
      </c>
      <c r="L65" s="11">
        <f t="shared" si="8"/>
        <v>3.3613680282561509</v>
      </c>
      <c r="M65" s="11" t="s">
        <v>10</v>
      </c>
      <c r="N65" s="11" t="s">
        <v>10</v>
      </c>
      <c r="O65" s="11">
        <f>((O57/O44)^(1/13)-1)*100</f>
        <v>-5.8881503668351654</v>
      </c>
      <c r="P65" s="11" t="s">
        <v>10</v>
      </c>
      <c r="Q65" s="249"/>
      <c r="R65" s="249"/>
      <c r="S65" s="249"/>
      <c r="T65" s="249"/>
    </row>
    <row r="67" spans="1:20" s="180" customFormat="1">
      <c r="A67" s="174" t="s">
        <v>55</v>
      </c>
    </row>
    <row r="68" spans="1:20" s="180" customFormat="1">
      <c r="A68" s="168" t="s">
        <v>56</v>
      </c>
      <c r="B68" s="174"/>
    </row>
    <row r="69" spans="1:20">
      <c r="A69" s="53" t="s">
        <v>41</v>
      </c>
      <c r="B69" s="53"/>
      <c r="C69" s="168"/>
      <c r="D69" s="53"/>
      <c r="E69" s="53"/>
      <c r="F69" s="53"/>
    </row>
    <row r="70" spans="1:20">
      <c r="A70" s="53" t="s">
        <v>62</v>
      </c>
      <c r="B70" s="53"/>
      <c r="C70" s="168"/>
      <c r="D70" s="53"/>
      <c r="E70" s="53"/>
      <c r="F70" s="53"/>
    </row>
  </sheetData>
  <mergeCells count="5">
    <mergeCell ref="L2:P2"/>
    <mergeCell ref="A59:F59"/>
    <mergeCell ref="G2:K2"/>
    <mergeCell ref="B2:F2"/>
    <mergeCell ref="A1:P1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9" zoomScaleNormal="100" zoomScaleSheetLayoutView="100" workbookViewId="0">
      <selection activeCell="C24" sqref="C24"/>
    </sheetView>
  </sheetViews>
  <sheetFormatPr defaultRowHeight="15"/>
  <cols>
    <col min="1" max="1" width="9.140625" style="51"/>
    <col min="2" max="2" width="9.140625" style="175"/>
    <col min="3" max="3" width="0" style="175" hidden="1" customWidth="1"/>
    <col min="4" max="11" width="9.140625" style="175"/>
    <col min="12" max="12" width="16.140625" style="51" customWidth="1"/>
    <col min="13" max="13" width="9.140625" style="165"/>
    <col min="14" max="16384" width="9.140625" style="51"/>
  </cols>
  <sheetData>
    <row r="1" spans="1:20" ht="36" customHeight="1">
      <c r="A1" s="454" t="s">
        <v>225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83">
        <v>2448.6999999999998</v>
      </c>
      <c r="C5" s="156" t="e">
        <f>D5+E5+F5</f>
        <v>#VALUE!</v>
      </c>
      <c r="D5" s="249" t="s">
        <v>9</v>
      </c>
      <c r="E5" s="129">
        <v>6.5</v>
      </c>
      <c r="F5" s="129">
        <v>31.4</v>
      </c>
      <c r="G5" s="129">
        <v>16681.5</v>
      </c>
      <c r="H5" s="129" t="s">
        <v>9</v>
      </c>
      <c r="I5" s="129" t="s">
        <v>9</v>
      </c>
      <c r="J5" s="129">
        <v>46.2</v>
      </c>
      <c r="K5" s="129">
        <v>216.8</v>
      </c>
      <c r="L5" s="129">
        <v>9470.4</v>
      </c>
      <c r="M5" s="129" t="s">
        <v>9</v>
      </c>
      <c r="N5" s="129" t="s">
        <v>9</v>
      </c>
      <c r="O5" s="129">
        <v>36.5</v>
      </c>
      <c r="P5" s="129">
        <v>179.3</v>
      </c>
      <c r="Q5" s="249"/>
      <c r="R5" s="249"/>
      <c r="S5" s="249"/>
      <c r="T5" s="249"/>
    </row>
    <row r="6" spans="1:20">
      <c r="A6" s="248">
        <v>1962</v>
      </c>
      <c r="B6" s="83">
        <v>2708.1</v>
      </c>
      <c r="C6" s="156" t="e">
        <f t="shared" ref="C6:C53" si="0">D6+E6+F6</f>
        <v>#VALUE!</v>
      </c>
      <c r="D6" s="249" t="s">
        <v>9</v>
      </c>
      <c r="E6" s="129">
        <v>8.1999999999999993</v>
      </c>
      <c r="F6" s="129">
        <v>39.200000000000003</v>
      </c>
      <c r="G6" s="129">
        <v>18216.3</v>
      </c>
      <c r="H6" s="129" t="s">
        <v>9</v>
      </c>
      <c r="I6" s="129" t="s">
        <v>9</v>
      </c>
      <c r="J6" s="129">
        <v>59.3</v>
      </c>
      <c r="K6" s="129">
        <v>273.8</v>
      </c>
      <c r="L6" s="129">
        <v>10329.200000000001</v>
      </c>
      <c r="M6" s="129" t="s">
        <v>9</v>
      </c>
      <c r="N6" s="129" t="s">
        <v>9</v>
      </c>
      <c r="O6" s="129">
        <v>45.6</v>
      </c>
      <c r="P6" s="129">
        <v>224.1</v>
      </c>
      <c r="Q6" s="249"/>
      <c r="R6" s="249"/>
      <c r="S6" s="249"/>
      <c r="T6" s="249"/>
    </row>
    <row r="7" spans="1:20">
      <c r="A7" s="248">
        <v>1963</v>
      </c>
      <c r="B7" s="83">
        <v>2914.2</v>
      </c>
      <c r="C7" s="156" t="e">
        <f t="shared" si="0"/>
        <v>#VALUE!</v>
      </c>
      <c r="D7" s="249" t="s">
        <v>9</v>
      </c>
      <c r="E7" s="129">
        <v>8</v>
      </c>
      <c r="F7" s="129">
        <v>43.8</v>
      </c>
      <c r="G7" s="129">
        <v>18942.599999999999</v>
      </c>
      <c r="H7" s="129" t="s">
        <v>9</v>
      </c>
      <c r="I7" s="129" t="s">
        <v>9</v>
      </c>
      <c r="J7" s="129">
        <v>54.6</v>
      </c>
      <c r="K7" s="129">
        <v>295.2</v>
      </c>
      <c r="L7" s="129">
        <v>10722.5</v>
      </c>
      <c r="M7" s="129" t="s">
        <v>9</v>
      </c>
      <c r="N7" s="129" t="s">
        <v>9</v>
      </c>
      <c r="O7" s="129">
        <v>43.6</v>
      </c>
      <c r="P7" s="129">
        <v>239.3</v>
      </c>
      <c r="Q7" s="249"/>
      <c r="R7" s="249"/>
      <c r="S7" s="249"/>
      <c r="T7" s="249"/>
    </row>
    <row r="8" spans="1:20">
      <c r="A8" s="248">
        <v>1964</v>
      </c>
      <c r="B8" s="83">
        <v>3217.2</v>
      </c>
      <c r="C8" s="156" t="e">
        <f t="shared" si="0"/>
        <v>#VALUE!</v>
      </c>
      <c r="D8" s="249" t="s">
        <v>9</v>
      </c>
      <c r="E8" s="129">
        <v>12</v>
      </c>
      <c r="F8" s="129">
        <v>66.599999999999994</v>
      </c>
      <c r="G8" s="129">
        <v>20178.599999999999</v>
      </c>
      <c r="H8" s="129" t="s">
        <v>9</v>
      </c>
      <c r="I8" s="129" t="s">
        <v>9</v>
      </c>
      <c r="J8" s="129">
        <v>77.599999999999994</v>
      </c>
      <c r="K8" s="129">
        <v>426.7</v>
      </c>
      <c r="L8" s="129">
        <v>11657.4</v>
      </c>
      <c r="M8" s="129" t="s">
        <v>9</v>
      </c>
      <c r="N8" s="129" t="s">
        <v>9</v>
      </c>
      <c r="O8" s="129">
        <v>62.5</v>
      </c>
      <c r="P8" s="129">
        <v>351</v>
      </c>
      <c r="Q8" s="249"/>
      <c r="R8" s="249"/>
      <c r="S8" s="249"/>
      <c r="T8" s="249"/>
    </row>
    <row r="9" spans="1:20">
      <c r="A9" s="248">
        <v>1965</v>
      </c>
      <c r="B9" s="83">
        <v>3854.8</v>
      </c>
      <c r="C9" s="156" t="e">
        <f t="shared" si="0"/>
        <v>#VALUE!</v>
      </c>
      <c r="D9" s="249" t="s">
        <v>9</v>
      </c>
      <c r="E9" s="129">
        <v>15.7</v>
      </c>
      <c r="F9" s="129">
        <v>103.2</v>
      </c>
      <c r="G9" s="129">
        <v>22987.1</v>
      </c>
      <c r="H9" s="129" t="s">
        <v>9</v>
      </c>
      <c r="I9" s="129" t="s">
        <v>9</v>
      </c>
      <c r="J9" s="129">
        <v>100.3</v>
      </c>
      <c r="K9" s="129">
        <v>651.4</v>
      </c>
      <c r="L9" s="129">
        <v>13307.4</v>
      </c>
      <c r="M9" s="129" t="s">
        <v>9</v>
      </c>
      <c r="N9" s="129" t="s">
        <v>9</v>
      </c>
      <c r="O9" s="129">
        <v>77.7</v>
      </c>
      <c r="P9" s="129">
        <v>516.5</v>
      </c>
      <c r="Q9" s="249"/>
      <c r="R9" s="249"/>
      <c r="S9" s="249"/>
      <c r="T9" s="249"/>
    </row>
    <row r="10" spans="1:20">
      <c r="A10" s="248">
        <v>1966</v>
      </c>
      <c r="B10" s="83">
        <v>4687.3999999999996</v>
      </c>
      <c r="C10" s="156" t="e">
        <f t="shared" si="0"/>
        <v>#VALUE!</v>
      </c>
      <c r="D10" s="249" t="s">
        <v>9</v>
      </c>
      <c r="E10" s="129">
        <v>15.4</v>
      </c>
      <c r="F10" s="129">
        <v>88.2</v>
      </c>
      <c r="G10" s="129">
        <v>26886.6</v>
      </c>
      <c r="H10" s="129" t="s">
        <v>9</v>
      </c>
      <c r="I10" s="129" t="s">
        <v>9</v>
      </c>
      <c r="J10" s="129">
        <v>93.4</v>
      </c>
      <c r="K10" s="129">
        <v>535.9</v>
      </c>
      <c r="L10" s="129">
        <v>15548.8</v>
      </c>
      <c r="M10" s="129" t="s">
        <v>9</v>
      </c>
      <c r="N10" s="129" t="s">
        <v>9</v>
      </c>
      <c r="O10" s="129">
        <v>74.3</v>
      </c>
      <c r="P10" s="129">
        <v>430.5</v>
      </c>
      <c r="Q10" s="249"/>
      <c r="R10" s="249"/>
      <c r="S10" s="249"/>
      <c r="T10" s="249"/>
    </row>
    <row r="11" spans="1:20">
      <c r="A11" s="248">
        <v>1967</v>
      </c>
      <c r="B11" s="83">
        <v>4806.1000000000004</v>
      </c>
      <c r="C11" s="156" t="e">
        <f t="shared" si="0"/>
        <v>#VALUE!</v>
      </c>
      <c r="D11" s="249" t="s">
        <v>9</v>
      </c>
      <c r="E11" s="129">
        <v>11.5</v>
      </c>
      <c r="F11" s="129">
        <v>77.599999999999994</v>
      </c>
      <c r="G11" s="129">
        <v>26554.5</v>
      </c>
      <c r="H11" s="129" t="s">
        <v>9</v>
      </c>
      <c r="I11" s="129" t="s">
        <v>9</v>
      </c>
      <c r="J11" s="129">
        <v>68.5</v>
      </c>
      <c r="K11" s="129">
        <v>456.6</v>
      </c>
      <c r="L11" s="129">
        <v>15570.4</v>
      </c>
      <c r="M11" s="129" t="s">
        <v>9</v>
      </c>
      <c r="N11" s="129" t="s">
        <v>9</v>
      </c>
      <c r="O11" s="129">
        <v>55.2</v>
      </c>
      <c r="P11" s="129">
        <v>378.9</v>
      </c>
      <c r="Q11" s="249"/>
      <c r="R11" s="249"/>
      <c r="S11" s="249"/>
      <c r="T11" s="249"/>
    </row>
    <row r="12" spans="1:20">
      <c r="A12" s="248">
        <v>1968</v>
      </c>
      <c r="B12" s="83">
        <v>4791.1000000000004</v>
      </c>
      <c r="C12" s="156" t="e">
        <f t="shared" si="0"/>
        <v>#VALUE!</v>
      </c>
      <c r="D12" s="249" t="s">
        <v>9</v>
      </c>
      <c r="E12" s="129">
        <v>11.2</v>
      </c>
      <c r="F12" s="129">
        <v>52.9</v>
      </c>
      <c r="G12" s="129">
        <v>26173.8</v>
      </c>
      <c r="H12" s="129" t="s">
        <v>9</v>
      </c>
      <c r="I12" s="129" t="s">
        <v>9</v>
      </c>
      <c r="J12" s="129">
        <v>65.3</v>
      </c>
      <c r="K12" s="129">
        <v>314.10000000000002</v>
      </c>
      <c r="L12" s="129">
        <v>15370.7</v>
      </c>
      <c r="M12" s="129" t="s">
        <v>9</v>
      </c>
      <c r="N12" s="129" t="s">
        <v>9</v>
      </c>
      <c r="O12" s="129">
        <v>53.4</v>
      </c>
      <c r="P12" s="129">
        <v>257.7</v>
      </c>
      <c r="Q12" s="249"/>
      <c r="R12" s="249"/>
      <c r="S12" s="249"/>
      <c r="T12" s="249"/>
    </row>
    <row r="13" spans="1:20">
      <c r="A13" s="248">
        <v>1969</v>
      </c>
      <c r="B13" s="83">
        <v>5282.3</v>
      </c>
      <c r="C13" s="156" t="e">
        <f t="shared" si="0"/>
        <v>#VALUE!</v>
      </c>
      <c r="D13" s="249" t="s">
        <v>9</v>
      </c>
      <c r="E13" s="129">
        <v>21.1</v>
      </c>
      <c r="F13" s="129">
        <v>63.2</v>
      </c>
      <c r="G13" s="129">
        <v>27166.9</v>
      </c>
      <c r="H13" s="129" t="s">
        <v>9</v>
      </c>
      <c r="I13" s="129" t="s">
        <v>9</v>
      </c>
      <c r="J13" s="129">
        <v>121.7</v>
      </c>
      <c r="K13" s="129">
        <v>361</v>
      </c>
      <c r="L13" s="129">
        <v>16319.8</v>
      </c>
      <c r="M13" s="129" t="s">
        <v>9</v>
      </c>
      <c r="N13" s="129" t="s">
        <v>9</v>
      </c>
      <c r="O13" s="129">
        <v>97</v>
      </c>
      <c r="P13" s="129">
        <v>295.8</v>
      </c>
      <c r="Q13" s="249"/>
      <c r="R13" s="249"/>
      <c r="S13" s="249"/>
      <c r="T13" s="249"/>
    </row>
    <row r="14" spans="1:20">
      <c r="A14" s="248">
        <v>1970</v>
      </c>
      <c r="B14" s="83">
        <v>6072.9</v>
      </c>
      <c r="C14" s="156" t="e">
        <f t="shared" si="0"/>
        <v>#VALUE!</v>
      </c>
      <c r="D14" s="249" t="s">
        <v>9</v>
      </c>
      <c r="E14" s="129">
        <v>18.3</v>
      </c>
      <c r="F14" s="129">
        <v>93.8</v>
      </c>
      <c r="G14" s="129">
        <v>30163.4</v>
      </c>
      <c r="H14" s="129" t="s">
        <v>9</v>
      </c>
      <c r="I14" s="129" t="s">
        <v>9</v>
      </c>
      <c r="J14" s="129">
        <v>93.1</v>
      </c>
      <c r="K14" s="129">
        <v>500.6</v>
      </c>
      <c r="L14" s="129">
        <v>17875.7</v>
      </c>
      <c r="M14" s="129" t="s">
        <v>9</v>
      </c>
      <c r="N14" s="129" t="s">
        <v>9</v>
      </c>
      <c r="O14" s="129">
        <v>79</v>
      </c>
      <c r="P14" s="129">
        <v>409.6</v>
      </c>
      <c r="Q14" s="249"/>
      <c r="R14" s="249"/>
      <c r="S14" s="249"/>
      <c r="T14" s="249"/>
    </row>
    <row r="15" spans="1:20">
      <c r="A15" s="248">
        <v>1971</v>
      </c>
      <c r="B15" s="83">
        <v>6305</v>
      </c>
      <c r="C15" s="156" t="e">
        <f t="shared" si="0"/>
        <v>#VALUE!</v>
      </c>
      <c r="D15" s="249" t="s">
        <v>9</v>
      </c>
      <c r="E15" s="129">
        <v>15.4</v>
      </c>
      <c r="F15" s="129">
        <v>93.8</v>
      </c>
      <c r="G15" s="129">
        <v>29805.3</v>
      </c>
      <c r="H15" s="129" t="s">
        <v>9</v>
      </c>
      <c r="I15" s="129" t="s">
        <v>9</v>
      </c>
      <c r="J15" s="129">
        <v>78</v>
      </c>
      <c r="K15" s="129">
        <v>488.1</v>
      </c>
      <c r="L15" s="129">
        <v>17745.8</v>
      </c>
      <c r="M15" s="129" t="s">
        <v>9</v>
      </c>
      <c r="N15" s="129" t="s">
        <v>9</v>
      </c>
      <c r="O15" s="129">
        <v>64.5</v>
      </c>
      <c r="P15" s="129">
        <v>398</v>
      </c>
      <c r="Q15" s="249"/>
      <c r="R15" s="249"/>
      <c r="S15" s="249"/>
      <c r="T15" s="249"/>
    </row>
    <row r="16" spans="1:20">
      <c r="A16" s="248">
        <v>1972</v>
      </c>
      <c r="B16" s="83">
        <v>6704</v>
      </c>
      <c r="C16" s="156" t="e">
        <f t="shared" si="0"/>
        <v>#VALUE!</v>
      </c>
      <c r="D16" s="249" t="s">
        <v>9</v>
      </c>
      <c r="E16" s="129">
        <v>26.5</v>
      </c>
      <c r="F16" s="129">
        <v>64.7</v>
      </c>
      <c r="G16" s="129">
        <v>30058.6</v>
      </c>
      <c r="H16" s="129" t="s">
        <v>9</v>
      </c>
      <c r="I16" s="129" t="s">
        <v>9</v>
      </c>
      <c r="J16" s="129">
        <v>130.9</v>
      </c>
      <c r="K16" s="129">
        <v>321.8</v>
      </c>
      <c r="L16" s="129">
        <v>18057.8</v>
      </c>
      <c r="M16" s="129" t="s">
        <v>9</v>
      </c>
      <c r="N16" s="129" t="s">
        <v>9</v>
      </c>
      <c r="O16" s="129">
        <v>107.7</v>
      </c>
      <c r="P16" s="129">
        <v>266.5</v>
      </c>
      <c r="Q16" s="249"/>
      <c r="R16" s="249"/>
      <c r="S16" s="249"/>
      <c r="T16" s="249"/>
    </row>
    <row r="17" spans="1:20">
      <c r="A17" s="248">
        <v>1973</v>
      </c>
      <c r="B17" s="83">
        <v>7666</v>
      </c>
      <c r="C17" s="156" t="e">
        <f t="shared" si="0"/>
        <v>#VALUE!</v>
      </c>
      <c r="D17" s="249" t="s">
        <v>9</v>
      </c>
      <c r="E17" s="129">
        <v>49.2</v>
      </c>
      <c r="F17" s="129">
        <v>79.5</v>
      </c>
      <c r="G17" s="129">
        <v>31475.3</v>
      </c>
      <c r="H17" s="129" t="s">
        <v>9</v>
      </c>
      <c r="I17" s="129" t="s">
        <v>9</v>
      </c>
      <c r="J17" s="129">
        <v>227.7</v>
      </c>
      <c r="K17" s="129">
        <v>363</v>
      </c>
      <c r="L17" s="129">
        <v>19253.7</v>
      </c>
      <c r="M17" s="129" t="s">
        <v>9</v>
      </c>
      <c r="N17" s="129" t="s">
        <v>9</v>
      </c>
      <c r="O17" s="129">
        <v>183.7</v>
      </c>
      <c r="P17" s="129">
        <v>302.5</v>
      </c>
      <c r="Q17" s="249"/>
      <c r="R17" s="249"/>
      <c r="S17" s="249"/>
      <c r="T17" s="249"/>
    </row>
    <row r="18" spans="1:20">
      <c r="A18" s="248">
        <v>1974</v>
      </c>
      <c r="B18" s="83">
        <v>9551.7000000000007</v>
      </c>
      <c r="C18" s="156" t="e">
        <f t="shared" si="0"/>
        <v>#VALUE!</v>
      </c>
      <c r="D18" s="249" t="s">
        <v>9</v>
      </c>
      <c r="E18" s="129">
        <v>72.7</v>
      </c>
      <c r="F18" s="129">
        <v>140.69999999999999</v>
      </c>
      <c r="G18" s="129">
        <v>33293.9</v>
      </c>
      <c r="H18" s="129" t="s">
        <v>9</v>
      </c>
      <c r="I18" s="129" t="s">
        <v>9</v>
      </c>
      <c r="J18" s="129">
        <v>283</v>
      </c>
      <c r="K18" s="129">
        <v>556.5</v>
      </c>
      <c r="L18" s="129">
        <v>20754.5</v>
      </c>
      <c r="M18" s="129" t="s">
        <v>9</v>
      </c>
      <c r="N18" s="129" t="s">
        <v>9</v>
      </c>
      <c r="O18" s="129">
        <v>232.9</v>
      </c>
      <c r="P18" s="129">
        <v>462.1</v>
      </c>
      <c r="Q18" s="249"/>
      <c r="R18" s="249"/>
      <c r="S18" s="249"/>
      <c r="T18" s="249"/>
    </row>
    <row r="19" spans="1:20">
      <c r="A19" s="248">
        <v>1975</v>
      </c>
      <c r="B19" s="83">
        <v>10978.1</v>
      </c>
      <c r="C19" s="156" t="e">
        <f t="shared" si="0"/>
        <v>#VALUE!</v>
      </c>
      <c r="D19" s="249" t="s">
        <v>9</v>
      </c>
      <c r="E19" s="129">
        <v>64.5</v>
      </c>
      <c r="F19" s="129">
        <v>190.9</v>
      </c>
      <c r="G19" s="129">
        <v>34266.6</v>
      </c>
      <c r="H19" s="129" t="s">
        <v>9</v>
      </c>
      <c r="I19" s="129" t="s">
        <v>9</v>
      </c>
      <c r="J19" s="129">
        <v>226.7</v>
      </c>
      <c r="K19" s="129">
        <v>660</v>
      </c>
      <c r="L19" s="129">
        <v>21354.400000000001</v>
      </c>
      <c r="M19" s="129" t="s">
        <v>9</v>
      </c>
      <c r="N19" s="129" t="s">
        <v>9</v>
      </c>
      <c r="O19" s="129">
        <v>183</v>
      </c>
      <c r="P19" s="129">
        <v>543.6</v>
      </c>
      <c r="Q19" s="249"/>
      <c r="R19" s="249"/>
      <c r="S19" s="249"/>
      <c r="T19" s="249"/>
    </row>
    <row r="20" spans="1:20">
      <c r="A20" s="248">
        <v>1976</v>
      </c>
      <c r="B20" s="83">
        <v>11045.9</v>
      </c>
      <c r="C20" s="156" t="e">
        <f t="shared" si="0"/>
        <v>#VALUE!</v>
      </c>
      <c r="D20" s="249" t="s">
        <v>9</v>
      </c>
      <c r="E20" s="129">
        <v>40.6</v>
      </c>
      <c r="F20" s="129">
        <v>258.39999999999998</v>
      </c>
      <c r="G20" s="129">
        <v>32244.3</v>
      </c>
      <c r="H20" s="129" t="s">
        <v>9</v>
      </c>
      <c r="I20" s="129" t="s">
        <v>9</v>
      </c>
      <c r="J20" s="129">
        <v>128.19999999999999</v>
      </c>
      <c r="K20" s="129">
        <v>847.4</v>
      </c>
      <c r="L20" s="129">
        <v>20269.5</v>
      </c>
      <c r="M20" s="129" t="s">
        <v>9</v>
      </c>
      <c r="N20" s="129" t="s">
        <v>9</v>
      </c>
      <c r="O20" s="129">
        <v>108.9</v>
      </c>
      <c r="P20" s="129">
        <v>691.6</v>
      </c>
      <c r="Q20" s="249"/>
      <c r="R20" s="249"/>
      <c r="S20" s="249"/>
      <c r="T20" s="249"/>
    </row>
    <row r="21" spans="1:20">
      <c r="A21" s="248">
        <v>1977</v>
      </c>
      <c r="B21" s="83">
        <v>11818</v>
      </c>
      <c r="C21" s="156" t="e">
        <f t="shared" si="0"/>
        <v>#VALUE!</v>
      </c>
      <c r="D21" s="249" t="s">
        <v>9</v>
      </c>
      <c r="E21" s="129">
        <v>38.5</v>
      </c>
      <c r="F21" s="129">
        <v>225.6</v>
      </c>
      <c r="G21" s="129">
        <v>32216.5</v>
      </c>
      <c r="H21" s="129" t="s">
        <v>9</v>
      </c>
      <c r="I21" s="129" t="s">
        <v>9</v>
      </c>
      <c r="J21" s="129">
        <v>118.3</v>
      </c>
      <c r="K21" s="129">
        <v>686.2</v>
      </c>
      <c r="L21" s="129">
        <v>20436.5</v>
      </c>
      <c r="M21" s="129" t="s">
        <v>9</v>
      </c>
      <c r="N21" s="129" t="s">
        <v>9</v>
      </c>
      <c r="O21" s="129">
        <v>95.5</v>
      </c>
      <c r="P21" s="129">
        <v>555.79999999999995</v>
      </c>
      <c r="Q21" s="249"/>
      <c r="R21" s="249"/>
      <c r="S21" s="249"/>
      <c r="T21" s="249"/>
    </row>
    <row r="22" spans="1:20">
      <c r="A22" s="248">
        <v>1978</v>
      </c>
      <c r="B22" s="83">
        <v>12815.1</v>
      </c>
      <c r="C22" s="156" t="e">
        <f t="shared" si="0"/>
        <v>#VALUE!</v>
      </c>
      <c r="D22" s="249" t="s">
        <v>9</v>
      </c>
      <c r="E22" s="129">
        <v>38.700000000000003</v>
      </c>
      <c r="F22" s="129">
        <v>119</v>
      </c>
      <c r="G22" s="129">
        <v>31811.1</v>
      </c>
      <c r="H22" s="129" t="s">
        <v>9</v>
      </c>
      <c r="I22" s="129" t="s">
        <v>9</v>
      </c>
      <c r="J22" s="129">
        <v>104.8</v>
      </c>
      <c r="K22" s="129">
        <v>300.2</v>
      </c>
      <c r="L22" s="129">
        <v>20697.599999999999</v>
      </c>
      <c r="M22" s="129" t="s">
        <v>9</v>
      </c>
      <c r="N22" s="129" t="s">
        <v>9</v>
      </c>
      <c r="O22" s="129">
        <v>87</v>
      </c>
      <c r="P22" s="129">
        <v>262.39999999999998</v>
      </c>
      <c r="Q22" s="249"/>
      <c r="R22" s="249"/>
      <c r="S22" s="249"/>
      <c r="T22" s="249"/>
    </row>
    <row r="23" spans="1:20">
      <c r="A23" s="248">
        <v>1979</v>
      </c>
      <c r="B23" s="83">
        <v>14578</v>
      </c>
      <c r="C23" s="156" t="e">
        <f t="shared" si="0"/>
        <v>#VALUE!</v>
      </c>
      <c r="D23" s="249" t="s">
        <v>9</v>
      </c>
      <c r="E23" s="129">
        <v>47.5</v>
      </c>
      <c r="F23" s="129">
        <v>189.4</v>
      </c>
      <c r="G23" s="129">
        <v>33084.800000000003</v>
      </c>
      <c r="H23" s="129" t="s">
        <v>9</v>
      </c>
      <c r="I23" s="129" t="s">
        <v>9</v>
      </c>
      <c r="J23" s="129">
        <v>110.1</v>
      </c>
      <c r="K23" s="129">
        <v>418</v>
      </c>
      <c r="L23" s="129">
        <v>21582</v>
      </c>
      <c r="M23" s="129" t="s">
        <v>9</v>
      </c>
      <c r="N23" s="129" t="s">
        <v>9</v>
      </c>
      <c r="O23" s="129">
        <v>95.8</v>
      </c>
      <c r="P23" s="129">
        <v>373.3</v>
      </c>
      <c r="Q23" s="249"/>
      <c r="R23" s="249"/>
      <c r="S23" s="249"/>
      <c r="T23" s="249"/>
    </row>
    <row r="24" spans="1:20">
      <c r="A24" s="248">
        <v>1980</v>
      </c>
      <c r="B24" s="83">
        <v>17321.7</v>
      </c>
      <c r="C24" s="156" t="e">
        <f t="shared" si="0"/>
        <v>#VALUE!</v>
      </c>
      <c r="D24" s="249" t="s">
        <v>9</v>
      </c>
      <c r="E24" s="129">
        <v>67.3</v>
      </c>
      <c r="F24" s="129">
        <v>291.7</v>
      </c>
      <c r="G24" s="129">
        <v>35653.1</v>
      </c>
      <c r="H24" s="129" t="s">
        <v>9</v>
      </c>
      <c r="I24" s="129" t="s">
        <v>9</v>
      </c>
      <c r="J24" s="129">
        <v>135.1</v>
      </c>
      <c r="K24" s="129">
        <v>603.70000000000005</v>
      </c>
      <c r="L24" s="129">
        <v>23672.6</v>
      </c>
      <c r="M24" s="129" t="s">
        <v>9</v>
      </c>
      <c r="N24" s="129" t="s">
        <v>9</v>
      </c>
      <c r="O24" s="129">
        <v>121.4</v>
      </c>
      <c r="P24" s="129">
        <v>512.6</v>
      </c>
      <c r="Q24" s="249"/>
      <c r="R24" s="249"/>
      <c r="S24" s="249"/>
      <c r="T24" s="249"/>
    </row>
    <row r="25" spans="1:20">
      <c r="A25" s="248">
        <v>1981</v>
      </c>
      <c r="B25" s="83">
        <v>20530.599999999999</v>
      </c>
      <c r="C25" s="156" t="e">
        <f t="shared" si="0"/>
        <v>#VALUE!</v>
      </c>
      <c r="D25" s="249" t="s">
        <v>9</v>
      </c>
      <c r="E25" s="129">
        <v>74.7</v>
      </c>
      <c r="F25" s="129">
        <v>591.5</v>
      </c>
      <c r="G25" s="129">
        <v>37263.9</v>
      </c>
      <c r="H25" s="129" t="s">
        <v>9</v>
      </c>
      <c r="I25" s="129" t="s">
        <v>9</v>
      </c>
      <c r="J25" s="129">
        <v>147.19999999999999</v>
      </c>
      <c r="K25" s="129">
        <v>1146.7</v>
      </c>
      <c r="L25" s="129">
        <v>25812.6</v>
      </c>
      <c r="M25" s="129" t="s">
        <v>9</v>
      </c>
      <c r="N25" s="129" t="s">
        <v>9</v>
      </c>
      <c r="O25" s="129">
        <v>121.5</v>
      </c>
      <c r="P25" s="129">
        <v>936.7</v>
      </c>
      <c r="Q25" s="249"/>
      <c r="R25" s="249"/>
      <c r="S25" s="249"/>
      <c r="T25" s="249"/>
    </row>
    <row r="26" spans="1:20">
      <c r="A26" s="248">
        <v>1982</v>
      </c>
      <c r="B26" s="83">
        <v>20494.7</v>
      </c>
      <c r="C26" s="156" t="e">
        <f t="shared" si="0"/>
        <v>#VALUE!</v>
      </c>
      <c r="D26" s="249" t="s">
        <v>9</v>
      </c>
      <c r="E26" s="129">
        <v>59.1</v>
      </c>
      <c r="F26" s="129">
        <v>514.1</v>
      </c>
      <c r="G26" s="129">
        <v>34389</v>
      </c>
      <c r="H26" s="129" t="s">
        <v>9</v>
      </c>
      <c r="I26" s="129" t="s">
        <v>9</v>
      </c>
      <c r="J26" s="129">
        <v>99.2</v>
      </c>
      <c r="K26" s="129">
        <v>882.3</v>
      </c>
      <c r="L26" s="129">
        <v>24054.799999999999</v>
      </c>
      <c r="M26" s="129" t="s">
        <v>9</v>
      </c>
      <c r="N26" s="129" t="s">
        <v>9</v>
      </c>
      <c r="O26" s="129">
        <v>89</v>
      </c>
      <c r="P26" s="129">
        <v>751.1</v>
      </c>
      <c r="Q26" s="249"/>
      <c r="R26" s="249"/>
      <c r="S26" s="249"/>
      <c r="T26" s="249"/>
    </row>
    <row r="27" spans="1:20">
      <c r="A27" s="248">
        <v>1983</v>
      </c>
      <c r="B27" s="83">
        <v>20775</v>
      </c>
      <c r="C27" s="156" t="e">
        <f t="shared" si="0"/>
        <v>#VALUE!</v>
      </c>
      <c r="D27" s="249" t="s">
        <v>9</v>
      </c>
      <c r="E27" s="129">
        <v>47.8</v>
      </c>
      <c r="F27" s="129">
        <v>233.4</v>
      </c>
      <c r="G27" s="129">
        <v>32812.6</v>
      </c>
      <c r="H27" s="129" t="s">
        <v>9</v>
      </c>
      <c r="I27" s="129" t="s">
        <v>9</v>
      </c>
      <c r="J27" s="129">
        <v>76.900000000000006</v>
      </c>
      <c r="K27" s="129">
        <v>381.1</v>
      </c>
      <c r="L27" s="129">
        <v>24123.5</v>
      </c>
      <c r="M27" s="129" t="s">
        <v>9</v>
      </c>
      <c r="N27" s="129" t="s">
        <v>9</v>
      </c>
      <c r="O27" s="129">
        <v>70.400000000000006</v>
      </c>
      <c r="P27" s="129">
        <v>333</v>
      </c>
      <c r="Q27" s="249"/>
      <c r="R27" s="249"/>
      <c r="S27" s="249"/>
      <c r="T27" s="249"/>
    </row>
    <row r="28" spans="1:20">
      <c r="A28" s="248">
        <v>1984</v>
      </c>
      <c r="B28" s="83">
        <v>23065.599999999999</v>
      </c>
      <c r="C28" s="156" t="e">
        <f t="shared" si="0"/>
        <v>#VALUE!</v>
      </c>
      <c r="D28" s="249" t="s">
        <v>9</v>
      </c>
      <c r="E28" s="129">
        <v>67.400000000000006</v>
      </c>
      <c r="F28" s="129">
        <v>295.7</v>
      </c>
      <c r="G28" s="129">
        <v>35181.199999999997</v>
      </c>
      <c r="H28" s="129" t="s">
        <v>9</v>
      </c>
      <c r="I28" s="129" t="s">
        <v>9</v>
      </c>
      <c r="J28" s="129">
        <v>110.5</v>
      </c>
      <c r="K28" s="129">
        <v>462.2</v>
      </c>
      <c r="L28" s="129">
        <v>26141.4</v>
      </c>
      <c r="M28" s="129" t="s">
        <v>9</v>
      </c>
      <c r="N28" s="129" t="s">
        <v>9</v>
      </c>
      <c r="O28" s="129">
        <v>95.2</v>
      </c>
      <c r="P28" s="129">
        <v>402.9</v>
      </c>
      <c r="Q28" s="249"/>
      <c r="R28" s="249"/>
      <c r="S28" s="249"/>
      <c r="T28" s="249"/>
    </row>
    <row r="29" spans="1:20">
      <c r="A29" s="248">
        <v>1985</v>
      </c>
      <c r="B29" s="83">
        <v>26600</v>
      </c>
      <c r="C29" s="156" t="e">
        <f t="shared" si="0"/>
        <v>#VALUE!</v>
      </c>
      <c r="D29" s="249" t="s">
        <v>9</v>
      </c>
      <c r="E29" s="129">
        <v>53.5</v>
      </c>
      <c r="F29" s="129">
        <v>522.6</v>
      </c>
      <c r="G29" s="129">
        <v>38548.9</v>
      </c>
      <c r="H29" s="129" t="s">
        <v>9</v>
      </c>
      <c r="I29" s="129" t="s">
        <v>9</v>
      </c>
      <c r="J29" s="129">
        <v>82</v>
      </c>
      <c r="K29" s="129">
        <v>781.2</v>
      </c>
      <c r="L29" s="129">
        <v>29255.3</v>
      </c>
      <c r="M29" s="129" t="s">
        <v>9</v>
      </c>
      <c r="N29" s="129" t="s">
        <v>9</v>
      </c>
      <c r="O29" s="129">
        <v>71.7</v>
      </c>
      <c r="P29" s="129">
        <v>674.1</v>
      </c>
      <c r="Q29" s="249"/>
      <c r="R29" s="249"/>
      <c r="S29" s="249"/>
      <c r="T29" s="249"/>
    </row>
    <row r="30" spans="1:20">
      <c r="A30" s="248">
        <v>1986</v>
      </c>
      <c r="B30" s="83">
        <v>30315.3</v>
      </c>
      <c r="C30" s="156" t="e">
        <f t="shared" si="0"/>
        <v>#VALUE!</v>
      </c>
      <c r="D30" s="249" t="s">
        <v>9</v>
      </c>
      <c r="E30" s="129">
        <v>58.9</v>
      </c>
      <c r="F30" s="129">
        <v>314.5</v>
      </c>
      <c r="G30" s="129">
        <v>42702.1</v>
      </c>
      <c r="H30" s="129" t="s">
        <v>9</v>
      </c>
      <c r="I30" s="129" t="s">
        <v>9</v>
      </c>
      <c r="J30" s="129">
        <v>84.4</v>
      </c>
      <c r="K30" s="129">
        <v>434</v>
      </c>
      <c r="L30" s="129">
        <v>32634.2</v>
      </c>
      <c r="M30" s="129" t="s">
        <v>9</v>
      </c>
      <c r="N30" s="129" t="s">
        <v>9</v>
      </c>
      <c r="O30" s="129">
        <v>76.5</v>
      </c>
      <c r="P30" s="129">
        <v>394.4</v>
      </c>
      <c r="Q30" s="249"/>
      <c r="R30" s="249"/>
      <c r="S30" s="249"/>
      <c r="T30" s="249"/>
    </row>
    <row r="31" spans="1:20">
      <c r="A31" s="248">
        <v>1987</v>
      </c>
      <c r="B31" s="83">
        <v>34030.699999999997</v>
      </c>
      <c r="C31" s="156" t="e">
        <f t="shared" si="0"/>
        <v>#VALUE!</v>
      </c>
      <c r="D31" s="249" t="s">
        <v>9</v>
      </c>
      <c r="E31" s="129">
        <v>125.6</v>
      </c>
      <c r="F31" s="129">
        <v>367.3</v>
      </c>
      <c r="G31" s="129">
        <v>45963</v>
      </c>
      <c r="H31" s="129" t="s">
        <v>9</v>
      </c>
      <c r="I31" s="129" t="s">
        <v>9</v>
      </c>
      <c r="J31" s="129">
        <v>175.4</v>
      </c>
      <c r="K31" s="129">
        <v>486.3</v>
      </c>
      <c r="L31" s="129">
        <v>35944.699999999997</v>
      </c>
      <c r="M31" s="129" t="s">
        <v>9</v>
      </c>
      <c r="N31" s="129" t="s">
        <v>9</v>
      </c>
      <c r="O31" s="129">
        <v>161.4</v>
      </c>
      <c r="P31" s="129">
        <v>458</v>
      </c>
      <c r="Q31" s="249"/>
      <c r="R31" s="249"/>
      <c r="S31" s="249"/>
      <c r="T31" s="249"/>
    </row>
    <row r="32" spans="1:20">
      <c r="A32" s="248">
        <v>1988</v>
      </c>
      <c r="B32" s="83">
        <v>39112.5</v>
      </c>
      <c r="C32" s="156" t="e">
        <f t="shared" si="0"/>
        <v>#VALUE!</v>
      </c>
      <c r="D32" s="249" t="s">
        <v>9</v>
      </c>
      <c r="E32" s="129">
        <v>183.1</v>
      </c>
      <c r="F32" s="129">
        <v>553.9</v>
      </c>
      <c r="G32" s="129">
        <v>51488.6</v>
      </c>
      <c r="H32" s="129" t="s">
        <v>9</v>
      </c>
      <c r="I32" s="129" t="s">
        <v>9</v>
      </c>
      <c r="J32" s="129">
        <v>256.60000000000002</v>
      </c>
      <c r="K32" s="129">
        <v>742.2</v>
      </c>
      <c r="L32" s="129">
        <v>40552.300000000003</v>
      </c>
      <c r="M32" s="129" t="s">
        <v>9</v>
      </c>
      <c r="N32" s="129" t="s">
        <v>9</v>
      </c>
      <c r="O32" s="129">
        <v>234.1</v>
      </c>
      <c r="P32" s="129">
        <v>691.3</v>
      </c>
      <c r="Q32" s="249"/>
      <c r="R32" s="249"/>
      <c r="S32" s="249"/>
      <c r="T32" s="249"/>
    </row>
    <row r="33" spans="1:20">
      <c r="A33" s="248">
        <v>1989</v>
      </c>
      <c r="B33" s="83">
        <v>42177.2</v>
      </c>
      <c r="C33" s="156" t="e">
        <f t="shared" si="0"/>
        <v>#VALUE!</v>
      </c>
      <c r="D33" s="249" t="s">
        <v>9</v>
      </c>
      <c r="E33" s="129">
        <v>150.5</v>
      </c>
      <c r="F33" s="129">
        <v>912.8</v>
      </c>
      <c r="G33" s="129">
        <v>53101.9</v>
      </c>
      <c r="H33" s="129" t="s">
        <v>9</v>
      </c>
      <c r="I33" s="129" t="s">
        <v>9</v>
      </c>
      <c r="J33" s="129">
        <v>207.8</v>
      </c>
      <c r="K33" s="129">
        <v>1198.3</v>
      </c>
      <c r="L33" s="129">
        <v>42816.9</v>
      </c>
      <c r="M33" s="129" t="s">
        <v>9</v>
      </c>
      <c r="N33" s="129" t="s">
        <v>9</v>
      </c>
      <c r="O33" s="129">
        <v>186</v>
      </c>
      <c r="P33" s="129">
        <v>1108.3</v>
      </c>
      <c r="Q33" s="249"/>
      <c r="R33" s="249"/>
      <c r="S33" s="249"/>
      <c r="T33" s="249"/>
    </row>
    <row r="34" spans="1:20">
      <c r="A34" s="248">
        <v>1990</v>
      </c>
      <c r="B34" s="83">
        <v>41855.800000000003</v>
      </c>
      <c r="C34" s="156" t="e">
        <f t="shared" si="0"/>
        <v>#VALUE!</v>
      </c>
      <c r="D34" s="249" t="s">
        <v>9</v>
      </c>
      <c r="E34" s="129">
        <v>85.6</v>
      </c>
      <c r="F34" s="129">
        <v>689.1</v>
      </c>
      <c r="G34" s="129">
        <v>51362.2</v>
      </c>
      <c r="H34" s="129" t="s">
        <v>9</v>
      </c>
      <c r="I34" s="129" t="s">
        <v>9</v>
      </c>
      <c r="J34" s="129">
        <v>113.6</v>
      </c>
      <c r="K34" s="129">
        <v>880.6</v>
      </c>
      <c r="L34" s="129">
        <v>41941.599999999999</v>
      </c>
      <c r="M34" s="129" t="s">
        <v>9</v>
      </c>
      <c r="N34" s="129" t="s">
        <v>9</v>
      </c>
      <c r="O34" s="129">
        <v>104</v>
      </c>
      <c r="P34" s="129">
        <v>823.7</v>
      </c>
      <c r="Q34" s="249"/>
      <c r="R34" s="249"/>
      <c r="S34" s="249"/>
      <c r="T34" s="249"/>
    </row>
    <row r="35" spans="1:20">
      <c r="A35" s="248">
        <v>1991</v>
      </c>
      <c r="B35" s="83">
        <v>40522.800000000003</v>
      </c>
      <c r="C35" s="156" t="e">
        <f t="shared" si="0"/>
        <v>#VALUE!</v>
      </c>
      <c r="D35" s="249" t="s">
        <v>9</v>
      </c>
      <c r="E35" s="129">
        <v>58</v>
      </c>
      <c r="F35" s="129">
        <v>441.6</v>
      </c>
      <c r="G35" s="129">
        <v>50939.5</v>
      </c>
      <c r="H35" s="129" t="s">
        <v>9</v>
      </c>
      <c r="I35" s="129" t="s">
        <v>9</v>
      </c>
      <c r="J35" s="129">
        <v>75.8</v>
      </c>
      <c r="K35" s="129">
        <v>562.6</v>
      </c>
      <c r="L35" s="129">
        <v>42330.9</v>
      </c>
      <c r="M35" s="129" t="s">
        <v>9</v>
      </c>
      <c r="N35" s="129" t="s">
        <v>9</v>
      </c>
      <c r="O35" s="129">
        <v>71.5</v>
      </c>
      <c r="P35" s="129">
        <v>536.29999999999995</v>
      </c>
      <c r="Q35" s="249"/>
      <c r="R35" s="249"/>
      <c r="S35" s="249"/>
      <c r="T35" s="249"/>
    </row>
    <row r="36" spans="1:20">
      <c r="A36" s="248">
        <v>1992</v>
      </c>
      <c r="B36" s="83">
        <v>37927.199999999997</v>
      </c>
      <c r="C36" s="156" t="e">
        <f t="shared" si="0"/>
        <v>#VALUE!</v>
      </c>
      <c r="D36" s="249" t="s">
        <v>9</v>
      </c>
      <c r="E36" s="129">
        <v>48.2</v>
      </c>
      <c r="F36" s="129">
        <v>408.7</v>
      </c>
      <c r="G36" s="129">
        <v>46165</v>
      </c>
      <c r="H36" s="129" t="s">
        <v>9</v>
      </c>
      <c r="I36" s="129" t="s">
        <v>9</v>
      </c>
      <c r="J36" s="129">
        <v>58.2</v>
      </c>
      <c r="K36" s="129">
        <v>509.9</v>
      </c>
      <c r="L36" s="129">
        <v>39788.400000000001</v>
      </c>
      <c r="M36" s="129" t="s">
        <v>9</v>
      </c>
      <c r="N36" s="129" t="s">
        <v>9</v>
      </c>
      <c r="O36" s="129">
        <v>57.4</v>
      </c>
      <c r="P36" s="129">
        <v>481.5</v>
      </c>
      <c r="Q36" s="249"/>
      <c r="R36" s="249"/>
      <c r="S36" s="249"/>
      <c r="T36" s="249"/>
    </row>
    <row r="37" spans="1:20">
      <c r="A37" s="248">
        <v>1993</v>
      </c>
      <c r="B37" s="83">
        <v>35785.800000000003</v>
      </c>
      <c r="C37" s="156" t="e">
        <f t="shared" si="0"/>
        <v>#VALUE!</v>
      </c>
      <c r="D37" s="249" t="s">
        <v>9</v>
      </c>
      <c r="E37" s="129">
        <v>64.3</v>
      </c>
      <c r="F37" s="129">
        <v>425.8</v>
      </c>
      <c r="G37" s="129">
        <v>42206.2</v>
      </c>
      <c r="H37" s="129" t="s">
        <v>9</v>
      </c>
      <c r="I37" s="129" t="s">
        <v>9</v>
      </c>
      <c r="J37" s="129">
        <v>74</v>
      </c>
      <c r="K37" s="129">
        <v>491.5</v>
      </c>
      <c r="L37" s="129">
        <v>37191.9</v>
      </c>
      <c r="M37" s="129" t="s">
        <v>9</v>
      </c>
      <c r="N37" s="129" t="s">
        <v>9</v>
      </c>
      <c r="O37" s="129">
        <v>73.7</v>
      </c>
      <c r="P37" s="129">
        <v>482.6</v>
      </c>
      <c r="Q37" s="249"/>
      <c r="R37" s="249"/>
      <c r="S37" s="249"/>
      <c r="T37" s="249"/>
    </row>
    <row r="38" spans="1:20">
      <c r="A38" s="248">
        <v>1994</v>
      </c>
      <c r="B38" s="83">
        <v>39407.1</v>
      </c>
      <c r="C38" s="156" t="e">
        <f t="shared" si="0"/>
        <v>#VALUE!</v>
      </c>
      <c r="D38" s="249" t="s">
        <v>9</v>
      </c>
      <c r="E38" s="129">
        <v>132.30000000000001</v>
      </c>
      <c r="F38" s="129">
        <v>437.1</v>
      </c>
      <c r="G38" s="129">
        <v>45311.5</v>
      </c>
      <c r="H38" s="129" t="s">
        <v>9</v>
      </c>
      <c r="I38" s="129" t="s">
        <v>9</v>
      </c>
      <c r="J38" s="129">
        <v>165</v>
      </c>
      <c r="K38" s="129">
        <v>497.9</v>
      </c>
      <c r="L38" s="129">
        <v>40182.6</v>
      </c>
      <c r="M38" s="129" t="s">
        <v>9</v>
      </c>
      <c r="N38" s="129" t="s">
        <v>9</v>
      </c>
      <c r="O38" s="129">
        <v>145.69999999999999</v>
      </c>
      <c r="P38" s="129">
        <v>474.6</v>
      </c>
      <c r="Q38" s="249"/>
      <c r="R38" s="249"/>
      <c r="S38" s="249"/>
      <c r="T38" s="249"/>
    </row>
    <row r="39" spans="1:20">
      <c r="A39" s="248">
        <v>1995</v>
      </c>
      <c r="B39" s="83">
        <v>42529.2</v>
      </c>
      <c r="C39" s="156" t="e">
        <f t="shared" si="0"/>
        <v>#VALUE!</v>
      </c>
      <c r="D39" s="249" t="s">
        <v>9</v>
      </c>
      <c r="E39" s="129">
        <v>252.8</v>
      </c>
      <c r="F39" s="129">
        <v>1146.5</v>
      </c>
      <c r="G39" s="129">
        <v>46992</v>
      </c>
      <c r="H39" s="129" t="s">
        <v>9</v>
      </c>
      <c r="I39" s="129" t="s">
        <v>9</v>
      </c>
      <c r="J39" s="129">
        <v>280.7</v>
      </c>
      <c r="K39" s="129">
        <v>1315</v>
      </c>
      <c r="L39" s="129">
        <v>42609.7</v>
      </c>
      <c r="M39" s="129" t="s">
        <v>9</v>
      </c>
      <c r="N39" s="129" t="s">
        <v>9</v>
      </c>
      <c r="O39" s="129">
        <v>269.10000000000002</v>
      </c>
      <c r="P39" s="129">
        <v>1202.9000000000001</v>
      </c>
      <c r="Q39" s="249"/>
      <c r="R39" s="249"/>
      <c r="S39" s="249"/>
      <c r="T39" s="249"/>
    </row>
    <row r="40" spans="1:20">
      <c r="A40" s="248">
        <v>1996</v>
      </c>
      <c r="B40" s="83">
        <v>46294.2</v>
      </c>
      <c r="C40" s="156" t="e">
        <f t="shared" si="0"/>
        <v>#VALUE!</v>
      </c>
      <c r="D40" s="249" t="s">
        <v>9</v>
      </c>
      <c r="E40" s="129">
        <v>151.9</v>
      </c>
      <c r="F40" s="129">
        <v>922.8</v>
      </c>
      <c r="G40" s="129">
        <v>49978.2</v>
      </c>
      <c r="H40" s="129" t="s">
        <v>9</v>
      </c>
      <c r="I40" s="129" t="s">
        <v>9</v>
      </c>
      <c r="J40" s="129">
        <v>169.8</v>
      </c>
      <c r="K40" s="129">
        <v>977.6</v>
      </c>
      <c r="L40" s="129">
        <v>46115</v>
      </c>
      <c r="M40" s="129" t="s">
        <v>9</v>
      </c>
      <c r="N40" s="129" t="s">
        <v>9</v>
      </c>
      <c r="O40" s="129">
        <v>158.30000000000001</v>
      </c>
      <c r="P40" s="129">
        <v>950.5</v>
      </c>
      <c r="Q40" s="249"/>
      <c r="R40" s="249"/>
      <c r="S40" s="249"/>
      <c r="T40" s="249"/>
    </row>
    <row r="41" spans="1:20">
      <c r="A41" s="248">
        <v>1997</v>
      </c>
      <c r="B41" s="83">
        <v>51185.3</v>
      </c>
      <c r="C41" s="156" t="e">
        <f t="shared" si="0"/>
        <v>#VALUE!</v>
      </c>
      <c r="D41" s="249" t="s">
        <v>9</v>
      </c>
      <c r="E41" s="129">
        <v>237.6</v>
      </c>
      <c r="F41" s="129">
        <v>538.79999999999995</v>
      </c>
      <c r="G41" s="129">
        <v>54168.4</v>
      </c>
      <c r="H41" s="129" t="s">
        <v>9</v>
      </c>
      <c r="I41" s="129" t="s">
        <v>9</v>
      </c>
      <c r="J41" s="129">
        <v>267.2</v>
      </c>
      <c r="K41" s="129">
        <v>574</v>
      </c>
      <c r="L41" s="129">
        <v>50441.1</v>
      </c>
      <c r="M41" s="129" t="s">
        <v>9</v>
      </c>
      <c r="N41" s="129" t="s">
        <v>9</v>
      </c>
      <c r="O41" s="129">
        <v>242.2</v>
      </c>
      <c r="P41" s="129">
        <v>542.70000000000005</v>
      </c>
      <c r="Q41" s="249"/>
      <c r="R41" s="249"/>
      <c r="S41" s="249"/>
      <c r="T41" s="249"/>
    </row>
    <row r="42" spans="1:20">
      <c r="A42" s="248">
        <v>1998</v>
      </c>
      <c r="B42" s="83">
        <v>54577.8</v>
      </c>
      <c r="C42" s="156" t="e">
        <f t="shared" si="0"/>
        <v>#VALUE!</v>
      </c>
      <c r="D42" s="249" t="s">
        <v>9</v>
      </c>
      <c r="E42" s="129">
        <v>174.2</v>
      </c>
      <c r="F42" s="129">
        <v>543.4</v>
      </c>
      <c r="G42" s="129">
        <v>55811.6</v>
      </c>
      <c r="H42" s="129" t="s">
        <v>9</v>
      </c>
      <c r="I42" s="129" t="s">
        <v>9</v>
      </c>
      <c r="J42" s="129">
        <v>169.6</v>
      </c>
      <c r="K42" s="129">
        <v>516</v>
      </c>
      <c r="L42" s="129">
        <v>52701.8</v>
      </c>
      <c r="M42" s="129" t="s">
        <v>9</v>
      </c>
      <c r="N42" s="129" t="s">
        <v>9</v>
      </c>
      <c r="O42" s="129">
        <v>166.4</v>
      </c>
      <c r="P42" s="129">
        <v>513.9</v>
      </c>
      <c r="Q42" s="249"/>
      <c r="R42" s="249"/>
      <c r="S42" s="249"/>
      <c r="T42" s="249"/>
    </row>
    <row r="43" spans="1:20">
      <c r="A43" s="248">
        <v>1999</v>
      </c>
      <c r="B43" s="83">
        <v>58436.2</v>
      </c>
      <c r="C43" s="156" t="e">
        <f t="shared" si="0"/>
        <v>#VALUE!</v>
      </c>
      <c r="D43" s="249" t="s">
        <v>9</v>
      </c>
      <c r="E43" s="129">
        <v>164.7</v>
      </c>
      <c r="F43" s="129">
        <v>507.2</v>
      </c>
      <c r="G43" s="129">
        <v>58986.1</v>
      </c>
      <c r="H43" s="129" t="s">
        <v>9</v>
      </c>
      <c r="I43" s="129" t="s">
        <v>9</v>
      </c>
      <c r="J43" s="129">
        <v>168.9</v>
      </c>
      <c r="K43" s="129">
        <v>491.4</v>
      </c>
      <c r="L43" s="129">
        <v>56958.6</v>
      </c>
      <c r="M43" s="129" t="s">
        <v>9</v>
      </c>
      <c r="N43" s="129" t="s">
        <v>9</v>
      </c>
      <c r="O43" s="129">
        <v>155.19999999999999</v>
      </c>
      <c r="P43" s="129">
        <v>473.4</v>
      </c>
      <c r="Q43" s="249"/>
      <c r="R43" s="249"/>
      <c r="S43" s="249"/>
      <c r="T43" s="249"/>
    </row>
    <row r="44" spans="1:20">
      <c r="A44" s="248">
        <v>2000</v>
      </c>
      <c r="B44" s="83">
        <v>60876.3</v>
      </c>
      <c r="C44" s="156" t="e">
        <f t="shared" si="0"/>
        <v>#VALUE!</v>
      </c>
      <c r="D44" s="249" t="s">
        <v>9</v>
      </c>
      <c r="E44" s="129">
        <v>187</v>
      </c>
      <c r="F44" s="129">
        <v>710.1</v>
      </c>
      <c r="G44" s="129">
        <v>59296.9</v>
      </c>
      <c r="H44" s="129" t="s">
        <v>9</v>
      </c>
      <c r="I44" s="129" t="s">
        <v>9</v>
      </c>
      <c r="J44" s="129">
        <v>178.5</v>
      </c>
      <c r="K44" s="129">
        <v>705.8</v>
      </c>
      <c r="L44" s="129">
        <v>58641.3</v>
      </c>
      <c r="M44" s="129" t="s">
        <v>9</v>
      </c>
      <c r="N44" s="129" t="s">
        <v>9</v>
      </c>
      <c r="O44" s="129">
        <v>172.6</v>
      </c>
      <c r="P44" s="129">
        <v>649</v>
      </c>
      <c r="Q44" s="249"/>
      <c r="R44" s="249"/>
      <c r="S44" s="249"/>
      <c r="T44" s="249"/>
    </row>
    <row r="45" spans="1:20">
      <c r="A45" s="248">
        <v>2001</v>
      </c>
      <c r="B45" s="83">
        <v>62340.5</v>
      </c>
      <c r="C45" s="156" t="e">
        <f t="shared" si="0"/>
        <v>#VALUE!</v>
      </c>
      <c r="D45" s="249" t="s">
        <v>9</v>
      </c>
      <c r="E45" s="129">
        <v>126.3</v>
      </c>
      <c r="F45" s="129">
        <v>580.4</v>
      </c>
      <c r="G45" s="129">
        <v>59905.7</v>
      </c>
      <c r="H45" s="129" t="s">
        <v>9</v>
      </c>
      <c r="I45" s="129" t="s">
        <v>9</v>
      </c>
      <c r="J45" s="129">
        <v>113.5</v>
      </c>
      <c r="K45" s="129">
        <v>559.5</v>
      </c>
      <c r="L45" s="129">
        <v>59487.9</v>
      </c>
      <c r="M45" s="129" t="s">
        <v>9</v>
      </c>
      <c r="N45" s="129" t="s">
        <v>9</v>
      </c>
      <c r="O45" s="129">
        <v>113.1</v>
      </c>
      <c r="P45" s="129">
        <v>513</v>
      </c>
      <c r="Q45" s="249"/>
      <c r="R45" s="249"/>
      <c r="S45" s="249"/>
      <c r="T45" s="249"/>
    </row>
    <row r="46" spans="1:20">
      <c r="A46" s="248">
        <v>2002</v>
      </c>
      <c r="B46" s="83">
        <v>61419.8</v>
      </c>
      <c r="C46" s="156" t="e">
        <f t="shared" si="0"/>
        <v>#VALUE!</v>
      </c>
      <c r="D46" s="249" t="s">
        <v>9</v>
      </c>
      <c r="E46" s="129">
        <v>133.1</v>
      </c>
      <c r="F46" s="129">
        <v>447.7</v>
      </c>
      <c r="G46" s="129">
        <v>60033.2</v>
      </c>
      <c r="H46" s="129" t="s">
        <v>9</v>
      </c>
      <c r="I46" s="129" t="s">
        <v>9</v>
      </c>
      <c r="J46" s="129">
        <v>119.8</v>
      </c>
      <c r="K46" s="129">
        <v>394.8</v>
      </c>
      <c r="L46" s="129">
        <v>58742</v>
      </c>
      <c r="M46" s="129" t="s">
        <v>9</v>
      </c>
      <c r="N46" s="129" t="s">
        <v>9</v>
      </c>
      <c r="O46" s="129">
        <v>118.4</v>
      </c>
      <c r="P46" s="129">
        <v>392.4</v>
      </c>
      <c r="Q46" s="249"/>
      <c r="R46" s="249"/>
      <c r="S46" s="249"/>
      <c r="T46" s="249"/>
    </row>
    <row r="47" spans="1:20">
      <c r="A47" s="248">
        <v>2003</v>
      </c>
      <c r="B47" s="83">
        <v>63972.9</v>
      </c>
      <c r="C47" s="156" t="e">
        <f t="shared" si="0"/>
        <v>#VALUE!</v>
      </c>
      <c r="D47" s="249" t="s">
        <v>9</v>
      </c>
      <c r="E47" s="129">
        <v>117.4</v>
      </c>
      <c r="F47" s="129">
        <v>532.29999999999995</v>
      </c>
      <c r="G47" s="129">
        <v>63829.9</v>
      </c>
      <c r="H47" s="129" t="s">
        <v>9</v>
      </c>
      <c r="I47" s="129" t="s">
        <v>9</v>
      </c>
      <c r="J47" s="129">
        <v>104.3</v>
      </c>
      <c r="K47" s="129">
        <v>498.7</v>
      </c>
      <c r="L47" s="129">
        <v>62660.800000000003</v>
      </c>
      <c r="M47" s="129" t="s">
        <v>9</v>
      </c>
      <c r="N47" s="129" t="s">
        <v>9</v>
      </c>
      <c r="O47" s="129">
        <v>110.8</v>
      </c>
      <c r="P47" s="129">
        <v>491.4</v>
      </c>
      <c r="Q47" s="249"/>
      <c r="R47" s="249"/>
      <c r="S47" s="249"/>
      <c r="T47" s="249"/>
    </row>
    <row r="48" spans="1:20">
      <c r="A48" s="248">
        <v>2004</v>
      </c>
      <c r="B48" s="83">
        <v>67765.399999999994</v>
      </c>
      <c r="C48" s="156" t="e">
        <f t="shared" si="0"/>
        <v>#VALUE!</v>
      </c>
      <c r="D48" s="249" t="s">
        <v>9</v>
      </c>
      <c r="E48" s="129">
        <v>187.9</v>
      </c>
      <c r="F48" s="129">
        <v>454.7</v>
      </c>
      <c r="G48" s="129">
        <v>67880.899999999994</v>
      </c>
      <c r="H48" s="129" t="s">
        <v>9</v>
      </c>
      <c r="I48" s="129" t="s">
        <v>9</v>
      </c>
      <c r="J48" s="129">
        <v>179.6</v>
      </c>
      <c r="K48" s="129">
        <v>443</v>
      </c>
      <c r="L48" s="129">
        <v>67191.600000000006</v>
      </c>
      <c r="M48" s="129" t="s">
        <v>9</v>
      </c>
      <c r="N48" s="129" t="s">
        <v>9</v>
      </c>
      <c r="O48" s="129">
        <v>184.2</v>
      </c>
      <c r="P48" s="129">
        <v>428.7</v>
      </c>
      <c r="Q48" s="249"/>
      <c r="R48" s="249"/>
      <c r="S48" s="249"/>
      <c r="T48" s="249"/>
    </row>
    <row r="49" spans="1:20">
      <c r="A49" s="248">
        <v>2005</v>
      </c>
      <c r="B49" s="83">
        <v>72770.8</v>
      </c>
      <c r="C49" s="156" t="e">
        <f t="shared" si="0"/>
        <v>#VALUE!</v>
      </c>
      <c r="D49" s="249" t="s">
        <v>9</v>
      </c>
      <c r="E49" s="129">
        <v>213.8</v>
      </c>
      <c r="F49" s="129">
        <v>393.5</v>
      </c>
      <c r="G49" s="129">
        <v>73022.100000000006</v>
      </c>
      <c r="H49" s="129" t="s">
        <v>9</v>
      </c>
      <c r="I49" s="129" t="s">
        <v>9</v>
      </c>
      <c r="J49" s="129">
        <v>214.6</v>
      </c>
      <c r="K49" s="129">
        <v>379.7</v>
      </c>
      <c r="L49" s="129">
        <v>72849.5</v>
      </c>
      <c r="M49" s="129" t="s">
        <v>9</v>
      </c>
      <c r="N49" s="129" t="s">
        <v>9</v>
      </c>
      <c r="O49" s="129">
        <v>213.7</v>
      </c>
      <c r="P49" s="129">
        <v>378</v>
      </c>
      <c r="Q49" s="249"/>
      <c r="R49" s="249"/>
      <c r="S49" s="249"/>
      <c r="T49" s="249"/>
    </row>
    <row r="50" spans="1:20">
      <c r="A50" s="248">
        <v>2006</v>
      </c>
      <c r="B50" s="83">
        <v>77793.3</v>
      </c>
      <c r="C50" s="156" t="e">
        <f t="shared" si="0"/>
        <v>#VALUE!</v>
      </c>
      <c r="D50" s="249" t="s">
        <v>9</v>
      </c>
      <c r="E50" s="129">
        <v>195.1</v>
      </c>
      <c r="F50" s="129">
        <v>351.8</v>
      </c>
      <c r="G50" s="129">
        <v>78135</v>
      </c>
      <c r="H50" s="129" t="s">
        <v>9</v>
      </c>
      <c r="I50" s="129" t="s">
        <v>9</v>
      </c>
      <c r="J50" s="129">
        <v>197.4</v>
      </c>
      <c r="K50" s="129">
        <v>346.7</v>
      </c>
      <c r="L50" s="129">
        <v>78135.199999999997</v>
      </c>
      <c r="M50" s="129" t="s">
        <v>9</v>
      </c>
      <c r="N50" s="129" t="s">
        <v>9</v>
      </c>
      <c r="O50" s="129">
        <v>195.3</v>
      </c>
      <c r="P50" s="129">
        <v>346.6</v>
      </c>
      <c r="Q50" s="249"/>
      <c r="R50" s="249"/>
      <c r="S50" s="249"/>
      <c r="T50" s="249"/>
    </row>
    <row r="51" spans="1:20">
      <c r="A51" s="248">
        <v>2007</v>
      </c>
      <c r="B51" s="83">
        <v>78609.8</v>
      </c>
      <c r="C51" s="156" t="e">
        <f t="shared" si="0"/>
        <v>#VALUE!</v>
      </c>
      <c r="D51" s="249" t="s">
        <v>9</v>
      </c>
      <c r="E51" s="129">
        <v>150.30000000000001</v>
      </c>
      <c r="F51" s="129">
        <v>350.8</v>
      </c>
      <c r="G51" s="129">
        <v>78609.8</v>
      </c>
      <c r="H51" s="129" t="s">
        <v>9</v>
      </c>
      <c r="I51" s="129" t="s">
        <v>9</v>
      </c>
      <c r="J51" s="129">
        <v>150.30000000000001</v>
      </c>
      <c r="K51" s="129">
        <v>350.8</v>
      </c>
      <c r="L51" s="129">
        <v>78609.8</v>
      </c>
      <c r="M51" s="129" t="s">
        <v>9</v>
      </c>
      <c r="N51" s="129" t="s">
        <v>9</v>
      </c>
      <c r="O51" s="129">
        <v>150.30000000000001</v>
      </c>
      <c r="P51" s="129">
        <v>350.8</v>
      </c>
      <c r="Q51" s="249"/>
      <c r="R51" s="249"/>
      <c r="S51" s="249"/>
      <c r="T51" s="249"/>
    </row>
    <row r="52" spans="1:20">
      <c r="A52" s="248">
        <v>2008</v>
      </c>
      <c r="B52" s="83">
        <v>82111.5</v>
      </c>
      <c r="C52" s="156" t="e">
        <f t="shared" si="0"/>
        <v>#VALUE!</v>
      </c>
      <c r="D52" s="249" t="s">
        <v>9</v>
      </c>
      <c r="E52" s="129">
        <v>142.30000000000001</v>
      </c>
      <c r="F52" s="129">
        <v>354.2</v>
      </c>
      <c r="G52" s="129">
        <v>79412.2</v>
      </c>
      <c r="H52" s="129" t="s">
        <v>9</v>
      </c>
      <c r="I52" s="129" t="s">
        <v>9</v>
      </c>
      <c r="J52" s="129">
        <v>136.69999999999999</v>
      </c>
      <c r="K52" s="129">
        <v>342.7</v>
      </c>
      <c r="L52" s="129">
        <v>79365.2</v>
      </c>
      <c r="M52" s="129" t="s">
        <v>9</v>
      </c>
      <c r="N52" s="129" t="s">
        <v>9</v>
      </c>
      <c r="O52" s="129">
        <v>136.9</v>
      </c>
      <c r="P52" s="129">
        <v>343.8</v>
      </c>
      <c r="Q52" s="249"/>
      <c r="R52" s="249"/>
      <c r="S52" s="249"/>
      <c r="T52" s="249"/>
    </row>
    <row r="53" spans="1:20">
      <c r="A53" s="248">
        <v>2009</v>
      </c>
      <c r="B53" s="83">
        <v>77291.899999999994</v>
      </c>
      <c r="C53" s="156" t="e">
        <f t="shared" si="0"/>
        <v>#VALUE!</v>
      </c>
      <c r="D53" s="249" t="s">
        <v>9</v>
      </c>
      <c r="E53" s="129">
        <v>58</v>
      </c>
      <c r="F53" s="129">
        <v>220.1</v>
      </c>
      <c r="G53" s="129">
        <v>72549.100000000006</v>
      </c>
      <c r="H53" s="129" t="s">
        <v>9</v>
      </c>
      <c r="I53" s="129" t="s">
        <v>9</v>
      </c>
      <c r="J53" s="129">
        <v>54.2</v>
      </c>
      <c r="K53" s="129">
        <v>204.5</v>
      </c>
      <c r="L53" s="129">
        <v>72699.100000000006</v>
      </c>
      <c r="M53" s="129" t="s">
        <v>9</v>
      </c>
      <c r="N53" s="129" t="s">
        <v>9</v>
      </c>
      <c r="O53" s="129">
        <v>53.8</v>
      </c>
      <c r="P53" s="129">
        <v>203.9</v>
      </c>
      <c r="Q53" s="249"/>
      <c r="R53" s="249"/>
      <c r="S53" s="249"/>
      <c r="T53" s="249"/>
    </row>
    <row r="54" spans="1:20">
      <c r="A54" s="248">
        <v>2010</v>
      </c>
      <c r="B54" s="83">
        <v>84587.8</v>
      </c>
      <c r="C54" s="156" t="s">
        <v>9</v>
      </c>
      <c r="D54" s="249" t="s">
        <v>9</v>
      </c>
      <c r="E54" s="129" t="s">
        <v>9</v>
      </c>
      <c r="F54" s="129">
        <v>206</v>
      </c>
      <c r="G54" s="129">
        <v>81321.7</v>
      </c>
      <c r="H54" s="129" t="s">
        <v>9</v>
      </c>
      <c r="I54" s="129" t="s">
        <v>9</v>
      </c>
      <c r="J54" s="129" t="s">
        <v>9</v>
      </c>
      <c r="K54" s="129">
        <v>200.6</v>
      </c>
      <c r="L54" s="129">
        <v>81541.899999999994</v>
      </c>
      <c r="M54" s="129" t="s">
        <v>9</v>
      </c>
      <c r="N54" s="129" t="s">
        <v>9</v>
      </c>
      <c r="O54" s="129" t="s">
        <v>9</v>
      </c>
      <c r="P54" s="129">
        <v>202.5</v>
      </c>
      <c r="Q54" s="249"/>
      <c r="R54" s="249"/>
      <c r="S54" s="249"/>
      <c r="T54" s="249"/>
    </row>
    <row r="55" spans="1:20">
      <c r="A55" s="248">
        <v>2011</v>
      </c>
      <c r="B55" s="83">
        <v>86075.8</v>
      </c>
      <c r="C55" s="156" t="s">
        <v>9</v>
      </c>
      <c r="D55" s="249" t="s">
        <v>9</v>
      </c>
      <c r="E55" s="129" t="s">
        <v>9</v>
      </c>
      <c r="F55" s="129">
        <v>225.7</v>
      </c>
      <c r="G55" s="129">
        <v>82454</v>
      </c>
      <c r="H55" s="129" t="s">
        <v>9</v>
      </c>
      <c r="I55" s="129" t="s">
        <v>9</v>
      </c>
      <c r="J55" s="129" t="s">
        <v>9</v>
      </c>
      <c r="K55" s="129">
        <v>222.7</v>
      </c>
      <c r="L55" s="129">
        <v>82212.399999999994</v>
      </c>
      <c r="M55" s="129" t="s">
        <v>9</v>
      </c>
      <c r="N55" s="129" t="s">
        <v>9</v>
      </c>
      <c r="O55" s="129" t="s">
        <v>9</v>
      </c>
      <c r="P55" s="129">
        <v>224.5</v>
      </c>
      <c r="Q55" s="249"/>
      <c r="R55" s="249"/>
      <c r="S55" s="249"/>
      <c r="T55" s="249"/>
    </row>
    <row r="56" spans="1:20">
      <c r="A56" s="248">
        <v>2012</v>
      </c>
      <c r="B56" s="83">
        <v>86796.800000000003</v>
      </c>
      <c r="C56" s="156" t="s">
        <v>9</v>
      </c>
      <c r="D56" s="249" t="s">
        <v>9</v>
      </c>
      <c r="E56" s="129" t="s">
        <v>9</v>
      </c>
      <c r="F56" s="129">
        <v>286</v>
      </c>
      <c r="G56" s="129">
        <v>81929.8</v>
      </c>
      <c r="H56" s="129" t="s">
        <v>9</v>
      </c>
      <c r="I56" s="129" t="s">
        <v>9</v>
      </c>
      <c r="J56" s="129" t="s">
        <v>9</v>
      </c>
      <c r="K56" s="129">
        <v>280.10000000000002</v>
      </c>
      <c r="L56" s="129">
        <v>81558.2</v>
      </c>
      <c r="M56" s="129" t="s">
        <v>9</v>
      </c>
      <c r="N56" s="129" t="s">
        <v>9</v>
      </c>
      <c r="O56" s="129" t="s">
        <v>9</v>
      </c>
      <c r="P56" s="129">
        <v>280</v>
      </c>
      <c r="Q56" s="249"/>
      <c r="R56" s="249"/>
      <c r="S56" s="249"/>
      <c r="T56" s="249"/>
    </row>
    <row r="57" spans="1:20">
      <c r="A57" s="248">
        <v>2013</v>
      </c>
      <c r="B57" s="83">
        <v>89360.4</v>
      </c>
      <c r="C57" s="156" t="s">
        <v>9</v>
      </c>
      <c r="D57" s="249" t="s">
        <v>9</v>
      </c>
      <c r="E57" s="129" t="s">
        <v>9</v>
      </c>
      <c r="F57" s="129">
        <v>352.6</v>
      </c>
      <c r="G57" s="129">
        <v>83376.3</v>
      </c>
      <c r="H57" s="129" t="s">
        <v>9</v>
      </c>
      <c r="I57" s="129" t="s">
        <v>9</v>
      </c>
      <c r="J57" s="129" t="s">
        <v>9</v>
      </c>
      <c r="K57" s="129">
        <v>341.5</v>
      </c>
      <c r="L57" s="129">
        <v>83048.100000000006</v>
      </c>
      <c r="M57" s="129" t="s">
        <v>9</v>
      </c>
      <c r="N57" s="129" t="s">
        <v>9</v>
      </c>
      <c r="O57" s="129" t="s">
        <v>9</v>
      </c>
      <c r="P57" s="129">
        <v>339.7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K60" si="1">((B57/B28)^(1/29)-1)*100</f>
        <v>4.7808895106332683</v>
      </c>
      <c r="C60" s="11" t="s">
        <v>10</v>
      </c>
      <c r="D60" s="11" t="s">
        <v>10</v>
      </c>
      <c r="E60" s="11" t="s">
        <v>10</v>
      </c>
      <c r="F60" s="11">
        <f t="shared" si="1"/>
        <v>0.60870319383774518</v>
      </c>
      <c r="G60" s="11">
        <f t="shared" si="1"/>
        <v>3.0200584761914673</v>
      </c>
      <c r="H60" s="11" t="s">
        <v>10</v>
      </c>
      <c r="I60" s="11" t="s">
        <v>10</v>
      </c>
      <c r="J60" s="11" t="s">
        <v>10</v>
      </c>
      <c r="K60" s="11">
        <f t="shared" si="1"/>
        <v>-1.0381939280900254</v>
      </c>
      <c r="L60" s="11">
        <f>((L57/L28)^(1/29)-1)*100</f>
        <v>4.0663624485099303</v>
      </c>
      <c r="M60" s="11" t="s">
        <v>10</v>
      </c>
      <c r="N60" s="11" t="s">
        <v>10</v>
      </c>
      <c r="O60" s="11" t="s">
        <v>10</v>
      </c>
      <c r="P60" s="11">
        <f t="shared" ref="P60" si="2">((P57/P28)^(1/29)-1)*100</f>
        <v>-0.5866363813173292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K61" si="3">((B33/B28)^(1/5)-1)*100</f>
        <v>12.829482895711109</v>
      </c>
      <c r="C61" s="11" t="e">
        <f t="shared" si="3"/>
        <v>#VALUE!</v>
      </c>
      <c r="D61" s="11" t="s">
        <v>10</v>
      </c>
      <c r="E61" s="11">
        <f t="shared" si="3"/>
        <v>17.428988681369397</v>
      </c>
      <c r="F61" s="11">
        <f t="shared" si="3"/>
        <v>25.286668591775641</v>
      </c>
      <c r="G61" s="11">
        <f t="shared" si="3"/>
        <v>8.5825114342438233</v>
      </c>
      <c r="H61" s="11" t="s">
        <v>10</v>
      </c>
      <c r="I61" s="11" t="s">
        <v>10</v>
      </c>
      <c r="J61" s="11">
        <f t="shared" si="3"/>
        <v>13.463624609203384</v>
      </c>
      <c r="K61" s="11">
        <f t="shared" si="3"/>
        <v>20.989344454283398</v>
      </c>
      <c r="L61" s="11">
        <f>((L33/L28)^(1/5)-1)*100</f>
        <v>10.371584062642158</v>
      </c>
      <c r="M61" s="11" t="s">
        <v>10</v>
      </c>
      <c r="N61" s="11" t="s">
        <v>10</v>
      </c>
      <c r="O61" s="11">
        <f t="shared" ref="O61:P61" si="4">((O33/O28)^(1/5)-1)*100</f>
        <v>14.333947747847242</v>
      </c>
      <c r="P61" s="11">
        <f t="shared" si="4"/>
        <v>22.431173768864497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K62" si="5">((B44/B33)^(1/11)-1)*100</f>
        <v>3.3923074087595984</v>
      </c>
      <c r="C62" s="11" t="e">
        <f t="shared" si="5"/>
        <v>#VALUE!</v>
      </c>
      <c r="D62" s="11" t="s">
        <v>10</v>
      </c>
      <c r="E62" s="11">
        <f t="shared" si="5"/>
        <v>1.9936635155163529</v>
      </c>
      <c r="F62" s="11">
        <f t="shared" si="5"/>
        <v>-2.2569678604931753</v>
      </c>
      <c r="G62" s="11">
        <f t="shared" si="5"/>
        <v>1.0081783887002205</v>
      </c>
      <c r="H62" s="11" t="s">
        <v>10</v>
      </c>
      <c r="I62" s="11" t="s">
        <v>10</v>
      </c>
      <c r="J62" s="11">
        <f t="shared" si="5"/>
        <v>-1.3722026182359071</v>
      </c>
      <c r="K62" s="11">
        <f t="shared" si="5"/>
        <v>-4.6981210539550844</v>
      </c>
      <c r="L62" s="11">
        <f>((L44/L33)^(1/11)-1)*100</f>
        <v>2.9004145630942446</v>
      </c>
      <c r="M62" s="11" t="s">
        <v>10</v>
      </c>
      <c r="N62" s="11" t="s">
        <v>10</v>
      </c>
      <c r="O62" s="11">
        <f t="shared" ref="O62:P62" si="6">((O44/O33)^(1/11)-1)*100</f>
        <v>-0.67742140474627011</v>
      </c>
      <c r="P62" s="11">
        <f t="shared" si="6"/>
        <v>-4.7485537501109505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3.7196890539719085</v>
      </c>
      <c r="C63" s="11" t="e">
        <f t="shared" ref="C63:P63" si="7">((C51/C44)^(1/7)-1)*100</f>
        <v>#VALUE!</v>
      </c>
      <c r="D63" s="11" t="s">
        <v>10</v>
      </c>
      <c r="E63" s="11">
        <f t="shared" si="7"/>
        <v>-3.0728732078568965</v>
      </c>
      <c r="F63" s="11">
        <f t="shared" si="7"/>
        <v>-9.5833146826890037</v>
      </c>
      <c r="G63" s="11">
        <f t="shared" si="7"/>
        <v>4.1099170099292426</v>
      </c>
      <c r="H63" s="11" t="s">
        <v>10</v>
      </c>
      <c r="I63" s="11" t="s">
        <v>10</v>
      </c>
      <c r="J63" s="11">
        <f t="shared" si="7"/>
        <v>-2.4265778309014996</v>
      </c>
      <c r="K63" s="11">
        <f t="shared" si="7"/>
        <v>-9.504826155736378</v>
      </c>
      <c r="L63" s="11">
        <f t="shared" si="7"/>
        <v>4.2754017340943307</v>
      </c>
      <c r="M63" s="11" t="s">
        <v>10</v>
      </c>
      <c r="N63" s="11" t="s">
        <v>10</v>
      </c>
      <c r="O63" s="11">
        <f t="shared" si="7"/>
        <v>-1.9569339694517018</v>
      </c>
      <c r="P63" s="11">
        <f t="shared" si="7"/>
        <v>-8.4136612003535163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2.1593377161088556</v>
      </c>
      <c r="C64" s="11" t="e">
        <f t="shared" ref="C64:P64" si="8">((C57/C51)^(1/6)-1)*100</f>
        <v>#VALUE!</v>
      </c>
      <c r="D64" s="11" t="s">
        <v>10</v>
      </c>
      <c r="E64" s="11" t="s">
        <v>10</v>
      </c>
      <c r="F64" s="11">
        <f t="shared" si="8"/>
        <v>8.5336548693382142E-2</v>
      </c>
      <c r="G64" s="11">
        <f t="shared" si="8"/>
        <v>0.98595755925074968</v>
      </c>
      <c r="H64" s="11" t="s">
        <v>10</v>
      </c>
      <c r="I64" s="11" t="s">
        <v>10</v>
      </c>
      <c r="J64" s="11" t="s">
        <v>10</v>
      </c>
      <c r="K64" s="11">
        <f t="shared" si="8"/>
        <v>-0.44680851886108597</v>
      </c>
      <c r="L64" s="11">
        <f t="shared" si="8"/>
        <v>0.91959560945347185</v>
      </c>
      <c r="M64" s="11" t="s">
        <v>10</v>
      </c>
      <c r="N64" s="11" t="s">
        <v>10</v>
      </c>
      <c r="O64" s="11" t="s">
        <v>10</v>
      </c>
      <c r="P64" s="11">
        <f t="shared" si="8"/>
        <v>-0.53445642786945635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K65" si="9">((B57/B44)^(1/13)-1)*100</f>
        <v>2.9965873137679733</v>
      </c>
      <c r="C65" s="11" t="s">
        <v>10</v>
      </c>
      <c r="D65" s="11" t="s">
        <v>10</v>
      </c>
      <c r="E65" s="11" t="s">
        <v>10</v>
      </c>
      <c r="F65" s="11">
        <f t="shared" si="9"/>
        <v>-5.2427337731290269</v>
      </c>
      <c r="G65" s="11">
        <f t="shared" si="9"/>
        <v>2.6562588484887906</v>
      </c>
      <c r="H65" s="11" t="s">
        <v>10</v>
      </c>
      <c r="I65" s="11" t="s">
        <v>10</v>
      </c>
      <c r="J65" s="11" t="s">
        <v>10</v>
      </c>
      <c r="K65" s="11">
        <f t="shared" si="9"/>
        <v>-5.4314238333216576</v>
      </c>
      <c r="L65" s="11">
        <f>((L57/L44)^(1/13)-1)*100</f>
        <v>2.7129222836611344</v>
      </c>
      <c r="M65" s="11" t="s">
        <v>10</v>
      </c>
      <c r="N65" s="11" t="s">
        <v>10</v>
      </c>
      <c r="O65" s="11" t="s">
        <v>10</v>
      </c>
      <c r="P65" s="11">
        <f t="shared" ref="P65" si="10">((P57/P44)^(1/13)-1)*100</f>
        <v>-4.8578103404816826</v>
      </c>
      <c r="Q65" s="249"/>
      <c r="R65" s="249"/>
      <c r="S65" s="249"/>
      <c r="T65" s="249"/>
    </row>
    <row r="66" spans="1:20">
      <c r="A66" s="12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"/>
      <c r="M66" s="128"/>
      <c r="N66" s="12"/>
      <c r="O66" s="12"/>
      <c r="P66" s="12"/>
    </row>
    <row r="67" spans="1:20" s="180" customFormat="1">
      <c r="A67" s="174" t="s">
        <v>55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</row>
    <row r="68" spans="1:20" s="180" customFormat="1">
      <c r="A68" s="168" t="s">
        <v>56</v>
      </c>
      <c r="B68" s="174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</row>
    <row r="69" spans="1:20">
      <c r="A69" s="53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</row>
    <row r="70" spans="1:20">
      <c r="A70" s="53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22" zoomScaleNormal="100" zoomScaleSheetLayoutView="100" workbookViewId="0">
      <selection activeCell="O41" sqref="O41"/>
    </sheetView>
  </sheetViews>
  <sheetFormatPr defaultRowHeight="15"/>
  <cols>
    <col min="1" max="1" width="9.140625" style="165"/>
    <col min="2" max="11" width="9.140625" style="176"/>
    <col min="12" max="12" width="15.140625" style="165" customWidth="1"/>
    <col min="13" max="16384" width="9.140625" style="165"/>
  </cols>
  <sheetData>
    <row r="1" spans="1:20" ht="29.25" customHeight="1">
      <c r="A1" s="454" t="s">
        <v>228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584</v>
      </c>
      <c r="C5" s="129" t="s">
        <v>9</v>
      </c>
      <c r="D5" s="129">
        <v>5.0999999999999996</v>
      </c>
      <c r="E5" s="129">
        <v>5.6</v>
      </c>
      <c r="F5" s="129" t="s">
        <v>9</v>
      </c>
      <c r="G5" s="129">
        <v>2651.3</v>
      </c>
      <c r="H5" s="129" t="s">
        <v>9</v>
      </c>
      <c r="I5" s="129">
        <v>25.9</v>
      </c>
      <c r="J5" s="129">
        <v>32.9</v>
      </c>
      <c r="K5" s="129" t="s">
        <v>9</v>
      </c>
      <c r="L5" s="129">
        <v>1175.3</v>
      </c>
      <c r="M5" s="129" t="s">
        <v>9</v>
      </c>
      <c r="N5" s="129">
        <v>21.9</v>
      </c>
      <c r="O5" s="129">
        <v>30</v>
      </c>
      <c r="P5" s="129" t="s">
        <v>9</v>
      </c>
      <c r="Q5" s="249"/>
      <c r="R5" s="249"/>
      <c r="S5" s="249"/>
      <c r="T5" s="249"/>
    </row>
    <row r="6" spans="1:20">
      <c r="A6" s="248">
        <v>1962</v>
      </c>
      <c r="B6" s="129">
        <v>603.79999999999995</v>
      </c>
      <c r="C6" s="129" t="s">
        <v>9</v>
      </c>
      <c r="D6" s="129">
        <v>5.4</v>
      </c>
      <c r="E6" s="129">
        <v>4.7</v>
      </c>
      <c r="F6" s="129" t="s">
        <v>9</v>
      </c>
      <c r="G6" s="129">
        <v>2706.9</v>
      </c>
      <c r="H6" s="129" t="s">
        <v>9</v>
      </c>
      <c r="I6" s="129">
        <v>26.9</v>
      </c>
      <c r="J6" s="129">
        <v>27.3</v>
      </c>
      <c r="K6" s="129" t="s">
        <v>9</v>
      </c>
      <c r="L6" s="129">
        <v>1203.7</v>
      </c>
      <c r="M6" s="129" t="s">
        <v>9</v>
      </c>
      <c r="N6" s="129">
        <v>22.6</v>
      </c>
      <c r="O6" s="129">
        <v>24.9</v>
      </c>
      <c r="P6" s="129" t="s">
        <v>9</v>
      </c>
      <c r="Q6" s="249"/>
      <c r="R6" s="249"/>
      <c r="S6" s="249"/>
      <c r="T6" s="249"/>
    </row>
    <row r="7" spans="1:20">
      <c r="A7" s="248">
        <v>1963</v>
      </c>
      <c r="B7" s="129">
        <v>675.3</v>
      </c>
      <c r="C7" s="129" t="s">
        <v>9</v>
      </c>
      <c r="D7" s="129">
        <v>5.3</v>
      </c>
      <c r="E7" s="129">
        <v>6.3</v>
      </c>
      <c r="F7" s="129" t="s">
        <v>9</v>
      </c>
      <c r="G7" s="129">
        <v>2934.7</v>
      </c>
      <c r="H7" s="129" t="s">
        <v>9</v>
      </c>
      <c r="I7" s="129">
        <v>25.9</v>
      </c>
      <c r="J7" s="129">
        <v>35.799999999999997</v>
      </c>
      <c r="K7" s="129" t="s">
        <v>9</v>
      </c>
      <c r="L7" s="129">
        <v>1307</v>
      </c>
      <c r="M7" s="129" t="s">
        <v>9</v>
      </c>
      <c r="N7" s="129">
        <v>21.8</v>
      </c>
      <c r="O7" s="129">
        <v>32.700000000000003</v>
      </c>
      <c r="P7" s="129" t="s">
        <v>9</v>
      </c>
      <c r="Q7" s="249"/>
      <c r="R7" s="249"/>
      <c r="S7" s="249"/>
      <c r="T7" s="249"/>
    </row>
    <row r="8" spans="1:20">
      <c r="A8" s="248">
        <v>1964</v>
      </c>
      <c r="B8" s="129">
        <v>789.2</v>
      </c>
      <c r="C8" s="129" t="s">
        <v>9</v>
      </c>
      <c r="D8" s="129">
        <v>8.1999999999999993</v>
      </c>
      <c r="E8" s="129">
        <v>8.6999999999999993</v>
      </c>
      <c r="F8" s="129" t="s">
        <v>9</v>
      </c>
      <c r="G8" s="129">
        <v>3364.8</v>
      </c>
      <c r="H8" s="129" t="s">
        <v>9</v>
      </c>
      <c r="I8" s="129">
        <v>39.5</v>
      </c>
      <c r="J8" s="129">
        <v>47</v>
      </c>
      <c r="K8" s="129" t="s">
        <v>9</v>
      </c>
      <c r="L8" s="129">
        <v>1501.8</v>
      </c>
      <c r="M8" s="129" t="s">
        <v>9</v>
      </c>
      <c r="N8" s="129">
        <v>33.1</v>
      </c>
      <c r="O8" s="129">
        <v>42.8</v>
      </c>
      <c r="P8" s="129" t="s">
        <v>9</v>
      </c>
      <c r="Q8" s="249"/>
      <c r="R8" s="249"/>
      <c r="S8" s="249"/>
      <c r="T8" s="249"/>
    </row>
    <row r="9" spans="1:20">
      <c r="A9" s="248">
        <v>1965</v>
      </c>
      <c r="B9" s="129">
        <v>942.5</v>
      </c>
      <c r="C9" s="129" t="s">
        <v>9</v>
      </c>
      <c r="D9" s="129">
        <v>7.6</v>
      </c>
      <c r="E9" s="129">
        <v>7.9</v>
      </c>
      <c r="F9" s="129" t="s">
        <v>9</v>
      </c>
      <c r="G9" s="129">
        <v>3926.5</v>
      </c>
      <c r="H9" s="129" t="s">
        <v>9</v>
      </c>
      <c r="I9" s="129">
        <v>35.4</v>
      </c>
      <c r="J9" s="129">
        <v>40.5</v>
      </c>
      <c r="K9" s="129" t="s">
        <v>9</v>
      </c>
      <c r="L9" s="129">
        <v>1740.3</v>
      </c>
      <c r="M9" s="129" t="s">
        <v>9</v>
      </c>
      <c r="N9" s="129">
        <v>30</v>
      </c>
      <c r="O9" s="129">
        <v>37</v>
      </c>
      <c r="P9" s="129" t="s">
        <v>9</v>
      </c>
      <c r="Q9" s="249"/>
      <c r="R9" s="249"/>
      <c r="S9" s="249"/>
      <c r="T9" s="249"/>
    </row>
    <row r="10" spans="1:20">
      <c r="A10" s="248">
        <v>1966</v>
      </c>
      <c r="B10" s="129">
        <v>1192.9000000000001</v>
      </c>
      <c r="C10" s="129" t="s">
        <v>9</v>
      </c>
      <c r="D10" s="129">
        <v>9</v>
      </c>
      <c r="E10" s="129">
        <v>10.5</v>
      </c>
      <c r="F10" s="129" t="s">
        <v>9</v>
      </c>
      <c r="G10" s="129">
        <v>4881.8</v>
      </c>
      <c r="H10" s="129" t="s">
        <v>9</v>
      </c>
      <c r="I10" s="129">
        <v>41</v>
      </c>
      <c r="J10" s="129">
        <v>53.1</v>
      </c>
      <c r="K10" s="129" t="s">
        <v>9</v>
      </c>
      <c r="L10" s="129">
        <v>2170.4</v>
      </c>
      <c r="M10" s="129" t="s">
        <v>9</v>
      </c>
      <c r="N10" s="129">
        <v>35</v>
      </c>
      <c r="O10" s="129">
        <v>48.5</v>
      </c>
      <c r="P10" s="129" t="s">
        <v>9</v>
      </c>
      <c r="Q10" s="249"/>
      <c r="R10" s="249"/>
      <c r="S10" s="249"/>
      <c r="T10" s="249"/>
    </row>
    <row r="11" spans="1:20">
      <c r="A11" s="248">
        <v>1967</v>
      </c>
      <c r="B11" s="129">
        <v>1156.8</v>
      </c>
      <c r="C11" s="129" t="s">
        <v>9</v>
      </c>
      <c r="D11" s="129">
        <v>12.1</v>
      </c>
      <c r="E11" s="129">
        <v>11.5</v>
      </c>
      <c r="F11" s="129" t="s">
        <v>9</v>
      </c>
      <c r="G11" s="129">
        <v>4578.1000000000004</v>
      </c>
      <c r="H11" s="129" t="s">
        <v>9</v>
      </c>
      <c r="I11" s="129">
        <v>55.3</v>
      </c>
      <c r="J11" s="129">
        <v>58.6</v>
      </c>
      <c r="K11" s="129" t="s">
        <v>9</v>
      </c>
      <c r="L11" s="129">
        <v>2081.4</v>
      </c>
      <c r="M11" s="129" t="s">
        <v>9</v>
      </c>
      <c r="N11" s="129">
        <v>46.1</v>
      </c>
      <c r="O11" s="129">
        <v>53.6</v>
      </c>
      <c r="P11" s="129" t="s">
        <v>9</v>
      </c>
      <c r="Q11" s="249"/>
      <c r="R11" s="249"/>
      <c r="S11" s="249"/>
      <c r="T11" s="249"/>
    </row>
    <row r="12" spans="1:20">
      <c r="A12" s="248">
        <v>1968</v>
      </c>
      <c r="B12" s="129">
        <v>1130.2</v>
      </c>
      <c r="C12" s="129" t="s">
        <v>9</v>
      </c>
      <c r="D12" s="129">
        <v>9</v>
      </c>
      <c r="E12" s="129">
        <v>9.6</v>
      </c>
      <c r="F12" s="129" t="s">
        <v>9</v>
      </c>
      <c r="G12" s="129">
        <v>4423.2</v>
      </c>
      <c r="H12" s="129" t="s">
        <v>9</v>
      </c>
      <c r="I12" s="129">
        <v>38.6</v>
      </c>
      <c r="J12" s="129">
        <v>48.6</v>
      </c>
      <c r="K12" s="129" t="s">
        <v>9</v>
      </c>
      <c r="L12" s="129">
        <v>2007.6</v>
      </c>
      <c r="M12" s="129" t="s">
        <v>9</v>
      </c>
      <c r="N12" s="129">
        <v>33.5</v>
      </c>
      <c r="O12" s="129">
        <v>44.4</v>
      </c>
      <c r="P12" s="129" t="s">
        <v>9</v>
      </c>
      <c r="Q12" s="249"/>
      <c r="R12" s="249"/>
      <c r="S12" s="249"/>
      <c r="T12" s="249"/>
    </row>
    <row r="13" spans="1:20">
      <c r="A13" s="248">
        <v>1969</v>
      </c>
      <c r="B13" s="129">
        <v>1222</v>
      </c>
      <c r="C13" s="129" t="s">
        <v>9</v>
      </c>
      <c r="D13" s="129">
        <v>9.1</v>
      </c>
      <c r="E13" s="129">
        <v>13.6</v>
      </c>
      <c r="F13" s="129" t="s">
        <v>9</v>
      </c>
      <c r="G13" s="129">
        <v>4570.3999999999996</v>
      </c>
      <c r="H13" s="129" t="s">
        <v>9</v>
      </c>
      <c r="I13" s="129">
        <v>40</v>
      </c>
      <c r="J13" s="129">
        <v>67.5</v>
      </c>
      <c r="K13" s="129" t="s">
        <v>9</v>
      </c>
      <c r="L13" s="129">
        <v>2109.3000000000002</v>
      </c>
      <c r="M13" s="129" t="s">
        <v>9</v>
      </c>
      <c r="N13" s="129">
        <v>32.9</v>
      </c>
      <c r="O13" s="129">
        <v>61.2</v>
      </c>
      <c r="P13" s="129" t="s">
        <v>9</v>
      </c>
      <c r="Q13" s="249"/>
      <c r="R13" s="249"/>
      <c r="S13" s="249"/>
      <c r="T13" s="249"/>
    </row>
    <row r="14" spans="1:20">
      <c r="A14" s="248">
        <v>1970</v>
      </c>
      <c r="B14" s="129">
        <v>1148.3</v>
      </c>
      <c r="C14" s="129" t="s">
        <v>9</v>
      </c>
      <c r="D14" s="129">
        <v>5</v>
      </c>
      <c r="E14" s="129">
        <v>12.3</v>
      </c>
      <c r="F14" s="129" t="s">
        <v>9</v>
      </c>
      <c r="G14" s="129">
        <v>4021.4</v>
      </c>
      <c r="H14" s="129" t="s">
        <v>9</v>
      </c>
      <c r="I14" s="129">
        <v>21</v>
      </c>
      <c r="J14" s="129">
        <v>56</v>
      </c>
      <c r="K14" s="129" t="s">
        <v>9</v>
      </c>
      <c r="L14" s="129">
        <v>1892.6</v>
      </c>
      <c r="M14" s="129" t="s">
        <v>9</v>
      </c>
      <c r="N14" s="129">
        <v>17.3</v>
      </c>
      <c r="O14" s="129">
        <v>51.8</v>
      </c>
      <c r="P14" s="129" t="s">
        <v>9</v>
      </c>
      <c r="Q14" s="249"/>
      <c r="R14" s="249"/>
      <c r="S14" s="249"/>
      <c r="T14" s="249"/>
    </row>
    <row r="15" spans="1:20">
      <c r="A15" s="248">
        <v>1971</v>
      </c>
      <c r="B15" s="129">
        <v>1246.9000000000001</v>
      </c>
      <c r="C15" s="129" t="s">
        <v>9</v>
      </c>
      <c r="D15" s="129">
        <v>5.9</v>
      </c>
      <c r="E15" s="129">
        <v>13.4</v>
      </c>
      <c r="F15" s="129" t="s">
        <v>9</v>
      </c>
      <c r="G15" s="129">
        <v>4125</v>
      </c>
      <c r="H15" s="129" t="s">
        <v>9</v>
      </c>
      <c r="I15" s="129">
        <v>24.1</v>
      </c>
      <c r="J15" s="129">
        <v>60.1</v>
      </c>
      <c r="K15" s="129" t="s">
        <v>9</v>
      </c>
      <c r="L15" s="129">
        <v>1975</v>
      </c>
      <c r="M15" s="129" t="s">
        <v>9</v>
      </c>
      <c r="N15" s="129">
        <v>20.3</v>
      </c>
      <c r="O15" s="129">
        <v>55.3</v>
      </c>
      <c r="P15" s="129" t="s">
        <v>9</v>
      </c>
      <c r="Q15" s="249"/>
      <c r="R15" s="249"/>
      <c r="S15" s="249"/>
      <c r="T15" s="249"/>
    </row>
    <row r="16" spans="1:20">
      <c r="A16" s="248">
        <v>1972</v>
      </c>
      <c r="B16" s="129">
        <v>1595.2</v>
      </c>
      <c r="C16" s="129" t="s">
        <v>9</v>
      </c>
      <c r="D16" s="129">
        <v>7.3</v>
      </c>
      <c r="E16" s="129">
        <v>26.1</v>
      </c>
      <c r="F16" s="129" t="s">
        <v>9</v>
      </c>
      <c r="G16" s="129">
        <v>5274.1</v>
      </c>
      <c r="H16" s="129" t="s">
        <v>9</v>
      </c>
      <c r="I16" s="129">
        <v>28.9</v>
      </c>
      <c r="J16" s="129">
        <v>113.5</v>
      </c>
      <c r="K16" s="129" t="s">
        <v>9</v>
      </c>
      <c r="L16" s="129">
        <v>2464.3000000000002</v>
      </c>
      <c r="M16" s="129" t="s">
        <v>9</v>
      </c>
      <c r="N16" s="129">
        <v>24.3</v>
      </c>
      <c r="O16" s="129">
        <v>104.3</v>
      </c>
      <c r="P16" s="129" t="s">
        <v>9</v>
      </c>
      <c r="Q16" s="249"/>
      <c r="R16" s="249"/>
      <c r="S16" s="249"/>
      <c r="T16" s="249"/>
    </row>
    <row r="17" spans="1:20">
      <c r="A17" s="248">
        <v>1973</v>
      </c>
      <c r="B17" s="129">
        <v>1989.1</v>
      </c>
      <c r="C17" s="129" t="s">
        <v>9</v>
      </c>
      <c r="D17" s="129">
        <v>13.1</v>
      </c>
      <c r="E17" s="129">
        <v>40.5</v>
      </c>
      <c r="F17" s="129" t="s">
        <v>9</v>
      </c>
      <c r="G17" s="129">
        <v>6450.8</v>
      </c>
      <c r="H17" s="129" t="s">
        <v>9</v>
      </c>
      <c r="I17" s="129">
        <v>50.6</v>
      </c>
      <c r="J17" s="129">
        <v>168.1</v>
      </c>
      <c r="K17" s="129" t="s">
        <v>9</v>
      </c>
      <c r="L17" s="129">
        <v>2980.6</v>
      </c>
      <c r="M17" s="129" t="s">
        <v>9</v>
      </c>
      <c r="N17" s="129">
        <v>41.6</v>
      </c>
      <c r="O17" s="129">
        <v>152.4</v>
      </c>
      <c r="P17" s="129" t="s">
        <v>9</v>
      </c>
      <c r="Q17" s="249"/>
      <c r="R17" s="249"/>
      <c r="S17" s="249"/>
      <c r="T17" s="249"/>
    </row>
    <row r="18" spans="1:20">
      <c r="A18" s="248">
        <v>1974</v>
      </c>
      <c r="B18" s="129">
        <v>2520.8000000000002</v>
      </c>
      <c r="C18" s="129" t="s">
        <v>9</v>
      </c>
      <c r="D18" s="129">
        <v>30.8</v>
      </c>
      <c r="E18" s="129">
        <v>45.9</v>
      </c>
      <c r="F18" s="129" t="s">
        <v>9</v>
      </c>
      <c r="G18" s="129">
        <v>7194.8</v>
      </c>
      <c r="H18" s="129" t="s">
        <v>9</v>
      </c>
      <c r="I18" s="129">
        <v>105.5</v>
      </c>
      <c r="J18" s="129">
        <v>161.5</v>
      </c>
      <c r="K18" s="129" t="s">
        <v>9</v>
      </c>
      <c r="L18" s="129">
        <v>3410.2</v>
      </c>
      <c r="M18" s="129" t="s">
        <v>9</v>
      </c>
      <c r="N18" s="129">
        <v>86.1</v>
      </c>
      <c r="O18" s="129">
        <v>149.6</v>
      </c>
      <c r="P18" s="129" t="s">
        <v>9</v>
      </c>
      <c r="Q18" s="249"/>
      <c r="R18" s="249"/>
      <c r="S18" s="249"/>
      <c r="T18" s="249"/>
    </row>
    <row r="19" spans="1:20">
      <c r="A19" s="248">
        <v>1975</v>
      </c>
      <c r="B19" s="129">
        <v>2907.1</v>
      </c>
      <c r="C19" s="129" t="s">
        <v>9</v>
      </c>
      <c r="D19" s="129">
        <v>26.8</v>
      </c>
      <c r="E19" s="129">
        <v>45.8</v>
      </c>
      <c r="F19" s="129" t="s">
        <v>9</v>
      </c>
      <c r="G19" s="129">
        <v>7179.1</v>
      </c>
      <c r="H19" s="129" t="s">
        <v>9</v>
      </c>
      <c r="I19" s="129">
        <v>79.099999999999994</v>
      </c>
      <c r="J19" s="129">
        <v>136.80000000000001</v>
      </c>
      <c r="K19" s="129" t="s">
        <v>9</v>
      </c>
      <c r="L19" s="129">
        <v>3490.6</v>
      </c>
      <c r="M19" s="129" t="s">
        <v>9</v>
      </c>
      <c r="N19" s="129">
        <v>65.3</v>
      </c>
      <c r="O19" s="129">
        <v>128</v>
      </c>
      <c r="P19" s="129" t="s">
        <v>9</v>
      </c>
      <c r="Q19" s="249"/>
      <c r="R19" s="249"/>
      <c r="S19" s="249"/>
      <c r="T19" s="249"/>
    </row>
    <row r="20" spans="1:20">
      <c r="A20" s="248">
        <v>1976</v>
      </c>
      <c r="B20" s="129">
        <v>2830</v>
      </c>
      <c r="C20" s="129" t="s">
        <v>9</v>
      </c>
      <c r="D20" s="129">
        <v>12.1</v>
      </c>
      <c r="E20" s="129">
        <v>38.6</v>
      </c>
      <c r="F20" s="129" t="s">
        <v>9</v>
      </c>
      <c r="G20" s="129">
        <v>6547.4</v>
      </c>
      <c r="H20" s="129" t="s">
        <v>9</v>
      </c>
      <c r="I20" s="129">
        <v>33.6</v>
      </c>
      <c r="J20" s="129">
        <v>108.1</v>
      </c>
      <c r="K20" s="129" t="s">
        <v>9</v>
      </c>
      <c r="L20" s="129">
        <v>3253.1</v>
      </c>
      <c r="M20" s="129" t="s">
        <v>9</v>
      </c>
      <c r="N20" s="129">
        <v>27.9</v>
      </c>
      <c r="O20" s="129">
        <v>100.9</v>
      </c>
      <c r="P20" s="129" t="s">
        <v>9</v>
      </c>
      <c r="Q20" s="249"/>
      <c r="R20" s="249"/>
      <c r="S20" s="249"/>
      <c r="T20" s="249"/>
    </row>
    <row r="21" spans="1:20">
      <c r="A21" s="248">
        <v>1977</v>
      </c>
      <c r="B21" s="129">
        <v>3214.9</v>
      </c>
      <c r="C21" s="129" t="s">
        <v>9</v>
      </c>
      <c r="D21" s="129">
        <v>8.4</v>
      </c>
      <c r="E21" s="129">
        <v>37.299999999999997</v>
      </c>
      <c r="F21" s="129" t="s">
        <v>9</v>
      </c>
      <c r="G21" s="129">
        <v>7048.8</v>
      </c>
      <c r="H21" s="129" t="s">
        <v>9</v>
      </c>
      <c r="I21" s="129">
        <v>21</v>
      </c>
      <c r="J21" s="129">
        <v>94.6</v>
      </c>
      <c r="K21" s="129" t="s">
        <v>9</v>
      </c>
      <c r="L21" s="129">
        <v>3463</v>
      </c>
      <c r="M21" s="129" t="s">
        <v>9</v>
      </c>
      <c r="N21" s="129">
        <v>17.600000000000001</v>
      </c>
      <c r="O21" s="129">
        <v>88.5</v>
      </c>
      <c r="P21" s="129" t="s">
        <v>9</v>
      </c>
      <c r="Q21" s="249"/>
      <c r="R21" s="249"/>
      <c r="S21" s="249"/>
      <c r="T21" s="249"/>
    </row>
    <row r="22" spans="1:20">
      <c r="A22" s="248">
        <v>1978</v>
      </c>
      <c r="B22" s="129">
        <v>3484.4</v>
      </c>
      <c r="C22" s="129" t="s">
        <v>9</v>
      </c>
      <c r="D22" s="129">
        <v>14.5</v>
      </c>
      <c r="E22" s="129">
        <v>35.700000000000003</v>
      </c>
      <c r="F22" s="129" t="s">
        <v>9</v>
      </c>
      <c r="G22" s="129">
        <v>6681.2</v>
      </c>
      <c r="H22" s="129" t="s">
        <v>9</v>
      </c>
      <c r="I22" s="129">
        <v>32.4</v>
      </c>
      <c r="J22" s="129">
        <v>79.2</v>
      </c>
      <c r="K22" s="129" t="s">
        <v>9</v>
      </c>
      <c r="L22" s="129">
        <v>3491.6</v>
      </c>
      <c r="M22" s="129" t="s">
        <v>9</v>
      </c>
      <c r="N22" s="129">
        <v>27</v>
      </c>
      <c r="O22" s="129">
        <v>75.400000000000006</v>
      </c>
      <c r="P22" s="129" t="s">
        <v>9</v>
      </c>
      <c r="Q22" s="249"/>
      <c r="R22" s="249"/>
      <c r="S22" s="249"/>
      <c r="T22" s="249"/>
    </row>
    <row r="23" spans="1:20">
      <c r="A23" s="248">
        <v>1979</v>
      </c>
      <c r="B23" s="129">
        <v>4081.9</v>
      </c>
      <c r="C23" s="129" t="s">
        <v>9</v>
      </c>
      <c r="D23" s="129">
        <v>19.8</v>
      </c>
      <c r="E23" s="129">
        <v>51</v>
      </c>
      <c r="F23" s="129" t="s">
        <v>9</v>
      </c>
      <c r="G23" s="129">
        <v>7043.6</v>
      </c>
      <c r="H23" s="129" t="s">
        <v>9</v>
      </c>
      <c r="I23" s="129">
        <v>39.6</v>
      </c>
      <c r="J23" s="129">
        <v>101.6</v>
      </c>
      <c r="K23" s="129" t="s">
        <v>9</v>
      </c>
      <c r="L23" s="129">
        <v>3760.2</v>
      </c>
      <c r="M23" s="129" t="s">
        <v>9</v>
      </c>
      <c r="N23" s="129">
        <v>33.1</v>
      </c>
      <c r="O23" s="129">
        <v>96.3</v>
      </c>
      <c r="P23" s="129" t="s">
        <v>9</v>
      </c>
      <c r="Q23" s="249"/>
      <c r="R23" s="249"/>
      <c r="S23" s="249"/>
      <c r="T23" s="249"/>
    </row>
    <row r="24" spans="1:20">
      <c r="A24" s="248">
        <v>1980</v>
      </c>
      <c r="B24" s="129">
        <v>4895.1000000000004</v>
      </c>
      <c r="C24" s="129" t="s">
        <v>9</v>
      </c>
      <c r="D24" s="129">
        <v>23</v>
      </c>
      <c r="E24" s="129">
        <v>57.7</v>
      </c>
      <c r="F24" s="129" t="s">
        <v>9</v>
      </c>
      <c r="G24" s="129">
        <v>7654.3</v>
      </c>
      <c r="H24" s="129" t="s">
        <v>9</v>
      </c>
      <c r="I24" s="129">
        <v>41.5</v>
      </c>
      <c r="J24" s="129">
        <v>101.5</v>
      </c>
      <c r="K24" s="129" t="s">
        <v>9</v>
      </c>
      <c r="L24" s="129">
        <v>4266</v>
      </c>
      <c r="M24" s="129" t="s">
        <v>9</v>
      </c>
      <c r="N24" s="129">
        <v>34.4</v>
      </c>
      <c r="O24" s="129">
        <v>97.8</v>
      </c>
      <c r="P24" s="129" t="s">
        <v>9</v>
      </c>
      <c r="Q24" s="249"/>
      <c r="R24" s="249"/>
      <c r="S24" s="249"/>
      <c r="T24" s="249"/>
    </row>
    <row r="25" spans="1:20">
      <c r="A25" s="248">
        <v>1981</v>
      </c>
      <c r="B25" s="129">
        <v>5149.8999999999996</v>
      </c>
      <c r="C25" s="129" t="s">
        <v>9</v>
      </c>
      <c r="D25" s="129">
        <v>18.399999999999999</v>
      </c>
      <c r="E25" s="129">
        <v>53.2</v>
      </c>
      <c r="F25" s="129" t="s">
        <v>9</v>
      </c>
      <c r="G25" s="129">
        <v>7052</v>
      </c>
      <c r="H25" s="129" t="s">
        <v>9</v>
      </c>
      <c r="I25" s="129">
        <v>29.7</v>
      </c>
      <c r="J25" s="129">
        <v>84.6</v>
      </c>
      <c r="K25" s="129" t="s">
        <v>9</v>
      </c>
      <c r="L25" s="129">
        <v>4186.8</v>
      </c>
      <c r="M25" s="129" t="s">
        <v>9</v>
      </c>
      <c r="N25" s="129">
        <v>24.8</v>
      </c>
      <c r="O25" s="129">
        <v>80.2</v>
      </c>
      <c r="P25" s="129" t="s">
        <v>9</v>
      </c>
      <c r="Q25" s="249"/>
      <c r="R25" s="249"/>
      <c r="S25" s="249"/>
      <c r="T25" s="249"/>
    </row>
    <row r="26" spans="1:20">
      <c r="A26" s="248">
        <v>1982</v>
      </c>
      <c r="B26" s="129">
        <v>4655.3999999999996</v>
      </c>
      <c r="C26" s="129" t="s">
        <v>9</v>
      </c>
      <c r="D26" s="129">
        <v>6.4</v>
      </c>
      <c r="E26" s="129">
        <v>91.2</v>
      </c>
      <c r="F26" s="129" t="s">
        <v>9</v>
      </c>
      <c r="G26" s="129">
        <v>5917.8</v>
      </c>
      <c r="H26" s="129" t="s">
        <v>9</v>
      </c>
      <c r="I26" s="129">
        <v>9.6</v>
      </c>
      <c r="J26" s="129">
        <v>132.9</v>
      </c>
      <c r="K26" s="129" t="s">
        <v>9</v>
      </c>
      <c r="L26" s="129">
        <v>3560.3</v>
      </c>
      <c r="M26" s="129" t="s">
        <v>9</v>
      </c>
      <c r="N26" s="129">
        <v>8</v>
      </c>
      <c r="O26" s="129">
        <v>127.2</v>
      </c>
      <c r="P26" s="129" t="s">
        <v>9</v>
      </c>
      <c r="Q26" s="249"/>
      <c r="R26" s="249"/>
      <c r="S26" s="249"/>
      <c r="T26" s="249"/>
    </row>
    <row r="27" spans="1:20">
      <c r="A27" s="248">
        <v>1983</v>
      </c>
      <c r="B27" s="129">
        <v>5119.8999999999996</v>
      </c>
      <c r="C27" s="129" t="s">
        <v>9</v>
      </c>
      <c r="D27" s="129">
        <v>6</v>
      </c>
      <c r="E27" s="129">
        <v>62.9</v>
      </c>
      <c r="F27" s="129" t="s">
        <v>9</v>
      </c>
      <c r="G27" s="129">
        <v>6166.1</v>
      </c>
      <c r="H27" s="129" t="s">
        <v>9</v>
      </c>
      <c r="I27" s="129">
        <v>8.6999999999999993</v>
      </c>
      <c r="J27" s="129">
        <v>89.2</v>
      </c>
      <c r="K27" s="129" t="s">
        <v>9</v>
      </c>
      <c r="L27" s="129">
        <v>3994</v>
      </c>
      <c r="M27" s="129" t="s">
        <v>9</v>
      </c>
      <c r="N27" s="129">
        <v>7.3</v>
      </c>
      <c r="O27" s="129">
        <v>86.3</v>
      </c>
      <c r="P27" s="129" t="s">
        <v>9</v>
      </c>
      <c r="Q27" s="249"/>
      <c r="R27" s="249"/>
      <c r="S27" s="249"/>
      <c r="T27" s="249"/>
    </row>
    <row r="28" spans="1:20">
      <c r="A28" s="248">
        <v>1984</v>
      </c>
      <c r="B28" s="129">
        <v>6118.7</v>
      </c>
      <c r="C28" s="129" t="s">
        <v>9</v>
      </c>
      <c r="D28" s="129">
        <v>10.9</v>
      </c>
      <c r="E28" s="129">
        <v>55.3</v>
      </c>
      <c r="F28" s="129" t="s">
        <v>9</v>
      </c>
      <c r="G28" s="129">
        <v>7097.8</v>
      </c>
      <c r="H28" s="129" t="s">
        <v>9</v>
      </c>
      <c r="I28" s="129">
        <v>15.2</v>
      </c>
      <c r="J28" s="129">
        <v>74.599999999999994</v>
      </c>
      <c r="K28" s="129" t="s">
        <v>9</v>
      </c>
      <c r="L28" s="129">
        <v>4687.6000000000004</v>
      </c>
      <c r="M28" s="129" t="s">
        <v>9</v>
      </c>
      <c r="N28" s="129">
        <v>12.7</v>
      </c>
      <c r="O28" s="129">
        <v>72.400000000000006</v>
      </c>
      <c r="P28" s="129" t="s">
        <v>9</v>
      </c>
      <c r="Q28" s="249"/>
      <c r="R28" s="249"/>
      <c r="S28" s="249"/>
      <c r="T28" s="249"/>
    </row>
    <row r="29" spans="1:20">
      <c r="A29" s="248">
        <v>1985</v>
      </c>
      <c r="B29" s="129">
        <v>6814</v>
      </c>
      <c r="C29" s="129" t="s">
        <v>9</v>
      </c>
      <c r="D29" s="129">
        <v>8</v>
      </c>
      <c r="E29" s="129">
        <v>83</v>
      </c>
      <c r="F29" s="129" t="s">
        <v>9</v>
      </c>
      <c r="G29" s="129">
        <v>7344.7</v>
      </c>
      <c r="H29" s="129" t="s">
        <v>9</v>
      </c>
      <c r="I29" s="129">
        <v>10.3</v>
      </c>
      <c r="J29" s="129">
        <v>105.7</v>
      </c>
      <c r="K29" s="129" t="s">
        <v>9</v>
      </c>
      <c r="L29" s="129">
        <v>5129.2</v>
      </c>
      <c r="M29" s="129" t="s">
        <v>9</v>
      </c>
      <c r="N29" s="129">
        <v>8.9</v>
      </c>
      <c r="O29" s="129">
        <v>103.1</v>
      </c>
      <c r="P29" s="129" t="s">
        <v>9</v>
      </c>
      <c r="Q29" s="249"/>
      <c r="R29" s="249"/>
      <c r="S29" s="249"/>
      <c r="T29" s="249"/>
    </row>
    <row r="30" spans="1:20">
      <c r="A30" s="248">
        <v>1986</v>
      </c>
      <c r="B30" s="129">
        <v>7266.4</v>
      </c>
      <c r="C30" s="129" t="s">
        <v>9</v>
      </c>
      <c r="D30" s="129">
        <v>10.1</v>
      </c>
      <c r="E30" s="129">
        <v>84.4</v>
      </c>
      <c r="F30" s="129" t="s">
        <v>9</v>
      </c>
      <c r="G30" s="129">
        <v>7598</v>
      </c>
      <c r="H30" s="129" t="s">
        <v>9</v>
      </c>
      <c r="I30" s="129">
        <v>12.8</v>
      </c>
      <c r="J30" s="129">
        <v>105.6</v>
      </c>
      <c r="K30" s="129" t="s">
        <v>9</v>
      </c>
      <c r="L30" s="129">
        <v>5409.9</v>
      </c>
      <c r="M30" s="129" t="s">
        <v>9</v>
      </c>
      <c r="N30" s="129">
        <v>10.7</v>
      </c>
      <c r="O30" s="129">
        <v>101.9</v>
      </c>
      <c r="P30" s="129" t="s">
        <v>9</v>
      </c>
      <c r="Q30" s="249"/>
      <c r="R30" s="249"/>
      <c r="S30" s="249"/>
      <c r="T30" s="249"/>
    </row>
    <row r="31" spans="1:20">
      <c r="A31" s="248">
        <v>1987</v>
      </c>
      <c r="B31" s="129">
        <v>8437.5</v>
      </c>
      <c r="C31" s="129" t="s">
        <v>9</v>
      </c>
      <c r="D31" s="129">
        <v>11.8</v>
      </c>
      <c r="E31" s="129">
        <v>102.2</v>
      </c>
      <c r="F31" s="129" t="s">
        <v>9</v>
      </c>
      <c r="G31" s="129">
        <v>8574.5</v>
      </c>
      <c r="H31" s="129" t="s">
        <v>9</v>
      </c>
      <c r="I31" s="129">
        <v>15.3</v>
      </c>
      <c r="J31" s="129">
        <v>128</v>
      </c>
      <c r="K31" s="129" t="s">
        <v>9</v>
      </c>
      <c r="L31" s="129">
        <v>6420.8</v>
      </c>
      <c r="M31" s="129" t="s">
        <v>9</v>
      </c>
      <c r="N31" s="129">
        <v>12.6</v>
      </c>
      <c r="O31" s="129">
        <v>124.1</v>
      </c>
      <c r="P31" s="129" t="s">
        <v>9</v>
      </c>
      <c r="Q31" s="249"/>
      <c r="R31" s="249"/>
      <c r="S31" s="249"/>
      <c r="T31" s="249"/>
    </row>
    <row r="32" spans="1:20">
      <c r="A32" s="248">
        <v>1988</v>
      </c>
      <c r="B32" s="129">
        <v>9417.5</v>
      </c>
      <c r="C32" s="129" t="s">
        <v>9</v>
      </c>
      <c r="D32" s="129">
        <v>15.7</v>
      </c>
      <c r="E32" s="129">
        <v>154</v>
      </c>
      <c r="F32" s="129" t="s">
        <v>9</v>
      </c>
      <c r="G32" s="129">
        <v>9741.1</v>
      </c>
      <c r="H32" s="129" t="s">
        <v>9</v>
      </c>
      <c r="I32" s="129">
        <v>20</v>
      </c>
      <c r="J32" s="129">
        <v>196.9</v>
      </c>
      <c r="K32" s="129" t="s">
        <v>9</v>
      </c>
      <c r="L32" s="129">
        <v>7299.1</v>
      </c>
      <c r="M32" s="129" t="s">
        <v>9</v>
      </c>
      <c r="N32" s="129">
        <v>16.8</v>
      </c>
      <c r="O32" s="129">
        <v>189.9</v>
      </c>
      <c r="P32" s="129" t="s">
        <v>9</v>
      </c>
      <c r="Q32" s="249"/>
      <c r="R32" s="249"/>
      <c r="S32" s="249"/>
      <c r="T32" s="249"/>
    </row>
    <row r="33" spans="1:20">
      <c r="A33" s="248">
        <v>1989</v>
      </c>
      <c r="B33" s="129">
        <v>10260.799999999999</v>
      </c>
      <c r="C33" s="129" t="s">
        <v>9</v>
      </c>
      <c r="D33" s="129">
        <v>16.100000000000001</v>
      </c>
      <c r="E33" s="129">
        <v>135.19999999999999</v>
      </c>
      <c r="F33" s="129" t="s">
        <v>9</v>
      </c>
      <c r="G33" s="129">
        <v>10597.9</v>
      </c>
      <c r="H33" s="129" t="s">
        <v>9</v>
      </c>
      <c r="I33" s="129">
        <v>19.100000000000001</v>
      </c>
      <c r="J33" s="129">
        <v>167.5</v>
      </c>
      <c r="K33" s="129" t="s">
        <v>9</v>
      </c>
      <c r="L33" s="129">
        <v>7961.8</v>
      </c>
      <c r="M33" s="129" t="s">
        <v>9</v>
      </c>
      <c r="N33" s="129">
        <v>16.899999999999999</v>
      </c>
      <c r="O33" s="129">
        <v>162.4</v>
      </c>
      <c r="P33" s="129" t="s">
        <v>9</v>
      </c>
      <c r="Q33" s="249"/>
      <c r="R33" s="249"/>
      <c r="S33" s="249"/>
      <c r="T33" s="249"/>
    </row>
    <row r="34" spans="1:20">
      <c r="A34" s="248">
        <v>1990</v>
      </c>
      <c r="B34" s="129">
        <v>9681.6</v>
      </c>
      <c r="C34" s="129" t="s">
        <v>9</v>
      </c>
      <c r="D34" s="129">
        <v>13.1</v>
      </c>
      <c r="E34" s="129">
        <v>97.4</v>
      </c>
      <c r="F34" s="129" t="s">
        <v>9</v>
      </c>
      <c r="G34" s="129">
        <v>9967.2000000000007</v>
      </c>
      <c r="H34" s="129" t="s">
        <v>9</v>
      </c>
      <c r="I34" s="129">
        <v>14.6</v>
      </c>
      <c r="J34" s="129">
        <v>118.2</v>
      </c>
      <c r="K34" s="129" t="s">
        <v>9</v>
      </c>
      <c r="L34" s="129">
        <v>7475.4</v>
      </c>
      <c r="M34" s="129" t="s">
        <v>9</v>
      </c>
      <c r="N34" s="129">
        <v>13.5</v>
      </c>
      <c r="O34" s="129">
        <v>115.2</v>
      </c>
      <c r="P34" s="129" t="s">
        <v>9</v>
      </c>
      <c r="Q34" s="249"/>
      <c r="R34" s="249"/>
      <c r="S34" s="249"/>
      <c r="T34" s="249"/>
    </row>
    <row r="35" spans="1:20">
      <c r="A35" s="248">
        <v>1991</v>
      </c>
      <c r="B35" s="129">
        <v>9282.2999999999993</v>
      </c>
      <c r="C35" s="129" t="s">
        <v>9</v>
      </c>
      <c r="D35" s="129">
        <v>6.3</v>
      </c>
      <c r="E35" s="129">
        <v>94.9</v>
      </c>
      <c r="F35" s="129" t="s">
        <v>9</v>
      </c>
      <c r="G35" s="129">
        <v>9839.9</v>
      </c>
      <c r="H35" s="129" t="s">
        <v>9</v>
      </c>
      <c r="I35" s="129">
        <v>7.6</v>
      </c>
      <c r="J35" s="129">
        <v>116.1</v>
      </c>
      <c r="K35" s="129" t="s">
        <v>9</v>
      </c>
      <c r="L35" s="129">
        <v>7606.6</v>
      </c>
      <c r="M35" s="129" t="s">
        <v>9</v>
      </c>
      <c r="N35" s="129">
        <v>6.7</v>
      </c>
      <c r="O35" s="129">
        <v>113.9</v>
      </c>
      <c r="P35" s="129" t="s">
        <v>9</v>
      </c>
      <c r="Q35" s="249"/>
      <c r="R35" s="249"/>
      <c r="S35" s="249"/>
      <c r="T35" s="249"/>
    </row>
    <row r="36" spans="1:20">
      <c r="A36" s="248">
        <v>1992</v>
      </c>
      <c r="B36" s="129">
        <v>9229.2999999999993</v>
      </c>
      <c r="C36" s="129" t="s">
        <v>9</v>
      </c>
      <c r="D36" s="129">
        <v>12.7</v>
      </c>
      <c r="E36" s="129">
        <v>72.2</v>
      </c>
      <c r="F36" s="129" t="s">
        <v>9</v>
      </c>
      <c r="G36" s="129">
        <v>9365.1</v>
      </c>
      <c r="H36" s="129" t="s">
        <v>9</v>
      </c>
      <c r="I36" s="129">
        <v>15</v>
      </c>
      <c r="J36" s="129">
        <v>84.5</v>
      </c>
      <c r="K36" s="129" t="s">
        <v>9</v>
      </c>
      <c r="L36" s="129">
        <v>7439.8</v>
      </c>
      <c r="M36" s="129" t="s">
        <v>9</v>
      </c>
      <c r="N36" s="129">
        <v>13</v>
      </c>
      <c r="O36" s="129">
        <v>83.1</v>
      </c>
      <c r="P36" s="129" t="s">
        <v>9</v>
      </c>
      <c r="Q36" s="249"/>
      <c r="R36" s="249"/>
      <c r="S36" s="249"/>
      <c r="T36" s="249"/>
    </row>
    <row r="37" spans="1:20">
      <c r="A37" s="248">
        <v>1993</v>
      </c>
      <c r="B37" s="129">
        <v>8493.4</v>
      </c>
      <c r="C37" s="129" t="s">
        <v>9</v>
      </c>
      <c r="D37" s="129">
        <v>21.9</v>
      </c>
      <c r="E37" s="129">
        <v>89.5</v>
      </c>
      <c r="F37" s="129" t="s">
        <v>9</v>
      </c>
      <c r="G37" s="129">
        <v>8154.2</v>
      </c>
      <c r="H37" s="129" t="s">
        <v>9</v>
      </c>
      <c r="I37" s="129">
        <v>24.6</v>
      </c>
      <c r="J37" s="129">
        <v>96</v>
      </c>
      <c r="K37" s="129" t="s">
        <v>9</v>
      </c>
      <c r="L37" s="129">
        <v>6661.5</v>
      </c>
      <c r="M37" s="129" t="s">
        <v>9</v>
      </c>
      <c r="N37" s="129">
        <v>21.3</v>
      </c>
      <c r="O37" s="129">
        <v>98.1</v>
      </c>
      <c r="P37" s="129" t="s">
        <v>9</v>
      </c>
      <c r="Q37" s="249"/>
      <c r="R37" s="249"/>
      <c r="S37" s="249"/>
      <c r="T37" s="249"/>
    </row>
    <row r="38" spans="1:20">
      <c r="A38" s="248">
        <v>1994</v>
      </c>
      <c r="B38" s="129">
        <v>9559.1</v>
      </c>
      <c r="C38" s="129" t="s">
        <v>9</v>
      </c>
      <c r="D38" s="129">
        <v>86.1</v>
      </c>
      <c r="E38" s="129">
        <v>201.3</v>
      </c>
      <c r="F38" s="129" t="s">
        <v>9</v>
      </c>
      <c r="G38" s="129">
        <v>8949.1</v>
      </c>
      <c r="H38" s="129" t="s">
        <v>9</v>
      </c>
      <c r="I38" s="129">
        <v>93.8</v>
      </c>
      <c r="J38" s="129">
        <v>214.5</v>
      </c>
      <c r="K38" s="129" t="s">
        <v>9</v>
      </c>
      <c r="L38" s="129">
        <v>7301.2</v>
      </c>
      <c r="M38" s="129" t="s">
        <v>9</v>
      </c>
      <c r="N38" s="129">
        <v>78.900000000000006</v>
      </c>
      <c r="O38" s="129">
        <v>209.6</v>
      </c>
      <c r="P38" s="129" t="s">
        <v>9</v>
      </c>
      <c r="Q38" s="249"/>
      <c r="R38" s="249"/>
      <c r="S38" s="249"/>
      <c r="T38" s="249"/>
    </row>
    <row r="39" spans="1:20">
      <c r="A39" s="248">
        <v>1995</v>
      </c>
      <c r="B39" s="129">
        <v>10062.4</v>
      </c>
      <c r="C39" s="129" t="s">
        <v>9</v>
      </c>
      <c r="D39" s="129">
        <v>33.799999999999997</v>
      </c>
      <c r="E39" s="129">
        <v>272.89999999999998</v>
      </c>
      <c r="F39" s="129" t="s">
        <v>9</v>
      </c>
      <c r="G39" s="129">
        <v>8991.7000000000007</v>
      </c>
      <c r="H39" s="129" t="s">
        <v>9</v>
      </c>
      <c r="I39" s="129">
        <v>35.1</v>
      </c>
      <c r="J39" s="129">
        <v>277.60000000000002</v>
      </c>
      <c r="K39" s="129" t="s">
        <v>9</v>
      </c>
      <c r="L39" s="129">
        <v>7551.9</v>
      </c>
      <c r="M39" s="129" t="s">
        <v>9</v>
      </c>
      <c r="N39" s="129">
        <v>29.6</v>
      </c>
      <c r="O39" s="129">
        <v>273.2</v>
      </c>
      <c r="P39" s="129" t="s">
        <v>9</v>
      </c>
      <c r="Q39" s="249"/>
      <c r="R39" s="249"/>
      <c r="S39" s="249"/>
      <c r="T39" s="249"/>
    </row>
    <row r="40" spans="1:20">
      <c r="A40" s="248">
        <v>1996</v>
      </c>
      <c r="B40" s="129">
        <v>10849.9</v>
      </c>
      <c r="C40" s="129" t="s">
        <v>9</v>
      </c>
      <c r="D40" s="129">
        <v>45.6</v>
      </c>
      <c r="E40" s="129">
        <v>279.89999999999998</v>
      </c>
      <c r="F40" s="129" t="s">
        <v>9</v>
      </c>
      <c r="G40" s="129">
        <v>9417.7999999999993</v>
      </c>
      <c r="H40" s="129" t="s">
        <v>9</v>
      </c>
      <c r="I40" s="129">
        <v>46.9</v>
      </c>
      <c r="J40" s="129">
        <v>278.39999999999998</v>
      </c>
      <c r="K40" s="129" t="s">
        <v>9</v>
      </c>
      <c r="L40" s="129">
        <v>8171</v>
      </c>
      <c r="M40" s="129" t="s">
        <v>9</v>
      </c>
      <c r="N40" s="129">
        <v>38.9</v>
      </c>
      <c r="O40" s="129">
        <v>273.7</v>
      </c>
      <c r="P40" s="129" t="s">
        <v>9</v>
      </c>
      <c r="Q40" s="249"/>
      <c r="R40" s="249"/>
      <c r="S40" s="249"/>
      <c r="T40" s="249"/>
    </row>
    <row r="41" spans="1:20">
      <c r="A41" s="248">
        <v>1997</v>
      </c>
      <c r="B41" s="129">
        <v>12621.8</v>
      </c>
      <c r="C41" s="129" t="s">
        <v>9</v>
      </c>
      <c r="D41" s="129">
        <v>52.8</v>
      </c>
      <c r="E41" s="129">
        <v>386.9</v>
      </c>
      <c r="F41" s="129" t="s">
        <v>9</v>
      </c>
      <c r="G41" s="129">
        <v>10561.4</v>
      </c>
      <c r="H41" s="129" t="s">
        <v>9</v>
      </c>
      <c r="I41" s="129">
        <v>52.3</v>
      </c>
      <c r="J41" s="129">
        <v>367.8</v>
      </c>
      <c r="K41" s="129" t="s">
        <v>9</v>
      </c>
      <c r="L41" s="129">
        <v>9373.1</v>
      </c>
      <c r="M41" s="129" t="s">
        <v>9</v>
      </c>
      <c r="N41" s="129">
        <v>43.2</v>
      </c>
      <c r="O41" s="129">
        <v>364.5</v>
      </c>
      <c r="P41" s="129" t="s">
        <v>9</v>
      </c>
      <c r="Q41" s="249"/>
      <c r="R41" s="249"/>
      <c r="S41" s="249"/>
      <c r="T41" s="249"/>
    </row>
    <row r="42" spans="1:20">
      <c r="A42" s="248">
        <v>1998</v>
      </c>
      <c r="B42" s="129">
        <v>14509.6</v>
      </c>
      <c r="C42" s="129" t="s">
        <v>9</v>
      </c>
      <c r="D42" s="129">
        <v>41.1</v>
      </c>
      <c r="E42" s="129">
        <v>292.39999999999998</v>
      </c>
      <c r="F42" s="129" t="s">
        <v>9</v>
      </c>
      <c r="G42" s="129">
        <v>11499.9</v>
      </c>
      <c r="H42" s="129" t="s">
        <v>9</v>
      </c>
      <c r="I42" s="129">
        <v>33.799999999999997</v>
      </c>
      <c r="J42" s="129">
        <v>256.10000000000002</v>
      </c>
      <c r="K42" s="129" t="s">
        <v>9</v>
      </c>
      <c r="L42" s="129">
        <v>10723.4</v>
      </c>
      <c r="M42" s="129" t="s">
        <v>9</v>
      </c>
      <c r="N42" s="129">
        <v>32.200000000000003</v>
      </c>
      <c r="O42" s="129">
        <v>263</v>
      </c>
      <c r="P42" s="129" t="s">
        <v>9</v>
      </c>
      <c r="Q42" s="249"/>
      <c r="R42" s="249"/>
      <c r="S42" s="249"/>
      <c r="T42" s="249"/>
    </row>
    <row r="43" spans="1:20">
      <c r="A43" s="248">
        <v>1999</v>
      </c>
      <c r="B43" s="129">
        <v>15647</v>
      </c>
      <c r="C43" s="129" t="s">
        <v>9</v>
      </c>
      <c r="D43" s="129">
        <v>70.599999999999994</v>
      </c>
      <c r="E43" s="129">
        <v>297</v>
      </c>
      <c r="F43" s="129" t="s">
        <v>9</v>
      </c>
      <c r="G43" s="129">
        <v>12643.8</v>
      </c>
      <c r="H43" s="129" t="s">
        <v>9</v>
      </c>
      <c r="I43" s="129">
        <v>56.1</v>
      </c>
      <c r="J43" s="129">
        <v>261.7</v>
      </c>
      <c r="K43" s="129" t="s">
        <v>9</v>
      </c>
      <c r="L43" s="129">
        <v>11904.6</v>
      </c>
      <c r="M43" s="129" t="s">
        <v>9</v>
      </c>
      <c r="N43" s="129">
        <v>55.2</v>
      </c>
      <c r="O43" s="129">
        <v>264.89999999999998</v>
      </c>
      <c r="P43" s="129" t="s">
        <v>9</v>
      </c>
      <c r="Q43" s="249"/>
      <c r="R43" s="249"/>
      <c r="S43" s="249"/>
      <c r="T43" s="249"/>
    </row>
    <row r="44" spans="1:20">
      <c r="A44" s="248">
        <v>2000</v>
      </c>
      <c r="B44" s="129">
        <v>16210.9</v>
      </c>
      <c r="C44" s="129" t="s">
        <v>9</v>
      </c>
      <c r="D44" s="129" t="s">
        <v>9</v>
      </c>
      <c r="E44" s="129">
        <v>443.7</v>
      </c>
      <c r="F44" s="129" t="s">
        <v>9</v>
      </c>
      <c r="G44" s="129">
        <v>12798.9</v>
      </c>
      <c r="H44" s="129" t="s">
        <v>9</v>
      </c>
      <c r="I44" s="129" t="s">
        <v>9</v>
      </c>
      <c r="J44" s="129">
        <v>387.8</v>
      </c>
      <c r="K44" s="129" t="s">
        <v>9</v>
      </c>
      <c r="L44" s="129">
        <v>12475.5</v>
      </c>
      <c r="M44" s="129" t="s">
        <v>9</v>
      </c>
      <c r="N44" s="129" t="s">
        <v>9</v>
      </c>
      <c r="O44" s="129">
        <v>391.7</v>
      </c>
      <c r="P44" s="129" t="s">
        <v>9</v>
      </c>
      <c r="Q44" s="249"/>
      <c r="R44" s="249"/>
      <c r="S44" s="249"/>
      <c r="T44" s="249"/>
    </row>
    <row r="45" spans="1:20">
      <c r="A45" s="248">
        <v>2001</v>
      </c>
      <c r="B45" s="129">
        <v>14546.2</v>
      </c>
      <c r="C45" s="129" t="s">
        <v>9</v>
      </c>
      <c r="D45" s="129" t="s">
        <v>9</v>
      </c>
      <c r="E45" s="129">
        <v>170.1</v>
      </c>
      <c r="F45" s="129" t="s">
        <v>9</v>
      </c>
      <c r="G45" s="129">
        <v>11414.1</v>
      </c>
      <c r="H45" s="129" t="s">
        <v>9</v>
      </c>
      <c r="I45" s="129" t="s">
        <v>9</v>
      </c>
      <c r="J45" s="129">
        <v>141.1</v>
      </c>
      <c r="K45" s="129" t="s">
        <v>9</v>
      </c>
      <c r="L45" s="129">
        <v>11137.3</v>
      </c>
      <c r="M45" s="129" t="s">
        <v>9</v>
      </c>
      <c r="N45" s="129" t="s">
        <v>9</v>
      </c>
      <c r="O45" s="129">
        <v>145</v>
      </c>
      <c r="P45" s="129" t="s">
        <v>9</v>
      </c>
      <c r="Q45" s="249"/>
      <c r="R45" s="249"/>
      <c r="S45" s="249"/>
      <c r="T45" s="249"/>
    </row>
    <row r="46" spans="1:20">
      <c r="A46" s="248">
        <v>2002</v>
      </c>
      <c r="B46" s="129">
        <v>13969.6</v>
      </c>
      <c r="C46" s="129" t="s">
        <v>9</v>
      </c>
      <c r="D46" s="129" t="s">
        <v>9</v>
      </c>
      <c r="E46" s="129">
        <v>129.6</v>
      </c>
      <c r="F46" s="129" t="s">
        <v>9</v>
      </c>
      <c r="G46" s="129">
        <v>10888.2</v>
      </c>
      <c r="H46" s="129" t="s">
        <v>9</v>
      </c>
      <c r="I46" s="129" t="s">
        <v>9</v>
      </c>
      <c r="J46" s="129">
        <v>104.1</v>
      </c>
      <c r="K46" s="129" t="s">
        <v>9</v>
      </c>
      <c r="L46" s="129">
        <v>10648.4</v>
      </c>
      <c r="M46" s="129" t="s">
        <v>9</v>
      </c>
      <c r="N46" s="129" t="s">
        <v>9</v>
      </c>
      <c r="O46" s="129">
        <v>102.5</v>
      </c>
      <c r="P46" s="129" t="s">
        <v>9</v>
      </c>
      <c r="Q46" s="249"/>
      <c r="R46" s="249"/>
      <c r="S46" s="249"/>
      <c r="T46" s="249"/>
    </row>
    <row r="47" spans="1:20">
      <c r="A47" s="248">
        <v>2003</v>
      </c>
      <c r="B47" s="129">
        <v>13725.5</v>
      </c>
      <c r="C47" s="129" t="s">
        <v>9</v>
      </c>
      <c r="D47" s="129" t="s">
        <v>9</v>
      </c>
      <c r="E47" s="129">
        <v>152.19999999999999</v>
      </c>
      <c r="F47" s="129" t="s">
        <v>9</v>
      </c>
      <c r="G47" s="129">
        <v>11560.5</v>
      </c>
      <c r="H47" s="129" t="s">
        <v>9</v>
      </c>
      <c r="I47" s="129" t="s">
        <v>9</v>
      </c>
      <c r="J47" s="129">
        <v>132.69999999999999</v>
      </c>
      <c r="K47" s="129" t="s">
        <v>9</v>
      </c>
      <c r="L47" s="129">
        <v>11321.1</v>
      </c>
      <c r="M47" s="129" t="s">
        <v>9</v>
      </c>
      <c r="N47" s="129" t="s">
        <v>9</v>
      </c>
      <c r="O47" s="129">
        <v>131.30000000000001</v>
      </c>
      <c r="P47" s="129" t="s">
        <v>9</v>
      </c>
      <c r="Q47" s="249"/>
      <c r="R47" s="249"/>
      <c r="S47" s="249"/>
      <c r="T47" s="249"/>
    </row>
    <row r="48" spans="1:20">
      <c r="A48" s="248">
        <v>2004</v>
      </c>
      <c r="B48" s="129">
        <v>14860.2</v>
      </c>
      <c r="C48" s="129" t="s">
        <v>9</v>
      </c>
      <c r="D48" s="129" t="s">
        <v>9</v>
      </c>
      <c r="E48" s="129">
        <v>238.3</v>
      </c>
      <c r="F48" s="129" t="s">
        <v>9</v>
      </c>
      <c r="G48" s="129">
        <v>13220.7</v>
      </c>
      <c r="H48" s="129" t="s">
        <v>9</v>
      </c>
      <c r="I48" s="129" t="s">
        <v>9</v>
      </c>
      <c r="J48" s="129">
        <v>215.3</v>
      </c>
      <c r="K48" s="129" t="s">
        <v>9</v>
      </c>
      <c r="L48" s="129">
        <v>13072.5</v>
      </c>
      <c r="M48" s="129" t="s">
        <v>9</v>
      </c>
      <c r="N48" s="129" t="s">
        <v>9</v>
      </c>
      <c r="O48" s="129">
        <v>215.9</v>
      </c>
      <c r="P48" s="129" t="s">
        <v>9</v>
      </c>
      <c r="Q48" s="249"/>
      <c r="R48" s="249"/>
      <c r="S48" s="249"/>
      <c r="T48" s="249"/>
    </row>
    <row r="49" spans="1:20">
      <c r="A49" s="248">
        <v>2005</v>
      </c>
      <c r="B49" s="129">
        <v>14959.3</v>
      </c>
      <c r="C49" s="129" t="s">
        <v>9</v>
      </c>
      <c r="D49" s="129" t="s">
        <v>9</v>
      </c>
      <c r="E49" s="129">
        <v>207.8</v>
      </c>
      <c r="F49" s="129" t="s">
        <v>9</v>
      </c>
      <c r="G49" s="129">
        <v>13838.9</v>
      </c>
      <c r="H49" s="129" t="s">
        <v>9</v>
      </c>
      <c r="I49" s="129" t="s">
        <v>9</v>
      </c>
      <c r="J49" s="129">
        <v>196</v>
      </c>
      <c r="K49" s="129" t="s">
        <v>9</v>
      </c>
      <c r="L49" s="129">
        <v>13831.3</v>
      </c>
      <c r="M49" s="129" t="s">
        <v>9</v>
      </c>
      <c r="N49" s="129" t="s">
        <v>9</v>
      </c>
      <c r="O49" s="129">
        <v>196.2</v>
      </c>
      <c r="P49" s="129" t="s">
        <v>9</v>
      </c>
      <c r="Q49" s="249"/>
      <c r="R49" s="249"/>
      <c r="S49" s="249"/>
      <c r="T49" s="249"/>
    </row>
    <row r="50" spans="1:20">
      <c r="A50" s="248">
        <v>2006</v>
      </c>
      <c r="B50" s="129">
        <v>15510.8</v>
      </c>
      <c r="C50" s="129" t="s">
        <v>9</v>
      </c>
      <c r="D50" s="129" t="s">
        <v>9</v>
      </c>
      <c r="E50" s="129">
        <v>264</v>
      </c>
      <c r="F50" s="129" t="s">
        <v>9</v>
      </c>
      <c r="G50" s="129">
        <v>14986.9</v>
      </c>
      <c r="H50" s="129" t="s">
        <v>9</v>
      </c>
      <c r="I50" s="129" t="s">
        <v>9</v>
      </c>
      <c r="J50" s="129">
        <v>257.39999999999998</v>
      </c>
      <c r="K50" s="129" t="s">
        <v>9</v>
      </c>
      <c r="L50" s="129">
        <v>14991</v>
      </c>
      <c r="M50" s="129" t="s">
        <v>9</v>
      </c>
      <c r="N50" s="129" t="s">
        <v>9</v>
      </c>
      <c r="O50" s="129">
        <v>257.3</v>
      </c>
      <c r="P50" s="129" t="s">
        <v>9</v>
      </c>
      <c r="Q50" s="249"/>
      <c r="R50" s="249"/>
      <c r="S50" s="249"/>
      <c r="T50" s="249"/>
    </row>
    <row r="51" spans="1:20">
      <c r="A51" s="248">
        <v>2007</v>
      </c>
      <c r="B51" s="129">
        <v>15850.1</v>
      </c>
      <c r="C51" s="129" t="s">
        <v>9</v>
      </c>
      <c r="D51" s="129" t="s">
        <v>9</v>
      </c>
      <c r="E51" s="129">
        <v>264.8</v>
      </c>
      <c r="F51" s="129" t="s">
        <v>9</v>
      </c>
      <c r="G51" s="129">
        <v>15850.1</v>
      </c>
      <c r="H51" s="129" t="s">
        <v>9</v>
      </c>
      <c r="I51" s="129" t="s">
        <v>9</v>
      </c>
      <c r="J51" s="129">
        <v>264.8</v>
      </c>
      <c r="K51" s="129" t="s">
        <v>9</v>
      </c>
      <c r="L51" s="129">
        <v>15850.1</v>
      </c>
      <c r="M51" s="129" t="s">
        <v>9</v>
      </c>
      <c r="N51" s="129" t="s">
        <v>9</v>
      </c>
      <c r="O51" s="129">
        <v>264.8</v>
      </c>
      <c r="P51" s="129" t="s">
        <v>9</v>
      </c>
      <c r="Q51" s="249"/>
      <c r="R51" s="249"/>
      <c r="S51" s="249"/>
      <c r="T51" s="249"/>
    </row>
    <row r="52" spans="1:20">
      <c r="A52" s="248">
        <v>2008</v>
      </c>
      <c r="B52" s="129">
        <v>16409.8</v>
      </c>
      <c r="C52" s="129" t="s">
        <v>9</v>
      </c>
      <c r="D52" s="129" t="s">
        <v>9</v>
      </c>
      <c r="E52" s="129">
        <v>133.9</v>
      </c>
      <c r="F52" s="129" t="s">
        <v>9</v>
      </c>
      <c r="G52" s="129">
        <v>16509.7</v>
      </c>
      <c r="H52" s="129" t="s">
        <v>9</v>
      </c>
      <c r="I52" s="129" t="s">
        <v>9</v>
      </c>
      <c r="J52" s="129">
        <v>132.5</v>
      </c>
      <c r="K52" s="129" t="s">
        <v>9</v>
      </c>
      <c r="L52" s="129">
        <v>16500.3</v>
      </c>
      <c r="M52" s="129" t="s">
        <v>9</v>
      </c>
      <c r="N52" s="129" t="s">
        <v>9</v>
      </c>
      <c r="O52" s="129">
        <v>132.30000000000001</v>
      </c>
      <c r="P52" s="129" t="s">
        <v>9</v>
      </c>
      <c r="Q52" s="249"/>
      <c r="R52" s="249"/>
      <c r="S52" s="249"/>
      <c r="T52" s="249"/>
    </row>
    <row r="53" spans="1:20">
      <c r="A53" s="248">
        <v>2009</v>
      </c>
      <c r="B53" s="129">
        <v>14453.3</v>
      </c>
      <c r="C53" s="129" t="s">
        <v>9</v>
      </c>
      <c r="D53" s="129" t="s">
        <v>9</v>
      </c>
      <c r="E53" s="129">
        <v>89.5</v>
      </c>
      <c r="F53" s="129" t="s">
        <v>9</v>
      </c>
      <c r="G53" s="129">
        <v>13787.2</v>
      </c>
      <c r="H53" s="129" t="s">
        <v>9</v>
      </c>
      <c r="I53" s="129" t="s">
        <v>9</v>
      </c>
      <c r="J53" s="129">
        <v>83</v>
      </c>
      <c r="K53" s="129" t="s">
        <v>9</v>
      </c>
      <c r="L53" s="129">
        <v>13765.1</v>
      </c>
      <c r="M53" s="129" t="s">
        <v>9</v>
      </c>
      <c r="N53" s="129" t="s">
        <v>9</v>
      </c>
      <c r="O53" s="129">
        <v>83.1</v>
      </c>
      <c r="P53" s="129" t="s">
        <v>9</v>
      </c>
      <c r="Q53" s="249"/>
      <c r="R53" s="249"/>
      <c r="S53" s="249"/>
      <c r="T53" s="249"/>
    </row>
    <row r="54" spans="1:20">
      <c r="A54" s="248">
        <v>2010</v>
      </c>
      <c r="B54" s="129">
        <v>13342.7</v>
      </c>
      <c r="C54" s="129" t="s">
        <v>9</v>
      </c>
      <c r="D54" s="129" t="s">
        <v>9</v>
      </c>
      <c r="E54" s="129">
        <v>156.69999999999999</v>
      </c>
      <c r="F54" s="129" t="s">
        <v>9</v>
      </c>
      <c r="G54" s="129">
        <v>14132.3</v>
      </c>
      <c r="H54" s="129" t="s">
        <v>9</v>
      </c>
      <c r="I54" s="129" t="s">
        <v>9</v>
      </c>
      <c r="J54" s="129">
        <v>160.4</v>
      </c>
      <c r="K54" s="129" t="s">
        <v>9</v>
      </c>
      <c r="L54" s="129">
        <v>13988.1</v>
      </c>
      <c r="M54" s="129" t="s">
        <v>9</v>
      </c>
      <c r="N54" s="129" t="s">
        <v>9</v>
      </c>
      <c r="O54" s="129">
        <v>158.6</v>
      </c>
      <c r="P54" s="129" t="s">
        <v>9</v>
      </c>
      <c r="Q54" s="249"/>
      <c r="R54" s="249"/>
      <c r="S54" s="249"/>
      <c r="T54" s="249"/>
    </row>
    <row r="55" spans="1:20">
      <c r="A55" s="248">
        <v>2011</v>
      </c>
      <c r="B55" s="129">
        <v>13555.1</v>
      </c>
      <c r="C55" s="129" t="s">
        <v>9</v>
      </c>
      <c r="D55" s="129" t="s">
        <v>9</v>
      </c>
      <c r="E55" s="129">
        <v>139.69999999999999</v>
      </c>
      <c r="F55" s="129" t="s">
        <v>9</v>
      </c>
      <c r="G55" s="129">
        <v>14703.2</v>
      </c>
      <c r="H55" s="129" t="s">
        <v>9</v>
      </c>
      <c r="I55" s="129" t="s">
        <v>9</v>
      </c>
      <c r="J55" s="129">
        <v>144.19999999999999</v>
      </c>
      <c r="K55" s="129" t="s">
        <v>9</v>
      </c>
      <c r="L55" s="129">
        <v>14625.5</v>
      </c>
      <c r="M55" s="129" t="s">
        <v>9</v>
      </c>
      <c r="N55" s="129" t="s">
        <v>9</v>
      </c>
      <c r="O55" s="129">
        <v>144.30000000000001</v>
      </c>
      <c r="P55" s="129" t="s">
        <v>9</v>
      </c>
      <c r="Q55" s="249"/>
      <c r="R55" s="249"/>
      <c r="S55" s="249"/>
      <c r="T55" s="249"/>
    </row>
    <row r="56" spans="1:20">
      <c r="A56" s="248">
        <v>2012</v>
      </c>
      <c r="B56" s="129">
        <v>15340.3</v>
      </c>
      <c r="C56" s="129" t="s">
        <v>9</v>
      </c>
      <c r="D56" s="129" t="s">
        <v>9</v>
      </c>
      <c r="E56" s="129">
        <v>114.5</v>
      </c>
      <c r="F56" s="129" t="s">
        <v>9</v>
      </c>
      <c r="G56" s="129">
        <v>16437.599999999999</v>
      </c>
      <c r="H56" s="129" t="s">
        <v>9</v>
      </c>
      <c r="I56" s="129" t="s">
        <v>9</v>
      </c>
      <c r="J56" s="129">
        <v>116.3</v>
      </c>
      <c r="K56" s="129" t="s">
        <v>9</v>
      </c>
      <c r="L56" s="129">
        <v>16412</v>
      </c>
      <c r="M56" s="129" t="s">
        <v>9</v>
      </c>
      <c r="N56" s="129" t="s">
        <v>9</v>
      </c>
      <c r="O56" s="129">
        <v>116.6</v>
      </c>
      <c r="P56" s="129" t="s">
        <v>9</v>
      </c>
      <c r="Q56" s="249"/>
      <c r="R56" s="249"/>
      <c r="S56" s="249"/>
      <c r="T56" s="249"/>
    </row>
    <row r="57" spans="1:20">
      <c r="A57" s="248">
        <v>2013</v>
      </c>
      <c r="B57" s="129">
        <v>15664</v>
      </c>
      <c r="C57" s="129" t="s">
        <v>9</v>
      </c>
      <c r="D57" s="129" t="s">
        <v>9</v>
      </c>
      <c r="E57" s="129">
        <v>138</v>
      </c>
      <c r="F57" s="129" t="s">
        <v>9</v>
      </c>
      <c r="G57" s="129">
        <v>16639.8</v>
      </c>
      <c r="H57" s="129" t="s">
        <v>9</v>
      </c>
      <c r="I57" s="129" t="s">
        <v>9</v>
      </c>
      <c r="J57" s="129">
        <v>137.30000000000001</v>
      </c>
      <c r="K57" s="129" t="s">
        <v>9</v>
      </c>
      <c r="L57" s="129">
        <v>16617</v>
      </c>
      <c r="M57" s="129" t="s">
        <v>9</v>
      </c>
      <c r="N57" s="129" t="s">
        <v>9</v>
      </c>
      <c r="O57" s="129">
        <v>138.1</v>
      </c>
      <c r="P57" s="129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>((B57/B28)^(1/29)-1)*100</f>
        <v>3.294539193908208</v>
      </c>
      <c r="C60" s="11" t="s">
        <v>10</v>
      </c>
      <c r="D60" s="11" t="s">
        <v>10</v>
      </c>
      <c r="E60" s="11">
        <f t="shared" ref="E60:J60" si="0">((E57/E28)^(1/29)-1)*100</f>
        <v>3.2036278352404635</v>
      </c>
      <c r="F60" s="11" t="s">
        <v>10</v>
      </c>
      <c r="G60" s="11">
        <f t="shared" si="0"/>
        <v>2.9815585215774876</v>
      </c>
      <c r="H60" s="11" t="s">
        <v>10</v>
      </c>
      <c r="I60" s="11" t="s">
        <v>10</v>
      </c>
      <c r="J60" s="11">
        <f t="shared" si="0"/>
        <v>2.1258245992950675</v>
      </c>
      <c r="K60" s="11" t="s">
        <v>10</v>
      </c>
      <c r="L60" s="11">
        <f>((L57/L28)^(1/29)-1)*100</f>
        <v>4.4604267370274009</v>
      </c>
      <c r="M60" s="11" t="s">
        <v>10</v>
      </c>
      <c r="N60" s="11" t="s">
        <v>10</v>
      </c>
      <c r="O60" s="11">
        <f t="shared" ref="O60" si="1">((O57/O28)^(1/29)-1)*100</f>
        <v>2.2517774092649212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>((B33/B28)^(1/5)-1)*100</f>
        <v>10.893071448643287</v>
      </c>
      <c r="C61" s="11" t="s">
        <v>10</v>
      </c>
      <c r="D61" s="11">
        <f t="shared" ref="D61:J61" si="2">((D33/D28)^(1/5)-1)*100</f>
        <v>8.1134871696385567</v>
      </c>
      <c r="E61" s="11">
        <f t="shared" si="2"/>
        <v>19.577732013590033</v>
      </c>
      <c r="F61" s="11" t="s">
        <v>10</v>
      </c>
      <c r="G61" s="11">
        <f t="shared" si="2"/>
        <v>8.3475790857644228</v>
      </c>
      <c r="H61" s="11" t="s">
        <v>10</v>
      </c>
      <c r="I61" s="11">
        <f t="shared" si="2"/>
        <v>4.6737915888405812</v>
      </c>
      <c r="J61" s="11">
        <f t="shared" si="2"/>
        <v>17.558814207468899</v>
      </c>
      <c r="K61" s="11" t="s">
        <v>10</v>
      </c>
      <c r="L61" s="11">
        <f>((L33/L28)^(1/5)-1)*100</f>
        <v>11.176281377086795</v>
      </c>
      <c r="M61" s="11" t="s">
        <v>10</v>
      </c>
      <c r="N61" s="11">
        <f t="shared" ref="N61:O61" si="3">((N33/N28)^(1/5)-1)*100</f>
        <v>5.8806495040147233</v>
      </c>
      <c r="O61" s="11">
        <f t="shared" si="3"/>
        <v>17.535617070453302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>((B44/B33)^(1/11)-1)*100</f>
        <v>4.2454000652899504</v>
      </c>
      <c r="C62" s="11" t="s">
        <v>10</v>
      </c>
      <c r="D62" s="11" t="s">
        <v>10</v>
      </c>
      <c r="E62" s="11">
        <f t="shared" ref="E62:J62" si="4">((E44/E33)^(1/11)-1)*100</f>
        <v>11.408759809636715</v>
      </c>
      <c r="F62" s="11" t="s">
        <v>10</v>
      </c>
      <c r="G62" s="11">
        <f t="shared" si="4"/>
        <v>1.730284053270581</v>
      </c>
      <c r="H62" s="11" t="s">
        <v>10</v>
      </c>
      <c r="I62" s="11" t="s">
        <v>10</v>
      </c>
      <c r="J62" s="11">
        <f t="shared" si="4"/>
        <v>7.930656218383092</v>
      </c>
      <c r="K62" s="11" t="s">
        <v>10</v>
      </c>
      <c r="L62" s="11">
        <f>((L44/L33)^(1/11)-1)*100</f>
        <v>4.1673264824498624</v>
      </c>
      <c r="M62" s="11" t="s">
        <v>10</v>
      </c>
      <c r="N62" s="11" t="s">
        <v>10</v>
      </c>
      <c r="O62" s="11">
        <f t="shared" ref="O62" si="5">((O44/O33)^(1/11)-1)*100</f>
        <v>8.3329790694875783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-0.32102711729588007</v>
      </c>
      <c r="C63" s="11" t="s">
        <v>10</v>
      </c>
      <c r="D63" s="11" t="s">
        <v>10</v>
      </c>
      <c r="E63" s="11">
        <f t="shared" ref="E63:O63" si="6">((E51/E44)^(1/7)-1)*100</f>
        <v>-7.108600192905179</v>
      </c>
      <c r="F63" s="11" t="s">
        <v>10</v>
      </c>
      <c r="G63" s="11">
        <f t="shared" si="6"/>
        <v>3.1016517411436295</v>
      </c>
      <c r="H63" s="11" t="s">
        <v>10</v>
      </c>
      <c r="I63" s="11" t="s">
        <v>10</v>
      </c>
      <c r="J63" s="11">
        <f t="shared" si="6"/>
        <v>-5.3043509344764423</v>
      </c>
      <c r="K63" s="11" t="s">
        <v>10</v>
      </c>
      <c r="L63" s="11">
        <f t="shared" si="6"/>
        <v>3.4792887866034405</v>
      </c>
      <c r="M63" s="11" t="s">
        <v>10</v>
      </c>
      <c r="N63" s="11" t="s">
        <v>10</v>
      </c>
      <c r="O63" s="11">
        <f t="shared" si="6"/>
        <v>-5.439621628166746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-0.19665178090574331</v>
      </c>
      <c r="C64" s="11" t="s">
        <v>10</v>
      </c>
      <c r="D64" s="11" t="s">
        <v>10</v>
      </c>
      <c r="E64" s="11">
        <f t="shared" ref="E64:O64" si="7">((E57/E51)^(1/6)-1)*100</f>
        <v>-10.292893047087826</v>
      </c>
      <c r="F64" s="11" t="s">
        <v>10</v>
      </c>
      <c r="G64" s="11">
        <f t="shared" si="7"/>
        <v>0.81365241535062971</v>
      </c>
      <c r="H64" s="11" t="s">
        <v>10</v>
      </c>
      <c r="I64" s="11" t="s">
        <v>10</v>
      </c>
      <c r="J64" s="11">
        <f t="shared" si="7"/>
        <v>-10.368893175838911</v>
      </c>
      <c r="K64" s="11" t="s">
        <v>10</v>
      </c>
      <c r="L64" s="11">
        <f t="shared" si="7"/>
        <v>0.79061663502655311</v>
      </c>
      <c r="M64" s="11" t="s">
        <v>10</v>
      </c>
      <c r="N64" s="11" t="s">
        <v>10</v>
      </c>
      <c r="O64" s="11">
        <f t="shared" si="7"/>
        <v>-10.282062125172132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>((B57/B44)^(1/13)-1)*100</f>
        <v>-0.26364238757539127</v>
      </c>
      <c r="C65" s="11" t="s">
        <v>10</v>
      </c>
      <c r="D65" s="11" t="s">
        <v>10</v>
      </c>
      <c r="E65" s="11">
        <f t="shared" ref="E65:J65" si="8">((E57/E44)^(1/13)-1)*100</f>
        <v>-8.5920814314826686</v>
      </c>
      <c r="F65" s="11" t="s">
        <v>10</v>
      </c>
      <c r="G65" s="11">
        <f t="shared" si="8"/>
        <v>2.0392699585742191</v>
      </c>
      <c r="H65" s="11" t="s">
        <v>10</v>
      </c>
      <c r="I65" s="11" t="s">
        <v>10</v>
      </c>
      <c r="J65" s="11">
        <f t="shared" si="8"/>
        <v>-7.6764452427579455</v>
      </c>
      <c r="K65" s="11" t="s">
        <v>10</v>
      </c>
      <c r="L65" s="11">
        <f>((L57/L44)^(1/13)-1)*100</f>
        <v>2.2295648673733126</v>
      </c>
      <c r="M65" s="11" t="s">
        <v>10</v>
      </c>
      <c r="N65" s="11" t="s">
        <v>10</v>
      </c>
      <c r="O65" s="11">
        <f t="shared" ref="O65" si="9">((O57/O44)^(1/13)-1)*100</f>
        <v>-7.7062449631086549</v>
      </c>
      <c r="P65" s="11" t="s">
        <v>10</v>
      </c>
      <c r="Q65" s="249"/>
      <c r="R65" s="249"/>
      <c r="S65" s="249"/>
      <c r="T65" s="249"/>
    </row>
    <row r="67" spans="1:20" s="180" customFormat="1">
      <c r="A67" s="174" t="s">
        <v>55</v>
      </c>
    </row>
    <row r="68" spans="1:20" s="180" customFormat="1">
      <c r="A68" s="168" t="s">
        <v>56</v>
      </c>
      <c r="B68" s="174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80"/>
    <col min="12" max="12" width="16.140625" style="165" customWidth="1"/>
    <col min="13" max="16384" width="9.140625" style="165"/>
  </cols>
  <sheetData>
    <row r="1" spans="1:20" ht="34.5" customHeight="1">
      <c r="A1" s="454" t="s">
        <v>230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979.3</v>
      </c>
      <c r="C5" s="129" t="s">
        <v>9</v>
      </c>
      <c r="D5" s="129" t="s">
        <v>9</v>
      </c>
      <c r="E5" s="129">
        <v>4.5</v>
      </c>
      <c r="F5" s="129">
        <v>26.6</v>
      </c>
      <c r="G5" s="129">
        <v>4633.3</v>
      </c>
      <c r="H5" s="129" t="s">
        <v>9</v>
      </c>
      <c r="I5" s="129" t="s">
        <v>9</v>
      </c>
      <c r="J5" s="129">
        <v>27.2</v>
      </c>
      <c r="K5" s="129">
        <v>174.8</v>
      </c>
      <c r="L5" s="129">
        <v>1966.7</v>
      </c>
      <c r="M5" s="129" t="s">
        <v>9</v>
      </c>
      <c r="N5" s="129" t="s">
        <v>9</v>
      </c>
      <c r="O5" s="129">
        <v>22.6</v>
      </c>
      <c r="P5" s="129">
        <v>149</v>
      </c>
      <c r="Q5" s="249"/>
      <c r="R5" s="249"/>
      <c r="S5" s="249"/>
      <c r="T5" s="249"/>
    </row>
    <row r="6" spans="1:20">
      <c r="A6" s="248">
        <v>1962</v>
      </c>
      <c r="B6" s="129">
        <v>1090.5</v>
      </c>
      <c r="C6" s="129" t="s">
        <v>9</v>
      </c>
      <c r="D6" s="129" t="s">
        <v>9</v>
      </c>
      <c r="E6" s="129">
        <v>5.2</v>
      </c>
      <c r="F6" s="129">
        <v>32.200000000000003</v>
      </c>
      <c r="G6" s="129">
        <v>5080.8999999999996</v>
      </c>
      <c r="H6" s="129" t="s">
        <v>9</v>
      </c>
      <c r="I6" s="129" t="s">
        <v>9</v>
      </c>
      <c r="J6" s="129">
        <v>31</v>
      </c>
      <c r="K6" s="129">
        <v>211.3</v>
      </c>
      <c r="L6" s="129">
        <v>2168</v>
      </c>
      <c r="M6" s="129" t="s">
        <v>9</v>
      </c>
      <c r="N6" s="129" t="s">
        <v>9</v>
      </c>
      <c r="O6" s="129">
        <v>25.9</v>
      </c>
      <c r="P6" s="129">
        <v>180.7</v>
      </c>
      <c r="Q6" s="249"/>
      <c r="R6" s="249"/>
      <c r="S6" s="249"/>
      <c r="T6" s="249"/>
    </row>
    <row r="7" spans="1:20">
      <c r="A7" s="248">
        <v>1963</v>
      </c>
      <c r="B7" s="129">
        <v>1169.0999999999999</v>
      </c>
      <c r="C7" s="129" t="s">
        <v>9</v>
      </c>
      <c r="D7" s="129" t="s">
        <v>9</v>
      </c>
      <c r="E7" s="129">
        <v>5.6</v>
      </c>
      <c r="F7" s="129">
        <v>35.799999999999997</v>
      </c>
      <c r="G7" s="129">
        <v>5283</v>
      </c>
      <c r="H7" s="129" t="s">
        <v>9</v>
      </c>
      <c r="I7" s="129" t="s">
        <v>9</v>
      </c>
      <c r="J7" s="129">
        <v>32.299999999999997</v>
      </c>
      <c r="K7" s="129">
        <v>224</v>
      </c>
      <c r="L7" s="129">
        <v>2248.1999999999998</v>
      </c>
      <c r="M7" s="129" t="s">
        <v>9</v>
      </c>
      <c r="N7" s="129" t="s">
        <v>9</v>
      </c>
      <c r="O7" s="129">
        <v>27.2</v>
      </c>
      <c r="P7" s="129">
        <v>191</v>
      </c>
      <c r="Q7" s="249"/>
      <c r="R7" s="249"/>
      <c r="S7" s="249"/>
      <c r="T7" s="249"/>
    </row>
    <row r="8" spans="1:20">
      <c r="A8" s="248">
        <v>1964</v>
      </c>
      <c r="B8" s="129">
        <v>1442.9</v>
      </c>
      <c r="C8" s="129" t="s">
        <v>9</v>
      </c>
      <c r="D8" s="129" t="s">
        <v>9</v>
      </c>
      <c r="E8" s="129">
        <v>8.6</v>
      </c>
      <c r="F8" s="129">
        <v>56.6</v>
      </c>
      <c r="G8" s="129">
        <v>6481.4</v>
      </c>
      <c r="H8" s="129" t="s">
        <v>9</v>
      </c>
      <c r="I8" s="129" t="s">
        <v>9</v>
      </c>
      <c r="J8" s="129">
        <v>47.4</v>
      </c>
      <c r="K8" s="129">
        <v>340</v>
      </c>
      <c r="L8" s="129">
        <v>2736.7</v>
      </c>
      <c r="M8" s="129" t="s">
        <v>9</v>
      </c>
      <c r="N8" s="129" t="s">
        <v>9</v>
      </c>
      <c r="O8" s="129">
        <v>40</v>
      </c>
      <c r="P8" s="129">
        <v>291</v>
      </c>
      <c r="Q8" s="249"/>
      <c r="R8" s="249"/>
      <c r="S8" s="249"/>
      <c r="T8" s="249"/>
    </row>
    <row r="9" spans="1:20">
      <c r="A9" s="248">
        <v>1965</v>
      </c>
      <c r="B9" s="129">
        <v>1779.6</v>
      </c>
      <c r="C9" s="129" t="s">
        <v>9</v>
      </c>
      <c r="D9" s="129" t="s">
        <v>9</v>
      </c>
      <c r="E9" s="129">
        <v>10.199999999999999</v>
      </c>
      <c r="F9" s="129">
        <v>80</v>
      </c>
      <c r="G9" s="129">
        <v>7824</v>
      </c>
      <c r="H9" s="129" t="s">
        <v>9</v>
      </c>
      <c r="I9" s="129" t="s">
        <v>9</v>
      </c>
      <c r="J9" s="129">
        <v>53.4</v>
      </c>
      <c r="K9" s="129">
        <v>454.8</v>
      </c>
      <c r="L9" s="129">
        <v>3263.5</v>
      </c>
      <c r="M9" s="129" t="s">
        <v>9</v>
      </c>
      <c r="N9" s="129" t="s">
        <v>9</v>
      </c>
      <c r="O9" s="129">
        <v>44.9</v>
      </c>
      <c r="P9" s="129">
        <v>389.9</v>
      </c>
      <c r="Q9" s="249"/>
      <c r="R9" s="249"/>
      <c r="S9" s="249"/>
      <c r="T9" s="249"/>
    </row>
    <row r="10" spans="1:20">
      <c r="A10" s="248">
        <v>1966</v>
      </c>
      <c r="B10" s="129">
        <v>2090.6999999999998</v>
      </c>
      <c r="C10" s="129" t="s">
        <v>9</v>
      </c>
      <c r="D10" s="129" t="s">
        <v>9</v>
      </c>
      <c r="E10" s="129">
        <v>10.8</v>
      </c>
      <c r="F10" s="129">
        <v>69.900000000000006</v>
      </c>
      <c r="G10" s="129">
        <v>8907.1</v>
      </c>
      <c r="H10" s="129" t="s">
        <v>9</v>
      </c>
      <c r="I10" s="129" t="s">
        <v>9</v>
      </c>
      <c r="J10" s="129">
        <v>56.1</v>
      </c>
      <c r="K10" s="129">
        <v>390.6</v>
      </c>
      <c r="L10" s="129">
        <v>3775.4</v>
      </c>
      <c r="M10" s="129" t="s">
        <v>9</v>
      </c>
      <c r="N10" s="129" t="s">
        <v>9</v>
      </c>
      <c r="O10" s="129">
        <v>46.9</v>
      </c>
      <c r="P10" s="129">
        <v>335</v>
      </c>
      <c r="Q10" s="249"/>
      <c r="R10" s="249"/>
      <c r="S10" s="249"/>
      <c r="T10" s="249"/>
    </row>
    <row r="11" spans="1:20">
      <c r="A11" s="248">
        <v>1967</v>
      </c>
      <c r="B11" s="129">
        <v>2115.9</v>
      </c>
      <c r="C11" s="129" t="s">
        <v>9</v>
      </c>
      <c r="D11" s="129" t="s">
        <v>9</v>
      </c>
      <c r="E11" s="129">
        <v>8</v>
      </c>
      <c r="F11" s="129">
        <v>65.5</v>
      </c>
      <c r="G11" s="129">
        <v>8720.7000000000007</v>
      </c>
      <c r="H11" s="129" t="s">
        <v>9</v>
      </c>
      <c r="I11" s="129" t="s">
        <v>9</v>
      </c>
      <c r="J11" s="129">
        <v>41.2</v>
      </c>
      <c r="K11" s="129">
        <v>366.3</v>
      </c>
      <c r="L11" s="129">
        <v>3785.2</v>
      </c>
      <c r="M11" s="129" t="s">
        <v>9</v>
      </c>
      <c r="N11" s="129" t="s">
        <v>9</v>
      </c>
      <c r="O11" s="129">
        <v>34.9</v>
      </c>
      <c r="P11" s="129">
        <v>316.8</v>
      </c>
      <c r="Q11" s="249"/>
      <c r="R11" s="249"/>
      <c r="S11" s="249"/>
      <c r="T11" s="249"/>
    </row>
    <row r="12" spans="1:20">
      <c r="A12" s="248">
        <v>1968</v>
      </c>
      <c r="B12" s="129">
        <v>2014.6</v>
      </c>
      <c r="C12" s="129" t="s">
        <v>9</v>
      </c>
      <c r="D12" s="129" t="s">
        <v>9</v>
      </c>
      <c r="E12" s="129">
        <v>8</v>
      </c>
      <c r="F12" s="129">
        <v>42.2</v>
      </c>
      <c r="G12" s="129">
        <v>8091.8</v>
      </c>
      <c r="H12" s="129" t="s">
        <v>9</v>
      </c>
      <c r="I12" s="129" t="s">
        <v>9</v>
      </c>
      <c r="J12" s="129">
        <v>40.9</v>
      </c>
      <c r="K12" s="129">
        <v>235.2</v>
      </c>
      <c r="L12" s="129">
        <v>3561.2</v>
      </c>
      <c r="M12" s="129" t="s">
        <v>9</v>
      </c>
      <c r="N12" s="129" t="s">
        <v>9</v>
      </c>
      <c r="O12" s="129">
        <v>34.6</v>
      </c>
      <c r="P12" s="129">
        <v>203.7</v>
      </c>
      <c r="Q12" s="249"/>
      <c r="R12" s="249"/>
      <c r="S12" s="249"/>
      <c r="T12" s="249"/>
    </row>
    <row r="13" spans="1:20">
      <c r="A13" s="248">
        <v>1969</v>
      </c>
      <c r="B13" s="129">
        <v>2368.9</v>
      </c>
      <c r="C13" s="129" t="s">
        <v>9</v>
      </c>
      <c r="D13" s="129" t="s">
        <v>9</v>
      </c>
      <c r="E13" s="129">
        <v>14.3</v>
      </c>
      <c r="F13" s="129">
        <v>50.9</v>
      </c>
      <c r="G13" s="129">
        <v>9137.9</v>
      </c>
      <c r="H13" s="129" t="s">
        <v>9</v>
      </c>
      <c r="I13" s="129" t="s">
        <v>9</v>
      </c>
      <c r="J13" s="129">
        <v>72.099999999999994</v>
      </c>
      <c r="K13" s="129">
        <v>273.5</v>
      </c>
      <c r="L13" s="129">
        <v>4079.9</v>
      </c>
      <c r="M13" s="129" t="s">
        <v>9</v>
      </c>
      <c r="N13" s="129" t="s">
        <v>9</v>
      </c>
      <c r="O13" s="129">
        <v>60.2</v>
      </c>
      <c r="P13" s="129">
        <v>237</v>
      </c>
      <c r="Q13" s="249"/>
      <c r="R13" s="249"/>
      <c r="S13" s="249"/>
      <c r="T13" s="249"/>
    </row>
    <row r="14" spans="1:20">
      <c r="A14" s="248">
        <v>1970</v>
      </c>
      <c r="B14" s="129">
        <v>2660.4</v>
      </c>
      <c r="C14" s="129" t="s">
        <v>9</v>
      </c>
      <c r="D14" s="129" t="s">
        <v>9</v>
      </c>
      <c r="E14" s="129">
        <v>14.4</v>
      </c>
      <c r="F14" s="129">
        <v>76</v>
      </c>
      <c r="G14" s="129">
        <v>9883.7999999999993</v>
      </c>
      <c r="H14" s="129" t="s">
        <v>9</v>
      </c>
      <c r="I14" s="129" t="s">
        <v>9</v>
      </c>
      <c r="J14" s="129">
        <v>67.400000000000006</v>
      </c>
      <c r="K14" s="129">
        <v>380.5</v>
      </c>
      <c r="L14" s="129">
        <v>4358.5</v>
      </c>
      <c r="M14" s="129" t="s">
        <v>9</v>
      </c>
      <c r="N14" s="129" t="s">
        <v>9</v>
      </c>
      <c r="O14" s="129">
        <v>56.9</v>
      </c>
      <c r="P14" s="129">
        <v>328.6</v>
      </c>
      <c r="Q14" s="249"/>
      <c r="R14" s="249"/>
      <c r="S14" s="249"/>
      <c r="T14" s="249"/>
    </row>
    <row r="15" spans="1:20">
      <c r="A15" s="248">
        <v>1971</v>
      </c>
      <c r="B15" s="129">
        <v>2648.9</v>
      </c>
      <c r="C15" s="129" t="s">
        <v>9</v>
      </c>
      <c r="D15" s="129" t="s">
        <v>9</v>
      </c>
      <c r="E15" s="129">
        <v>11.6</v>
      </c>
      <c r="F15" s="129">
        <v>75.900000000000006</v>
      </c>
      <c r="G15" s="129">
        <v>9413.9</v>
      </c>
      <c r="H15" s="129" t="s">
        <v>9</v>
      </c>
      <c r="I15" s="129" t="s">
        <v>9</v>
      </c>
      <c r="J15" s="129">
        <v>53.7</v>
      </c>
      <c r="K15" s="129">
        <v>373.4</v>
      </c>
      <c r="L15" s="129">
        <v>4197.6000000000004</v>
      </c>
      <c r="M15" s="129" t="s">
        <v>9</v>
      </c>
      <c r="N15" s="129" t="s">
        <v>9</v>
      </c>
      <c r="O15" s="129">
        <v>44.6</v>
      </c>
      <c r="P15" s="129">
        <v>320.5</v>
      </c>
      <c r="Q15" s="249"/>
      <c r="R15" s="249"/>
      <c r="S15" s="249"/>
      <c r="T15" s="249"/>
    </row>
    <row r="16" spans="1:20">
      <c r="A16" s="248">
        <v>1972</v>
      </c>
      <c r="B16" s="129">
        <v>2834.4</v>
      </c>
      <c r="C16" s="129" t="s">
        <v>9</v>
      </c>
      <c r="D16" s="129" t="s">
        <v>9</v>
      </c>
      <c r="E16" s="129">
        <v>19.8</v>
      </c>
      <c r="F16" s="129">
        <v>53.2</v>
      </c>
      <c r="G16" s="129">
        <v>9683.7000000000007</v>
      </c>
      <c r="H16" s="129" t="s">
        <v>9</v>
      </c>
      <c r="I16" s="129" t="s">
        <v>9</v>
      </c>
      <c r="J16" s="129">
        <v>88.6</v>
      </c>
      <c r="K16" s="129">
        <v>252</v>
      </c>
      <c r="L16" s="129">
        <v>4383.7</v>
      </c>
      <c r="M16" s="129" t="s">
        <v>9</v>
      </c>
      <c r="N16" s="129" t="s">
        <v>9</v>
      </c>
      <c r="O16" s="129">
        <v>74.2</v>
      </c>
      <c r="P16" s="129">
        <v>218.4</v>
      </c>
      <c r="Q16" s="249"/>
      <c r="R16" s="249"/>
      <c r="S16" s="249"/>
      <c r="T16" s="249"/>
    </row>
    <row r="17" spans="1:20">
      <c r="A17" s="248">
        <v>1973</v>
      </c>
      <c r="B17" s="129">
        <v>3548.6</v>
      </c>
      <c r="C17" s="129" t="s">
        <v>9</v>
      </c>
      <c r="D17" s="129" t="s">
        <v>9</v>
      </c>
      <c r="E17" s="129">
        <v>34.700000000000003</v>
      </c>
      <c r="F17" s="129">
        <v>63.9</v>
      </c>
      <c r="G17" s="129">
        <v>11877.7</v>
      </c>
      <c r="H17" s="129" t="s">
        <v>9</v>
      </c>
      <c r="I17" s="129" t="s">
        <v>9</v>
      </c>
      <c r="J17" s="129">
        <v>147.5</v>
      </c>
      <c r="K17" s="129">
        <v>282.5</v>
      </c>
      <c r="L17" s="129">
        <v>5326.7</v>
      </c>
      <c r="M17" s="129" t="s">
        <v>9</v>
      </c>
      <c r="N17" s="129" t="s">
        <v>9</v>
      </c>
      <c r="O17" s="129">
        <v>122.1</v>
      </c>
      <c r="P17" s="129">
        <v>246</v>
      </c>
      <c r="Q17" s="249"/>
      <c r="R17" s="249"/>
      <c r="S17" s="249"/>
      <c r="T17" s="249"/>
    </row>
    <row r="18" spans="1:20">
      <c r="A18" s="248">
        <v>1974</v>
      </c>
      <c r="B18" s="129">
        <v>4541.3999999999996</v>
      </c>
      <c r="C18" s="129" t="s">
        <v>9</v>
      </c>
      <c r="D18" s="129" t="s">
        <v>9</v>
      </c>
      <c r="E18" s="129">
        <v>51.9</v>
      </c>
      <c r="F18" s="129">
        <v>117.7</v>
      </c>
      <c r="G18" s="129">
        <v>13405.2</v>
      </c>
      <c r="H18" s="129" t="s">
        <v>9</v>
      </c>
      <c r="I18" s="129" t="s">
        <v>9</v>
      </c>
      <c r="J18" s="129">
        <v>187.7</v>
      </c>
      <c r="K18" s="129">
        <v>452</v>
      </c>
      <c r="L18" s="129">
        <v>6134.8</v>
      </c>
      <c r="M18" s="129" t="s">
        <v>9</v>
      </c>
      <c r="N18" s="129" t="s">
        <v>9</v>
      </c>
      <c r="O18" s="129">
        <v>158.80000000000001</v>
      </c>
      <c r="P18" s="129">
        <v>392.7</v>
      </c>
      <c r="Q18" s="249"/>
      <c r="R18" s="249"/>
      <c r="S18" s="249"/>
      <c r="T18" s="249"/>
    </row>
    <row r="19" spans="1:20">
      <c r="A19" s="248">
        <v>1975</v>
      </c>
      <c r="B19" s="129">
        <v>5147.8999999999996</v>
      </c>
      <c r="C19" s="129" t="s">
        <v>9</v>
      </c>
      <c r="D19" s="129" t="s">
        <v>9</v>
      </c>
      <c r="E19" s="129">
        <v>44.4</v>
      </c>
      <c r="F19" s="129">
        <v>154.5</v>
      </c>
      <c r="G19" s="129">
        <v>13335.6</v>
      </c>
      <c r="H19" s="129" t="s">
        <v>9</v>
      </c>
      <c r="I19" s="129" t="s">
        <v>9</v>
      </c>
      <c r="J19" s="129">
        <v>137.1</v>
      </c>
      <c r="K19" s="129">
        <v>503.3</v>
      </c>
      <c r="L19" s="129">
        <v>6130.9</v>
      </c>
      <c r="M19" s="129" t="s">
        <v>9</v>
      </c>
      <c r="N19" s="129" t="s">
        <v>9</v>
      </c>
      <c r="O19" s="129">
        <v>116.2</v>
      </c>
      <c r="P19" s="129">
        <v>438.1</v>
      </c>
      <c r="Q19" s="249"/>
      <c r="R19" s="249"/>
      <c r="S19" s="249"/>
      <c r="T19" s="249"/>
    </row>
    <row r="20" spans="1:20">
      <c r="A20" s="248">
        <v>1976</v>
      </c>
      <c r="B20" s="129">
        <v>5121</v>
      </c>
      <c r="C20" s="129" t="s">
        <v>9</v>
      </c>
      <c r="D20" s="129" t="s">
        <v>9</v>
      </c>
      <c r="E20" s="129">
        <v>30</v>
      </c>
      <c r="F20" s="129">
        <v>201.1</v>
      </c>
      <c r="G20" s="129">
        <v>12532.7</v>
      </c>
      <c r="H20" s="129" t="s">
        <v>9</v>
      </c>
      <c r="I20" s="129" t="s">
        <v>9</v>
      </c>
      <c r="J20" s="129">
        <v>86.4</v>
      </c>
      <c r="K20" s="129">
        <v>606.20000000000005</v>
      </c>
      <c r="L20" s="129">
        <v>5827.4</v>
      </c>
      <c r="M20" s="129" t="s">
        <v>9</v>
      </c>
      <c r="N20" s="129" t="s">
        <v>9</v>
      </c>
      <c r="O20" s="129">
        <v>73.400000000000006</v>
      </c>
      <c r="P20" s="129">
        <v>531.20000000000005</v>
      </c>
      <c r="Q20" s="249"/>
      <c r="R20" s="249"/>
      <c r="S20" s="249"/>
      <c r="T20" s="249"/>
    </row>
    <row r="21" spans="1:20">
      <c r="A21" s="248">
        <v>1977</v>
      </c>
      <c r="B21" s="129">
        <v>5502.2</v>
      </c>
      <c r="C21" s="129" t="s">
        <v>9</v>
      </c>
      <c r="D21" s="129" t="s">
        <v>9</v>
      </c>
      <c r="E21" s="129">
        <v>24.9</v>
      </c>
      <c r="F21" s="129">
        <v>172.7</v>
      </c>
      <c r="G21" s="129">
        <v>12242</v>
      </c>
      <c r="H21" s="129" t="s">
        <v>9</v>
      </c>
      <c r="I21" s="129" t="s">
        <v>9</v>
      </c>
      <c r="J21" s="129">
        <v>64.099999999999994</v>
      </c>
      <c r="K21" s="129">
        <v>468.2</v>
      </c>
      <c r="L21" s="129">
        <v>5847.2</v>
      </c>
      <c r="M21" s="129" t="s">
        <v>9</v>
      </c>
      <c r="N21" s="129" t="s">
        <v>9</v>
      </c>
      <c r="O21" s="129">
        <v>55.2</v>
      </c>
      <c r="P21" s="129">
        <v>411.8</v>
      </c>
      <c r="Q21" s="249"/>
      <c r="R21" s="249"/>
      <c r="S21" s="249"/>
      <c r="T21" s="249"/>
    </row>
    <row r="22" spans="1:20">
      <c r="A22" s="248">
        <v>1978</v>
      </c>
      <c r="B22" s="129">
        <v>6109.7</v>
      </c>
      <c r="C22" s="129" t="s">
        <v>9</v>
      </c>
      <c r="D22" s="129" t="s">
        <v>9</v>
      </c>
      <c r="E22" s="129">
        <v>28</v>
      </c>
      <c r="F22" s="129">
        <v>101.4</v>
      </c>
      <c r="G22" s="129">
        <v>12115.4</v>
      </c>
      <c r="H22" s="129" t="s">
        <v>9</v>
      </c>
      <c r="I22" s="129" t="s">
        <v>9</v>
      </c>
      <c r="J22" s="129">
        <v>63.5</v>
      </c>
      <c r="K22" s="129">
        <v>240.8</v>
      </c>
      <c r="L22" s="129">
        <v>6039.1</v>
      </c>
      <c r="M22" s="129" t="s">
        <v>9</v>
      </c>
      <c r="N22" s="129" t="s">
        <v>9</v>
      </c>
      <c r="O22" s="129">
        <v>55.4</v>
      </c>
      <c r="P22" s="129">
        <v>213.9</v>
      </c>
      <c r="Q22" s="249"/>
      <c r="R22" s="249"/>
      <c r="S22" s="249"/>
      <c r="T22" s="249"/>
    </row>
    <row r="23" spans="1:20">
      <c r="A23" s="248">
        <v>1979</v>
      </c>
      <c r="B23" s="129">
        <v>7245.1</v>
      </c>
      <c r="C23" s="129" t="s">
        <v>9</v>
      </c>
      <c r="D23" s="129" t="s">
        <v>9</v>
      </c>
      <c r="E23" s="129">
        <v>36.4</v>
      </c>
      <c r="F23" s="129">
        <v>167.2</v>
      </c>
      <c r="G23" s="129">
        <v>13022</v>
      </c>
      <c r="H23" s="129" t="s">
        <v>9</v>
      </c>
      <c r="I23" s="129" t="s">
        <v>9</v>
      </c>
      <c r="J23" s="129">
        <v>74.099999999999994</v>
      </c>
      <c r="K23" s="129">
        <v>352.9</v>
      </c>
      <c r="L23" s="129">
        <v>6570.1</v>
      </c>
      <c r="M23" s="129" t="s">
        <v>9</v>
      </c>
      <c r="N23" s="129" t="s">
        <v>9</v>
      </c>
      <c r="O23" s="129">
        <v>64.400000000000006</v>
      </c>
      <c r="P23" s="129">
        <v>314.2</v>
      </c>
      <c r="Q23" s="249"/>
      <c r="R23" s="249"/>
      <c r="S23" s="249"/>
      <c r="T23" s="249"/>
    </row>
    <row r="24" spans="1:20">
      <c r="A24" s="248">
        <v>1980</v>
      </c>
      <c r="B24" s="129">
        <v>8591.2000000000007</v>
      </c>
      <c r="C24" s="129" t="s">
        <v>9</v>
      </c>
      <c r="D24" s="129" t="s">
        <v>9</v>
      </c>
      <c r="E24" s="129">
        <v>53.2</v>
      </c>
      <c r="F24" s="129">
        <v>233.2</v>
      </c>
      <c r="G24" s="129">
        <v>13912.9</v>
      </c>
      <c r="H24" s="129" t="s">
        <v>9</v>
      </c>
      <c r="I24" s="129" t="s">
        <v>9</v>
      </c>
      <c r="J24" s="129">
        <v>95.8</v>
      </c>
      <c r="K24" s="129">
        <v>429.6</v>
      </c>
      <c r="L24" s="129">
        <v>7328.5</v>
      </c>
      <c r="M24" s="129" t="s">
        <v>9</v>
      </c>
      <c r="N24" s="129" t="s">
        <v>9</v>
      </c>
      <c r="O24" s="129">
        <v>84.4</v>
      </c>
      <c r="P24" s="129">
        <v>390.9</v>
      </c>
      <c r="Q24" s="249"/>
      <c r="R24" s="249"/>
      <c r="S24" s="249"/>
      <c r="T24" s="249"/>
    </row>
    <row r="25" spans="1:20">
      <c r="A25" s="248">
        <v>1981</v>
      </c>
      <c r="B25" s="129">
        <v>10488.7</v>
      </c>
      <c r="C25" s="129" t="s">
        <v>9</v>
      </c>
      <c r="D25" s="129" t="s">
        <v>9</v>
      </c>
      <c r="E25" s="129">
        <v>53</v>
      </c>
      <c r="F25" s="129">
        <v>452.5</v>
      </c>
      <c r="G25" s="129">
        <v>14928.2</v>
      </c>
      <c r="H25" s="129" t="s">
        <v>9</v>
      </c>
      <c r="I25" s="129" t="s">
        <v>9</v>
      </c>
      <c r="J25" s="129">
        <v>86.5</v>
      </c>
      <c r="K25" s="129">
        <v>745.8</v>
      </c>
      <c r="L25" s="129">
        <v>8325.7999999999993</v>
      </c>
      <c r="M25" s="129" t="s">
        <v>9</v>
      </c>
      <c r="N25" s="129" t="s">
        <v>9</v>
      </c>
      <c r="O25" s="129">
        <v>75</v>
      </c>
      <c r="P25" s="129">
        <v>675.3</v>
      </c>
      <c r="Q25" s="249"/>
      <c r="R25" s="249"/>
      <c r="S25" s="249"/>
      <c r="T25" s="249"/>
    </row>
    <row r="26" spans="1:20">
      <c r="A26" s="248">
        <v>1982</v>
      </c>
      <c r="B26" s="129">
        <v>9780</v>
      </c>
      <c r="C26" s="129" t="s">
        <v>9</v>
      </c>
      <c r="D26" s="129" t="s">
        <v>9</v>
      </c>
      <c r="E26" s="129">
        <v>47.2</v>
      </c>
      <c r="F26" s="129">
        <v>412.1</v>
      </c>
      <c r="G26" s="129">
        <v>12907.6</v>
      </c>
      <c r="H26" s="129" t="s">
        <v>9</v>
      </c>
      <c r="I26" s="129" t="s">
        <v>9</v>
      </c>
      <c r="J26" s="129">
        <v>70.400000000000006</v>
      </c>
      <c r="K26" s="129">
        <v>627.79999999999995</v>
      </c>
      <c r="L26" s="129">
        <v>7303.5</v>
      </c>
      <c r="M26" s="129" t="s">
        <v>9</v>
      </c>
      <c r="N26" s="129" t="s">
        <v>9</v>
      </c>
      <c r="O26" s="129">
        <v>61.7</v>
      </c>
      <c r="P26" s="129">
        <v>567.70000000000005</v>
      </c>
      <c r="Q26" s="249"/>
      <c r="R26" s="249"/>
      <c r="S26" s="249"/>
      <c r="T26" s="249"/>
    </row>
    <row r="27" spans="1:20">
      <c r="A27" s="248">
        <v>1983</v>
      </c>
      <c r="B27" s="129">
        <v>10517</v>
      </c>
      <c r="C27" s="129" t="s">
        <v>9</v>
      </c>
      <c r="D27" s="129" t="s">
        <v>9</v>
      </c>
      <c r="E27" s="129">
        <v>38.200000000000003</v>
      </c>
      <c r="F27" s="129">
        <v>183.9</v>
      </c>
      <c r="G27" s="129">
        <v>13166.7</v>
      </c>
      <c r="H27" s="129" t="s">
        <v>9</v>
      </c>
      <c r="I27" s="129" t="s">
        <v>9</v>
      </c>
      <c r="J27" s="129">
        <v>55.3</v>
      </c>
      <c r="K27" s="129">
        <v>272.5</v>
      </c>
      <c r="L27" s="129">
        <v>8025.8</v>
      </c>
      <c r="M27" s="129" t="s">
        <v>9</v>
      </c>
      <c r="N27" s="129" t="s">
        <v>9</v>
      </c>
      <c r="O27" s="129">
        <v>49.1</v>
      </c>
      <c r="P27" s="129">
        <v>248</v>
      </c>
      <c r="Q27" s="249"/>
      <c r="R27" s="249"/>
      <c r="S27" s="249"/>
      <c r="T27" s="249"/>
    </row>
    <row r="28" spans="1:20">
      <c r="A28" s="248">
        <v>1984</v>
      </c>
      <c r="B28" s="129">
        <v>11272.2</v>
      </c>
      <c r="C28" s="129" t="s">
        <v>9</v>
      </c>
      <c r="D28" s="129" t="s">
        <v>9</v>
      </c>
      <c r="E28" s="129">
        <v>49</v>
      </c>
      <c r="F28" s="129">
        <v>234.5</v>
      </c>
      <c r="G28" s="129">
        <v>13269.7</v>
      </c>
      <c r="H28" s="129" t="s">
        <v>9</v>
      </c>
      <c r="I28" s="129" t="s">
        <v>9</v>
      </c>
      <c r="J28" s="129">
        <v>67.7</v>
      </c>
      <c r="K28" s="129">
        <v>329.1</v>
      </c>
      <c r="L28" s="129">
        <v>8456.1</v>
      </c>
      <c r="M28" s="129" t="s">
        <v>9</v>
      </c>
      <c r="N28" s="129" t="s">
        <v>9</v>
      </c>
      <c r="O28" s="129">
        <v>60.2</v>
      </c>
      <c r="P28" s="129">
        <v>300.8</v>
      </c>
      <c r="Q28" s="249"/>
      <c r="R28" s="249"/>
      <c r="S28" s="249"/>
      <c r="T28" s="249"/>
    </row>
    <row r="29" spans="1:20">
      <c r="A29" s="248">
        <v>1985</v>
      </c>
      <c r="B29" s="129">
        <v>13447.3</v>
      </c>
      <c r="C29" s="129" t="s">
        <v>9</v>
      </c>
      <c r="D29" s="129" t="s">
        <v>9</v>
      </c>
      <c r="E29" s="129">
        <v>38.5</v>
      </c>
      <c r="F29" s="129">
        <v>415.6</v>
      </c>
      <c r="G29" s="129">
        <v>14838.8</v>
      </c>
      <c r="H29" s="129" t="s">
        <v>9</v>
      </c>
      <c r="I29" s="129" t="s">
        <v>9</v>
      </c>
      <c r="J29" s="129">
        <v>50</v>
      </c>
      <c r="K29" s="129">
        <v>543.1</v>
      </c>
      <c r="L29" s="129">
        <v>9936.2999999999993</v>
      </c>
      <c r="M29" s="129" t="s">
        <v>9</v>
      </c>
      <c r="N29" s="129" t="s">
        <v>9</v>
      </c>
      <c r="O29" s="129">
        <v>44.9</v>
      </c>
      <c r="P29" s="129">
        <v>504.3</v>
      </c>
      <c r="Q29" s="249"/>
      <c r="R29" s="249"/>
      <c r="S29" s="249"/>
      <c r="T29" s="249"/>
    </row>
    <row r="30" spans="1:20">
      <c r="A30" s="248">
        <v>1986</v>
      </c>
      <c r="B30" s="129">
        <v>15414.2</v>
      </c>
      <c r="C30" s="129" t="s">
        <v>9</v>
      </c>
      <c r="D30" s="129" t="s">
        <v>9</v>
      </c>
      <c r="E30" s="129">
        <v>44.5</v>
      </c>
      <c r="F30" s="129">
        <v>255.4</v>
      </c>
      <c r="G30" s="129">
        <v>16834</v>
      </c>
      <c r="H30" s="129" t="s">
        <v>9</v>
      </c>
      <c r="I30" s="129" t="s">
        <v>9</v>
      </c>
      <c r="J30" s="129">
        <v>55.9</v>
      </c>
      <c r="K30" s="129">
        <v>318.3</v>
      </c>
      <c r="L30" s="129">
        <v>11253</v>
      </c>
      <c r="M30" s="129" t="s">
        <v>9</v>
      </c>
      <c r="N30" s="129" t="s">
        <v>9</v>
      </c>
      <c r="O30" s="129">
        <v>50.5</v>
      </c>
      <c r="P30" s="129">
        <v>302.3</v>
      </c>
      <c r="Q30" s="249"/>
      <c r="R30" s="249"/>
      <c r="S30" s="249"/>
      <c r="T30" s="249"/>
    </row>
    <row r="31" spans="1:20">
      <c r="A31" s="248">
        <v>1987</v>
      </c>
      <c r="B31" s="129">
        <v>16608.8</v>
      </c>
      <c r="C31" s="129" t="s">
        <v>9</v>
      </c>
      <c r="D31" s="129" t="s">
        <v>9</v>
      </c>
      <c r="E31" s="129">
        <v>101.4</v>
      </c>
      <c r="F31" s="129">
        <v>311.89999999999998</v>
      </c>
      <c r="G31" s="129">
        <v>17323.400000000001</v>
      </c>
      <c r="H31" s="129" t="s">
        <v>9</v>
      </c>
      <c r="I31" s="129" t="s">
        <v>9</v>
      </c>
      <c r="J31" s="129">
        <v>129.6</v>
      </c>
      <c r="K31" s="129">
        <v>394</v>
      </c>
      <c r="L31" s="129">
        <v>12325.8</v>
      </c>
      <c r="M31" s="129" t="s">
        <v>9</v>
      </c>
      <c r="N31" s="129" t="s">
        <v>9</v>
      </c>
      <c r="O31" s="129">
        <v>115.4</v>
      </c>
      <c r="P31" s="129">
        <v>371.1</v>
      </c>
      <c r="Q31" s="249"/>
      <c r="R31" s="249"/>
      <c r="S31" s="249"/>
      <c r="T31" s="249"/>
    </row>
    <row r="32" spans="1:20">
      <c r="A32" s="248">
        <v>1988</v>
      </c>
      <c r="B32" s="129">
        <v>19060.8</v>
      </c>
      <c r="C32" s="129" t="s">
        <v>9</v>
      </c>
      <c r="D32" s="129" t="s">
        <v>9</v>
      </c>
      <c r="E32" s="129">
        <v>144</v>
      </c>
      <c r="F32" s="129">
        <v>463.2</v>
      </c>
      <c r="G32" s="129">
        <v>20443.400000000001</v>
      </c>
      <c r="H32" s="129" t="s">
        <v>9</v>
      </c>
      <c r="I32" s="129" t="s">
        <v>9</v>
      </c>
      <c r="J32" s="129">
        <v>187.3</v>
      </c>
      <c r="K32" s="129">
        <v>590.9</v>
      </c>
      <c r="L32" s="129">
        <v>14357.3</v>
      </c>
      <c r="M32" s="129" t="s">
        <v>9</v>
      </c>
      <c r="N32" s="129" t="s">
        <v>9</v>
      </c>
      <c r="O32" s="129">
        <v>165.4</v>
      </c>
      <c r="P32" s="129">
        <v>557</v>
      </c>
      <c r="Q32" s="249"/>
      <c r="R32" s="249"/>
      <c r="S32" s="249"/>
      <c r="T32" s="249"/>
    </row>
    <row r="33" spans="1:20">
      <c r="A33" s="248">
        <v>1989</v>
      </c>
      <c r="B33" s="129">
        <v>20176.400000000001</v>
      </c>
      <c r="C33" s="129" t="s">
        <v>9</v>
      </c>
      <c r="D33" s="129" t="s">
        <v>9</v>
      </c>
      <c r="E33" s="129">
        <v>112</v>
      </c>
      <c r="F33" s="129">
        <v>760.7</v>
      </c>
      <c r="G33" s="129">
        <v>20702.599999999999</v>
      </c>
      <c r="H33" s="129" t="s">
        <v>9</v>
      </c>
      <c r="I33" s="129" t="s">
        <v>9</v>
      </c>
      <c r="J33" s="129">
        <v>140.4</v>
      </c>
      <c r="K33" s="129">
        <v>954.9</v>
      </c>
      <c r="L33" s="129">
        <v>15210.6</v>
      </c>
      <c r="M33" s="129" t="s">
        <v>9</v>
      </c>
      <c r="N33" s="129" t="s">
        <v>9</v>
      </c>
      <c r="O33" s="129">
        <v>125.3</v>
      </c>
      <c r="P33" s="129">
        <v>892.3</v>
      </c>
      <c r="Q33" s="249"/>
      <c r="R33" s="249"/>
      <c r="S33" s="249"/>
      <c r="T33" s="249"/>
    </row>
    <row r="34" spans="1:20">
      <c r="A34" s="248">
        <v>1990</v>
      </c>
      <c r="B34" s="129">
        <v>19077.400000000001</v>
      </c>
      <c r="C34" s="129" t="s">
        <v>9</v>
      </c>
      <c r="D34" s="129" t="s">
        <v>9</v>
      </c>
      <c r="E34" s="129">
        <v>65.400000000000006</v>
      </c>
      <c r="F34" s="129">
        <v>575.29999999999995</v>
      </c>
      <c r="G34" s="129">
        <v>18971.5</v>
      </c>
      <c r="H34" s="129" t="s">
        <v>9</v>
      </c>
      <c r="I34" s="129" t="s">
        <v>9</v>
      </c>
      <c r="J34" s="129">
        <v>80.2</v>
      </c>
      <c r="K34" s="129">
        <v>704.7</v>
      </c>
      <c r="L34" s="129">
        <v>14330.1</v>
      </c>
      <c r="M34" s="129" t="s">
        <v>9</v>
      </c>
      <c r="N34" s="129" t="s">
        <v>9</v>
      </c>
      <c r="O34" s="129">
        <v>72</v>
      </c>
      <c r="P34" s="129">
        <v>664.5</v>
      </c>
      <c r="Q34" s="249"/>
      <c r="R34" s="249"/>
      <c r="S34" s="249"/>
      <c r="T34" s="249"/>
    </row>
    <row r="35" spans="1:20">
      <c r="A35" s="248">
        <v>1991</v>
      </c>
      <c r="B35" s="129">
        <v>17920.900000000001</v>
      </c>
      <c r="C35" s="129" t="s">
        <v>9</v>
      </c>
      <c r="D35" s="129" t="s">
        <v>9</v>
      </c>
      <c r="E35" s="129">
        <v>47.1</v>
      </c>
      <c r="F35" s="129">
        <v>365.1</v>
      </c>
      <c r="G35" s="129">
        <v>18625.5</v>
      </c>
      <c r="H35" s="129" t="s">
        <v>9</v>
      </c>
      <c r="I35" s="129" t="s">
        <v>9</v>
      </c>
      <c r="J35" s="129">
        <v>59</v>
      </c>
      <c r="K35" s="129">
        <v>449.4</v>
      </c>
      <c r="L35" s="129">
        <v>14483.6</v>
      </c>
      <c r="M35" s="129" t="s">
        <v>9</v>
      </c>
      <c r="N35" s="129" t="s">
        <v>9</v>
      </c>
      <c r="O35" s="129">
        <v>52.7</v>
      </c>
      <c r="P35" s="129">
        <v>428.3</v>
      </c>
      <c r="Q35" s="249"/>
      <c r="R35" s="249"/>
      <c r="S35" s="249"/>
      <c r="T35" s="249"/>
    </row>
    <row r="36" spans="1:20">
      <c r="A36" s="248">
        <v>1992</v>
      </c>
      <c r="B36" s="129">
        <v>17448.5</v>
      </c>
      <c r="C36" s="129" t="s">
        <v>9</v>
      </c>
      <c r="D36" s="129" t="s">
        <v>9</v>
      </c>
      <c r="E36" s="129">
        <v>39.9</v>
      </c>
      <c r="F36" s="129">
        <v>317.8</v>
      </c>
      <c r="G36" s="129">
        <v>17164.5</v>
      </c>
      <c r="H36" s="129" t="s">
        <v>9</v>
      </c>
      <c r="I36" s="129" t="s">
        <v>9</v>
      </c>
      <c r="J36" s="129">
        <v>47.1</v>
      </c>
      <c r="K36" s="129">
        <v>372.4</v>
      </c>
      <c r="L36" s="129">
        <v>13933.3</v>
      </c>
      <c r="M36" s="129" t="s">
        <v>9</v>
      </c>
      <c r="N36" s="129" t="s">
        <v>9</v>
      </c>
      <c r="O36" s="129">
        <v>42.6</v>
      </c>
      <c r="P36" s="129">
        <v>356.8</v>
      </c>
      <c r="Q36" s="249"/>
      <c r="R36" s="249"/>
      <c r="S36" s="249"/>
      <c r="T36" s="249"/>
    </row>
    <row r="37" spans="1:20">
      <c r="A37" s="248">
        <v>1993</v>
      </c>
      <c r="B37" s="129">
        <v>17118.3</v>
      </c>
      <c r="C37" s="129" t="s">
        <v>9</v>
      </c>
      <c r="D37" s="129" t="s">
        <v>9</v>
      </c>
      <c r="E37" s="129">
        <v>49.2</v>
      </c>
      <c r="F37" s="129">
        <v>344</v>
      </c>
      <c r="G37" s="129">
        <v>16217.4</v>
      </c>
      <c r="H37" s="129" t="s">
        <v>9</v>
      </c>
      <c r="I37" s="129" t="s">
        <v>9</v>
      </c>
      <c r="J37" s="129">
        <v>52.8</v>
      </c>
      <c r="K37" s="129">
        <v>371.9</v>
      </c>
      <c r="L37" s="129">
        <v>13325.9</v>
      </c>
      <c r="M37" s="129" t="s">
        <v>9</v>
      </c>
      <c r="N37" s="129" t="s">
        <v>9</v>
      </c>
      <c r="O37" s="129">
        <v>50.1</v>
      </c>
      <c r="P37" s="129">
        <v>367.9</v>
      </c>
      <c r="Q37" s="249"/>
      <c r="R37" s="249"/>
      <c r="S37" s="249"/>
      <c r="T37" s="249"/>
    </row>
    <row r="38" spans="1:20">
      <c r="A38" s="248">
        <v>1994</v>
      </c>
      <c r="B38" s="129">
        <v>19013.400000000001</v>
      </c>
      <c r="C38" s="129" t="s">
        <v>9</v>
      </c>
      <c r="D38" s="129" t="s">
        <v>9</v>
      </c>
      <c r="E38" s="129">
        <v>87.6</v>
      </c>
      <c r="F38" s="129">
        <v>359.4</v>
      </c>
      <c r="G38" s="129">
        <v>17402.3</v>
      </c>
      <c r="H38" s="129" t="s">
        <v>9</v>
      </c>
      <c r="I38" s="129" t="s">
        <v>9</v>
      </c>
      <c r="J38" s="129">
        <v>94.4</v>
      </c>
      <c r="K38" s="129">
        <v>385.6</v>
      </c>
      <c r="L38" s="129">
        <v>14471</v>
      </c>
      <c r="M38" s="129" t="s">
        <v>9</v>
      </c>
      <c r="N38" s="129" t="s">
        <v>9</v>
      </c>
      <c r="O38" s="129">
        <v>84.9</v>
      </c>
      <c r="P38" s="129">
        <v>365.9</v>
      </c>
      <c r="Q38" s="249"/>
      <c r="R38" s="249"/>
      <c r="S38" s="249"/>
      <c r="T38" s="249"/>
    </row>
    <row r="39" spans="1:20">
      <c r="A39" s="248">
        <v>1995</v>
      </c>
      <c r="B39" s="129">
        <v>21556.7</v>
      </c>
      <c r="C39" s="129" t="s">
        <v>9</v>
      </c>
      <c r="D39" s="129" t="s">
        <v>9</v>
      </c>
      <c r="E39" s="129">
        <v>199.5</v>
      </c>
      <c r="F39" s="129">
        <v>880.2</v>
      </c>
      <c r="G39" s="129">
        <v>18884.099999999999</v>
      </c>
      <c r="H39" s="129" t="s">
        <v>9</v>
      </c>
      <c r="I39" s="129" t="s">
        <v>9</v>
      </c>
      <c r="J39" s="129">
        <v>204.8</v>
      </c>
      <c r="K39" s="129">
        <v>903.4</v>
      </c>
      <c r="L39" s="129">
        <v>16159.3</v>
      </c>
      <c r="M39" s="129" t="s">
        <v>9</v>
      </c>
      <c r="N39" s="129" t="s">
        <v>9</v>
      </c>
      <c r="O39" s="129">
        <v>185.5</v>
      </c>
      <c r="P39" s="129">
        <v>861.4</v>
      </c>
      <c r="Q39" s="249"/>
      <c r="R39" s="249"/>
      <c r="S39" s="249"/>
      <c r="T39" s="249"/>
    </row>
    <row r="40" spans="1:20">
      <c r="A40" s="248">
        <v>1996</v>
      </c>
      <c r="B40" s="129">
        <v>23522</v>
      </c>
      <c r="C40" s="129" t="s">
        <v>9</v>
      </c>
      <c r="D40" s="129" t="s">
        <v>9</v>
      </c>
      <c r="E40" s="129">
        <v>114</v>
      </c>
      <c r="F40" s="129">
        <v>768.8</v>
      </c>
      <c r="G40" s="129">
        <v>20157.7</v>
      </c>
      <c r="H40" s="129" t="s">
        <v>9</v>
      </c>
      <c r="I40" s="129" t="s">
        <v>9</v>
      </c>
      <c r="J40" s="129">
        <v>114.9</v>
      </c>
      <c r="K40" s="129">
        <v>760.2</v>
      </c>
      <c r="L40" s="129">
        <v>17764.599999999999</v>
      </c>
      <c r="M40" s="129" t="s">
        <v>9</v>
      </c>
      <c r="N40" s="129" t="s">
        <v>9</v>
      </c>
      <c r="O40" s="129">
        <v>103.7</v>
      </c>
      <c r="P40" s="129">
        <v>737.9</v>
      </c>
      <c r="Q40" s="249"/>
      <c r="R40" s="249"/>
      <c r="S40" s="249"/>
      <c r="T40" s="249"/>
    </row>
    <row r="41" spans="1:20">
      <c r="A41" s="248">
        <v>1997</v>
      </c>
      <c r="B41" s="129">
        <v>27204.1</v>
      </c>
      <c r="C41" s="129" t="s">
        <v>9</v>
      </c>
      <c r="D41" s="129" t="s">
        <v>9</v>
      </c>
      <c r="E41" s="129">
        <v>173.3</v>
      </c>
      <c r="F41" s="129">
        <v>424.8</v>
      </c>
      <c r="G41" s="129">
        <v>23271.9</v>
      </c>
      <c r="H41" s="129" t="s">
        <v>9</v>
      </c>
      <c r="I41" s="129" t="s">
        <v>9</v>
      </c>
      <c r="J41" s="129">
        <v>170.8</v>
      </c>
      <c r="K41" s="129">
        <v>409.3</v>
      </c>
      <c r="L41" s="129">
        <v>20566.3</v>
      </c>
      <c r="M41" s="129" t="s">
        <v>9</v>
      </c>
      <c r="N41" s="129" t="s">
        <v>9</v>
      </c>
      <c r="O41" s="129">
        <v>153.80000000000001</v>
      </c>
      <c r="P41" s="129">
        <v>398.2</v>
      </c>
      <c r="Q41" s="249"/>
      <c r="R41" s="249"/>
      <c r="S41" s="249"/>
      <c r="T41" s="249"/>
    </row>
    <row r="42" spans="1:20">
      <c r="A42" s="248">
        <v>1998</v>
      </c>
      <c r="B42" s="129">
        <v>29704.2</v>
      </c>
      <c r="C42" s="129" t="s">
        <v>9</v>
      </c>
      <c r="D42" s="129" t="s">
        <v>9</v>
      </c>
      <c r="E42" s="129">
        <v>150.30000000000001</v>
      </c>
      <c r="F42" s="129">
        <v>487.4</v>
      </c>
      <c r="G42" s="129">
        <v>24593.8</v>
      </c>
      <c r="H42" s="129" t="s">
        <v>9</v>
      </c>
      <c r="I42" s="129" t="s">
        <v>9</v>
      </c>
      <c r="J42" s="129">
        <v>134.4</v>
      </c>
      <c r="K42" s="129">
        <v>434.7</v>
      </c>
      <c r="L42" s="129">
        <v>21753.5</v>
      </c>
      <c r="M42" s="129" t="s">
        <v>9</v>
      </c>
      <c r="N42" s="129" t="s">
        <v>9</v>
      </c>
      <c r="O42" s="129">
        <v>123.5</v>
      </c>
      <c r="P42" s="129">
        <v>425.1</v>
      </c>
      <c r="Q42" s="249"/>
      <c r="R42" s="249"/>
      <c r="S42" s="249"/>
      <c r="T42" s="249"/>
    </row>
    <row r="43" spans="1:20">
      <c r="A43" s="248">
        <v>1999</v>
      </c>
      <c r="B43" s="129">
        <v>31472.6</v>
      </c>
      <c r="C43" s="129" t="s">
        <v>9</v>
      </c>
      <c r="D43" s="129" t="s">
        <v>9</v>
      </c>
      <c r="E43" s="129">
        <v>117.7</v>
      </c>
      <c r="F43" s="129">
        <v>444.2</v>
      </c>
      <c r="G43" s="129">
        <v>25227.1</v>
      </c>
      <c r="H43" s="129" t="s">
        <v>9</v>
      </c>
      <c r="I43" s="129" t="s">
        <v>9</v>
      </c>
      <c r="J43" s="129">
        <v>103.4</v>
      </c>
      <c r="K43" s="129">
        <v>399.7</v>
      </c>
      <c r="L43" s="129">
        <v>23694.400000000001</v>
      </c>
      <c r="M43" s="129" t="s">
        <v>9</v>
      </c>
      <c r="N43" s="129" t="s">
        <v>9</v>
      </c>
      <c r="O43" s="129">
        <v>95.6</v>
      </c>
      <c r="P43" s="129">
        <v>382.7</v>
      </c>
      <c r="Q43" s="249"/>
      <c r="R43" s="249"/>
      <c r="S43" s="249"/>
      <c r="T43" s="249"/>
    </row>
    <row r="44" spans="1:20">
      <c r="A44" s="248">
        <v>2000</v>
      </c>
      <c r="B44" s="129">
        <v>31778.400000000001</v>
      </c>
      <c r="C44" s="129" t="s">
        <v>9</v>
      </c>
      <c r="D44" s="129" t="s">
        <v>9</v>
      </c>
      <c r="E44" s="129">
        <v>147.4</v>
      </c>
      <c r="F44" s="129">
        <v>477.5</v>
      </c>
      <c r="G44" s="129">
        <v>24828.1</v>
      </c>
      <c r="H44" s="129" t="s">
        <v>9</v>
      </c>
      <c r="I44" s="129" t="s">
        <v>9</v>
      </c>
      <c r="J44" s="129">
        <v>127.6</v>
      </c>
      <c r="K44" s="129">
        <v>416.4</v>
      </c>
      <c r="L44" s="129">
        <v>24245.9</v>
      </c>
      <c r="M44" s="129" t="s">
        <v>9</v>
      </c>
      <c r="N44" s="129" t="s">
        <v>9</v>
      </c>
      <c r="O44" s="129">
        <v>118.8</v>
      </c>
      <c r="P44" s="129">
        <v>406.6</v>
      </c>
      <c r="Q44" s="249"/>
      <c r="R44" s="249"/>
      <c r="S44" s="249"/>
      <c r="T44" s="249"/>
    </row>
    <row r="45" spans="1:20">
      <c r="A45" s="248">
        <v>2001</v>
      </c>
      <c r="B45" s="129">
        <v>30732.3</v>
      </c>
      <c r="C45" s="129" t="s">
        <v>9</v>
      </c>
      <c r="D45" s="129" t="s">
        <v>9</v>
      </c>
      <c r="E45" s="129">
        <v>94.8</v>
      </c>
      <c r="F45" s="129">
        <v>343.3</v>
      </c>
      <c r="G45" s="129">
        <v>23849.8</v>
      </c>
      <c r="H45" s="129" t="s">
        <v>9</v>
      </c>
      <c r="I45" s="129" t="s">
        <v>9</v>
      </c>
      <c r="J45" s="129">
        <v>77.7</v>
      </c>
      <c r="K45" s="129">
        <v>287.3</v>
      </c>
      <c r="L45" s="129">
        <v>23395.1</v>
      </c>
      <c r="M45" s="129" t="s">
        <v>9</v>
      </c>
      <c r="N45" s="129" t="s">
        <v>9</v>
      </c>
      <c r="O45" s="129">
        <v>74</v>
      </c>
      <c r="P45" s="129">
        <v>281.2</v>
      </c>
      <c r="Q45" s="249"/>
      <c r="R45" s="249"/>
      <c r="S45" s="249"/>
      <c r="T45" s="249"/>
    </row>
    <row r="46" spans="1:20">
      <c r="A46" s="248">
        <v>2002</v>
      </c>
      <c r="B46" s="129">
        <v>28095.5</v>
      </c>
      <c r="C46" s="129" t="s">
        <v>9</v>
      </c>
      <c r="D46" s="129" t="s">
        <v>9</v>
      </c>
      <c r="E46" s="129">
        <v>94.2</v>
      </c>
      <c r="F46" s="129">
        <v>310.5</v>
      </c>
      <c r="G46" s="129">
        <v>21991.599999999999</v>
      </c>
      <c r="H46" s="129" t="s">
        <v>9</v>
      </c>
      <c r="I46" s="129" t="s">
        <v>9</v>
      </c>
      <c r="J46" s="129">
        <v>76.5</v>
      </c>
      <c r="K46" s="129">
        <v>252.3</v>
      </c>
      <c r="L46" s="129">
        <v>21626.2</v>
      </c>
      <c r="M46" s="129" t="s">
        <v>9</v>
      </c>
      <c r="N46" s="129" t="s">
        <v>9</v>
      </c>
      <c r="O46" s="129">
        <v>73</v>
      </c>
      <c r="P46" s="129">
        <v>252</v>
      </c>
      <c r="Q46" s="249"/>
      <c r="R46" s="249"/>
      <c r="S46" s="249"/>
      <c r="T46" s="249"/>
    </row>
    <row r="47" spans="1:20">
      <c r="A47" s="248">
        <v>2003</v>
      </c>
      <c r="B47" s="129">
        <v>28705.9</v>
      </c>
      <c r="C47" s="129" t="s">
        <v>9</v>
      </c>
      <c r="D47" s="129" t="s">
        <v>9</v>
      </c>
      <c r="E47" s="129">
        <v>87.1</v>
      </c>
      <c r="F47" s="129">
        <v>345.3</v>
      </c>
      <c r="G47" s="129">
        <v>24092.1</v>
      </c>
      <c r="H47" s="129" t="s">
        <v>9</v>
      </c>
      <c r="I47" s="129" t="s">
        <v>9</v>
      </c>
      <c r="J47" s="129">
        <v>73.7</v>
      </c>
      <c r="K47" s="129">
        <v>299.89999999999998</v>
      </c>
      <c r="L47" s="129">
        <v>23669.1</v>
      </c>
      <c r="M47" s="129" t="s">
        <v>9</v>
      </c>
      <c r="N47" s="129" t="s">
        <v>9</v>
      </c>
      <c r="O47" s="129">
        <v>72.900000000000006</v>
      </c>
      <c r="P47" s="129">
        <v>302.8</v>
      </c>
      <c r="Q47" s="249"/>
      <c r="R47" s="249"/>
      <c r="S47" s="249"/>
      <c r="T47" s="249"/>
    </row>
    <row r="48" spans="1:20">
      <c r="A48" s="248">
        <v>2004</v>
      </c>
      <c r="B48" s="129">
        <v>29277.5</v>
      </c>
      <c r="C48" s="129" t="s">
        <v>9</v>
      </c>
      <c r="D48" s="129" t="s">
        <v>9</v>
      </c>
      <c r="E48" s="129">
        <v>120.2</v>
      </c>
      <c r="F48" s="129">
        <v>242.6</v>
      </c>
      <c r="G48" s="129">
        <v>25945.5</v>
      </c>
      <c r="H48" s="129" t="s">
        <v>9</v>
      </c>
      <c r="I48" s="129" t="s">
        <v>9</v>
      </c>
      <c r="J48" s="129">
        <v>105.9</v>
      </c>
      <c r="K48" s="129">
        <v>227.4</v>
      </c>
      <c r="L48" s="129">
        <v>25787.5</v>
      </c>
      <c r="M48" s="129" t="s">
        <v>9</v>
      </c>
      <c r="N48" s="129" t="s">
        <v>9</v>
      </c>
      <c r="O48" s="129">
        <v>106.9</v>
      </c>
      <c r="P48" s="129">
        <v>222</v>
      </c>
      <c r="Q48" s="249"/>
      <c r="R48" s="249"/>
      <c r="S48" s="249"/>
      <c r="T48" s="249"/>
    </row>
    <row r="49" spans="1:20">
      <c r="A49" s="248">
        <v>2005</v>
      </c>
      <c r="B49" s="129">
        <v>31505.7</v>
      </c>
      <c r="C49" s="129" t="s">
        <v>9</v>
      </c>
      <c r="D49" s="129" t="s">
        <v>9</v>
      </c>
      <c r="E49" s="129">
        <v>117.4</v>
      </c>
      <c r="F49" s="129">
        <v>241.6</v>
      </c>
      <c r="G49" s="129">
        <v>29293.599999999999</v>
      </c>
      <c r="H49" s="129" t="s">
        <v>9</v>
      </c>
      <c r="I49" s="129" t="s">
        <v>9</v>
      </c>
      <c r="J49" s="129">
        <v>109</v>
      </c>
      <c r="K49" s="129">
        <v>229.1</v>
      </c>
      <c r="L49" s="129">
        <v>29179.8</v>
      </c>
      <c r="M49" s="129" t="s">
        <v>9</v>
      </c>
      <c r="N49" s="129" t="s">
        <v>9</v>
      </c>
      <c r="O49" s="129">
        <v>110.1</v>
      </c>
      <c r="P49" s="129">
        <v>228.7</v>
      </c>
      <c r="Q49" s="249"/>
      <c r="R49" s="249"/>
      <c r="S49" s="249"/>
      <c r="T49" s="249"/>
    </row>
    <row r="50" spans="1:20">
      <c r="A50" s="248">
        <v>2006</v>
      </c>
      <c r="B50" s="129">
        <v>33131.1</v>
      </c>
      <c r="C50" s="129" t="s">
        <v>9</v>
      </c>
      <c r="D50" s="129" t="s">
        <v>9</v>
      </c>
      <c r="E50" s="129">
        <v>100.5</v>
      </c>
      <c r="F50" s="129">
        <v>225.6</v>
      </c>
      <c r="G50" s="129">
        <v>31991.1</v>
      </c>
      <c r="H50" s="129" t="s">
        <v>9</v>
      </c>
      <c r="I50" s="129" t="s">
        <v>9</v>
      </c>
      <c r="J50" s="129">
        <v>97.9</v>
      </c>
      <c r="K50" s="129">
        <v>219.9</v>
      </c>
      <c r="L50" s="129">
        <v>31991.200000000001</v>
      </c>
      <c r="M50" s="129" t="s">
        <v>9</v>
      </c>
      <c r="N50" s="129" t="s">
        <v>9</v>
      </c>
      <c r="O50" s="129">
        <v>97.7</v>
      </c>
      <c r="P50" s="129">
        <v>219.9</v>
      </c>
      <c r="Q50" s="249"/>
      <c r="R50" s="249"/>
      <c r="S50" s="249"/>
      <c r="T50" s="249"/>
    </row>
    <row r="51" spans="1:20">
      <c r="A51" s="248">
        <v>2007</v>
      </c>
      <c r="B51" s="129">
        <v>31532.5</v>
      </c>
      <c r="C51" s="129" t="s">
        <v>9</v>
      </c>
      <c r="D51" s="129" t="s">
        <v>9</v>
      </c>
      <c r="E51" s="129">
        <v>96.2</v>
      </c>
      <c r="F51" s="129">
        <v>216.8</v>
      </c>
      <c r="G51" s="129">
        <v>31532.5</v>
      </c>
      <c r="H51" s="129" t="s">
        <v>9</v>
      </c>
      <c r="I51" s="129" t="s">
        <v>9</v>
      </c>
      <c r="J51" s="129">
        <v>96.2</v>
      </c>
      <c r="K51" s="129">
        <v>216.8</v>
      </c>
      <c r="L51" s="129">
        <v>31532.5</v>
      </c>
      <c r="M51" s="129" t="s">
        <v>9</v>
      </c>
      <c r="N51" s="129" t="s">
        <v>9</v>
      </c>
      <c r="O51" s="129">
        <v>96.2</v>
      </c>
      <c r="P51" s="129">
        <v>216.8</v>
      </c>
      <c r="Q51" s="249"/>
      <c r="R51" s="249"/>
      <c r="S51" s="249"/>
      <c r="T51" s="249"/>
    </row>
    <row r="52" spans="1:20">
      <c r="A52" s="248">
        <v>2008</v>
      </c>
      <c r="B52" s="129">
        <v>32653.7</v>
      </c>
      <c r="C52" s="129" t="s">
        <v>9</v>
      </c>
      <c r="D52" s="129" t="s">
        <v>9</v>
      </c>
      <c r="E52" s="129">
        <v>75.599999999999994</v>
      </c>
      <c r="F52" s="129">
        <v>195.8</v>
      </c>
      <c r="G52" s="129">
        <v>32389.9</v>
      </c>
      <c r="H52" s="129" t="s">
        <v>9</v>
      </c>
      <c r="I52" s="129" t="s">
        <v>9</v>
      </c>
      <c r="J52" s="129">
        <v>73.7</v>
      </c>
      <c r="K52" s="129">
        <v>190.6</v>
      </c>
      <c r="L52" s="129">
        <v>32389.5</v>
      </c>
      <c r="M52" s="129" t="s">
        <v>9</v>
      </c>
      <c r="N52" s="129" t="s">
        <v>9</v>
      </c>
      <c r="O52" s="129">
        <v>73.900000000000006</v>
      </c>
      <c r="P52" s="129">
        <v>190.7</v>
      </c>
      <c r="Q52" s="249"/>
      <c r="R52" s="249"/>
      <c r="S52" s="249"/>
      <c r="T52" s="249"/>
    </row>
    <row r="53" spans="1:20">
      <c r="A53" s="248">
        <v>2009</v>
      </c>
      <c r="B53" s="129">
        <v>27303.599999999999</v>
      </c>
      <c r="C53" s="129" t="s">
        <v>9</v>
      </c>
      <c r="D53" s="129" t="s">
        <v>9</v>
      </c>
      <c r="E53" s="129">
        <v>23.1</v>
      </c>
      <c r="F53" s="129">
        <v>159.19999999999999</v>
      </c>
      <c r="G53" s="129">
        <v>25684.6</v>
      </c>
      <c r="H53" s="129" t="s">
        <v>9</v>
      </c>
      <c r="I53" s="129" t="s">
        <v>9</v>
      </c>
      <c r="J53" s="129">
        <v>21.1</v>
      </c>
      <c r="K53" s="129">
        <v>146.9</v>
      </c>
      <c r="L53" s="129">
        <v>25689.200000000001</v>
      </c>
      <c r="M53" s="129" t="s">
        <v>9</v>
      </c>
      <c r="N53" s="129" t="s">
        <v>9</v>
      </c>
      <c r="O53" s="129">
        <v>21.2</v>
      </c>
      <c r="P53" s="129">
        <v>145.80000000000001</v>
      </c>
      <c r="Q53" s="249"/>
      <c r="R53" s="249"/>
      <c r="S53" s="249"/>
      <c r="T53" s="249"/>
    </row>
    <row r="54" spans="1:20">
      <c r="A54" s="248">
        <v>2010</v>
      </c>
      <c r="B54" s="129">
        <v>27988.400000000001</v>
      </c>
      <c r="C54" s="129" t="s">
        <v>9</v>
      </c>
      <c r="D54" s="129" t="s">
        <v>9</v>
      </c>
      <c r="E54" s="129" t="s">
        <v>9</v>
      </c>
      <c r="F54" s="129">
        <v>110.6</v>
      </c>
      <c r="G54" s="129">
        <v>28808</v>
      </c>
      <c r="H54" s="129" t="s">
        <v>9</v>
      </c>
      <c r="I54" s="129" t="s">
        <v>9</v>
      </c>
      <c r="J54" s="129" t="s">
        <v>9</v>
      </c>
      <c r="K54" s="129">
        <v>109.5</v>
      </c>
      <c r="L54" s="129">
        <v>28879.4</v>
      </c>
      <c r="M54" s="129" t="s">
        <v>9</v>
      </c>
      <c r="N54" s="129" t="s">
        <v>9</v>
      </c>
      <c r="O54" s="129" t="s">
        <v>9</v>
      </c>
      <c r="P54" s="129">
        <v>110.1</v>
      </c>
      <c r="Q54" s="249"/>
      <c r="R54" s="249"/>
      <c r="S54" s="249"/>
      <c r="T54" s="249"/>
    </row>
    <row r="55" spans="1:20">
      <c r="A55" s="248">
        <v>2011</v>
      </c>
      <c r="B55" s="129">
        <v>28387.5</v>
      </c>
      <c r="C55" s="129" t="s">
        <v>9</v>
      </c>
      <c r="D55" s="129" t="s">
        <v>9</v>
      </c>
      <c r="E55" s="129" t="s">
        <v>9</v>
      </c>
      <c r="F55" s="129">
        <v>122.1</v>
      </c>
      <c r="G55" s="129">
        <v>30325.599999999999</v>
      </c>
      <c r="H55" s="129" t="s">
        <v>9</v>
      </c>
      <c r="I55" s="129" t="s">
        <v>9</v>
      </c>
      <c r="J55" s="129" t="s">
        <v>9</v>
      </c>
      <c r="K55" s="129">
        <v>123.1</v>
      </c>
      <c r="L55" s="129">
        <v>30069.8</v>
      </c>
      <c r="M55" s="129" t="s">
        <v>9</v>
      </c>
      <c r="N55" s="129" t="s">
        <v>9</v>
      </c>
      <c r="O55" s="129" t="s">
        <v>9</v>
      </c>
      <c r="P55" s="129">
        <v>123.5</v>
      </c>
      <c r="Q55" s="249"/>
      <c r="R55" s="249"/>
      <c r="S55" s="249"/>
      <c r="T55" s="249"/>
    </row>
    <row r="56" spans="1:20">
      <c r="A56" s="248">
        <v>2012</v>
      </c>
      <c r="B56" s="129">
        <v>28877.1</v>
      </c>
      <c r="C56" s="129" t="s">
        <v>9</v>
      </c>
      <c r="D56" s="129" t="s">
        <v>9</v>
      </c>
      <c r="E56" s="129" t="s">
        <v>9</v>
      </c>
      <c r="F56" s="129">
        <v>167.2</v>
      </c>
      <c r="G56" s="129">
        <v>30610.5</v>
      </c>
      <c r="H56" s="129" t="s">
        <v>9</v>
      </c>
      <c r="I56" s="129" t="s">
        <v>9</v>
      </c>
      <c r="J56" s="129" t="s">
        <v>9</v>
      </c>
      <c r="K56" s="129">
        <v>165.7</v>
      </c>
      <c r="L56" s="129">
        <v>30385.3</v>
      </c>
      <c r="M56" s="129" t="s">
        <v>9</v>
      </c>
      <c r="N56" s="129" t="s">
        <v>9</v>
      </c>
      <c r="O56" s="129" t="s">
        <v>9</v>
      </c>
      <c r="P56" s="129">
        <v>166.4</v>
      </c>
      <c r="Q56" s="249"/>
      <c r="R56" s="249"/>
      <c r="S56" s="249"/>
      <c r="T56" s="249"/>
    </row>
    <row r="57" spans="1:20">
      <c r="A57" s="248">
        <v>2013</v>
      </c>
      <c r="B57" s="129">
        <v>30632.9</v>
      </c>
      <c r="C57" s="129" t="s">
        <v>9</v>
      </c>
      <c r="D57" s="129" t="s">
        <v>9</v>
      </c>
      <c r="E57" s="129" t="s">
        <v>9</v>
      </c>
      <c r="F57" s="129">
        <v>220</v>
      </c>
      <c r="G57" s="129">
        <v>31930.1</v>
      </c>
      <c r="H57" s="129" t="s">
        <v>9</v>
      </c>
      <c r="I57" s="129" t="s">
        <v>9</v>
      </c>
      <c r="J57" s="129" t="s">
        <v>9</v>
      </c>
      <c r="K57" s="129">
        <v>213.3</v>
      </c>
      <c r="L57" s="129">
        <v>31954.7</v>
      </c>
      <c r="M57" s="129" t="s">
        <v>9</v>
      </c>
      <c r="N57" s="129" t="s">
        <v>9</v>
      </c>
      <c r="O57" s="129" t="s">
        <v>9</v>
      </c>
      <c r="P57" s="129">
        <v>214.7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K60" si="0">((B57/B28)^(1/29)-1)*100</f>
        <v>3.5074726216325125</v>
      </c>
      <c r="C60" s="11" t="s">
        <v>10</v>
      </c>
      <c r="D60" s="11" t="s">
        <v>10</v>
      </c>
      <c r="E60" s="11" t="s">
        <v>10</v>
      </c>
      <c r="F60" s="11">
        <f t="shared" si="0"/>
        <v>-0.21985465977214513</v>
      </c>
      <c r="G60" s="11">
        <f t="shared" si="0"/>
        <v>3.0741178677644143</v>
      </c>
      <c r="H60" s="11" t="s">
        <v>10</v>
      </c>
      <c r="I60" s="11" t="s">
        <v>10</v>
      </c>
      <c r="J60" s="11" t="s">
        <v>10</v>
      </c>
      <c r="K60" s="11">
        <f t="shared" si="0"/>
        <v>-1.4842609356844672</v>
      </c>
      <c r="L60" s="11">
        <f>((L57/L28)^(1/29)-1)*100</f>
        <v>4.6909462808824021</v>
      </c>
      <c r="M60" s="11" t="s">
        <v>10</v>
      </c>
      <c r="N60" s="11" t="s">
        <v>10</v>
      </c>
      <c r="O60" s="11" t="s">
        <v>10</v>
      </c>
      <c r="P60" s="11">
        <f t="shared" ref="P60" si="1">((P57/P28)^(1/29)-1)*100</f>
        <v>-1.1560379567790768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K61" si="2">((B33/B28)^(1/5)-1)*100</f>
        <v>12.348427646371274</v>
      </c>
      <c r="C61" s="11" t="s">
        <v>10</v>
      </c>
      <c r="D61" s="11" t="s">
        <v>10</v>
      </c>
      <c r="E61" s="11">
        <f t="shared" si="2"/>
        <v>17.978912471277987</v>
      </c>
      <c r="F61" s="11">
        <f t="shared" si="2"/>
        <v>26.536003562024902</v>
      </c>
      <c r="G61" s="11">
        <f t="shared" si="2"/>
        <v>9.3031699552342353</v>
      </c>
      <c r="H61" s="11" t="s">
        <v>10</v>
      </c>
      <c r="I61" s="11" t="s">
        <v>10</v>
      </c>
      <c r="J61" s="11">
        <f t="shared" si="2"/>
        <v>15.705948766973243</v>
      </c>
      <c r="K61" s="11">
        <f t="shared" si="2"/>
        <v>23.744527641157575</v>
      </c>
      <c r="L61" s="11">
        <f>((L33/L28)^(1/5)-1)*100</f>
        <v>12.459266637790666</v>
      </c>
      <c r="M61" s="11" t="s">
        <v>10</v>
      </c>
      <c r="N61" s="11" t="s">
        <v>10</v>
      </c>
      <c r="O61" s="11">
        <f t="shared" ref="O61:P61" si="3">((O33/O28)^(1/5)-1)*100</f>
        <v>15.789963211364411</v>
      </c>
      <c r="P61" s="11">
        <f t="shared" si="3"/>
        <v>24.292983318554295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K62" si="4">((B44/B33)^(1/11)-1)*100</f>
        <v>4.2162169842979269</v>
      </c>
      <c r="C62" s="11" t="s">
        <v>10</v>
      </c>
      <c r="D62" s="11" t="s">
        <v>10</v>
      </c>
      <c r="E62" s="11">
        <f t="shared" si="4"/>
        <v>2.5282600697313917</v>
      </c>
      <c r="F62" s="11">
        <f t="shared" si="4"/>
        <v>-4.1450507064590303</v>
      </c>
      <c r="G62" s="11">
        <f t="shared" si="4"/>
        <v>1.6656912124169532</v>
      </c>
      <c r="H62" s="11" t="s">
        <v>10</v>
      </c>
      <c r="I62" s="11" t="s">
        <v>10</v>
      </c>
      <c r="J62" s="11">
        <f t="shared" si="4"/>
        <v>-0.86528125738227768</v>
      </c>
      <c r="K62" s="11">
        <f t="shared" si="4"/>
        <v>-7.2674771472305828</v>
      </c>
      <c r="L62" s="11">
        <f>((L44/L33)^(1/11)-1)*100</f>
        <v>4.3297965215076006</v>
      </c>
      <c r="M62" s="11" t="s">
        <v>10</v>
      </c>
      <c r="N62" s="11" t="s">
        <v>10</v>
      </c>
      <c r="O62" s="11">
        <f t="shared" ref="O62:P62" si="5">((O44/O33)^(1/11)-1)*100</f>
        <v>-0.48309708662265249</v>
      </c>
      <c r="P62" s="11">
        <f t="shared" si="5"/>
        <v>-6.8959075637663343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-0.11091064480462931</v>
      </c>
      <c r="C63" s="11" t="s">
        <v>10</v>
      </c>
      <c r="D63" s="11" t="s">
        <v>10</v>
      </c>
      <c r="E63" s="11">
        <f t="shared" ref="E63:P63" si="6">((E51/E44)^(1/7)-1)*100</f>
        <v>-5.9139210155169213</v>
      </c>
      <c r="F63" s="11">
        <f t="shared" si="6"/>
        <v>-10.666927409074367</v>
      </c>
      <c r="G63" s="11">
        <f t="shared" si="6"/>
        <v>3.4738724567822787</v>
      </c>
      <c r="H63" s="11" t="s">
        <v>10</v>
      </c>
      <c r="I63" s="11" t="s">
        <v>10</v>
      </c>
      <c r="J63" s="11">
        <f t="shared" si="6"/>
        <v>-3.9549661481725007</v>
      </c>
      <c r="K63" s="11">
        <f t="shared" si="6"/>
        <v>-8.9023997391696312</v>
      </c>
      <c r="L63" s="11">
        <f t="shared" si="6"/>
        <v>3.825222546958984</v>
      </c>
      <c r="M63" s="11" t="s">
        <v>10</v>
      </c>
      <c r="N63" s="11" t="s">
        <v>10</v>
      </c>
      <c r="O63" s="11">
        <f t="shared" si="6"/>
        <v>-2.9694761835269534</v>
      </c>
      <c r="P63" s="11">
        <f t="shared" si="6"/>
        <v>-8.5919261369112867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-0.48124105995566158</v>
      </c>
      <c r="C64" s="11" t="s">
        <v>10</v>
      </c>
      <c r="D64" s="11" t="s">
        <v>10</v>
      </c>
      <c r="E64" s="11" t="s">
        <v>10</v>
      </c>
      <c r="F64" s="11">
        <f t="shared" ref="F64:P64" si="7">((F57/F51)^(1/6)-1)*100</f>
        <v>0.24450303545076046</v>
      </c>
      <c r="G64" s="11">
        <f t="shared" si="7"/>
        <v>0.20905786509270996</v>
      </c>
      <c r="H64" s="11" t="s">
        <v>10</v>
      </c>
      <c r="I64" s="11" t="s">
        <v>10</v>
      </c>
      <c r="J64" s="11" t="s">
        <v>10</v>
      </c>
      <c r="K64" s="11">
        <f t="shared" si="7"/>
        <v>-0.27089315531326763</v>
      </c>
      <c r="L64" s="11">
        <f t="shared" si="7"/>
        <v>0.22192112917689411</v>
      </c>
      <c r="M64" s="11" t="s">
        <v>10</v>
      </c>
      <c r="N64" s="11" t="s">
        <v>10</v>
      </c>
      <c r="O64" s="11" t="s">
        <v>10</v>
      </c>
      <c r="P64" s="11">
        <f t="shared" si="7"/>
        <v>-0.1620945626376824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K65" si="8">((B57/B44)^(1/13)-1)*100</f>
        <v>-0.28200330560853581</v>
      </c>
      <c r="C65" s="11" t="s">
        <v>10</v>
      </c>
      <c r="D65" s="11" t="s">
        <v>10</v>
      </c>
      <c r="E65" s="11" t="s">
        <v>10</v>
      </c>
      <c r="F65" s="11">
        <f t="shared" si="8"/>
        <v>-5.7868585913468662</v>
      </c>
      <c r="G65" s="11">
        <f t="shared" si="8"/>
        <v>1.9540233314352839</v>
      </c>
      <c r="H65" s="11" t="s">
        <v>10</v>
      </c>
      <c r="I65" s="11" t="s">
        <v>10</v>
      </c>
      <c r="J65" s="11" t="s">
        <v>10</v>
      </c>
      <c r="K65" s="11">
        <f t="shared" si="8"/>
        <v>-5.0155924895899595</v>
      </c>
      <c r="L65" s="11">
        <f>((L57/L44)^(1/13)-1)*100</f>
        <v>2.1463382658995833</v>
      </c>
      <c r="M65" s="11" t="s">
        <v>10</v>
      </c>
      <c r="N65" s="11" t="s">
        <v>10</v>
      </c>
      <c r="O65" s="11" t="s">
        <v>10</v>
      </c>
      <c r="P65" s="11">
        <f t="shared" ref="P65" si="9">((P57/P44)^(1/13)-1)*100</f>
        <v>-4.7935190161872532</v>
      </c>
      <c r="Q65" s="249"/>
      <c r="R65" s="249"/>
      <c r="S65" s="249"/>
      <c r="T65" s="249"/>
    </row>
    <row r="66" spans="1:20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</row>
    <row r="67" spans="1:20" s="180" customFormat="1">
      <c r="A67" s="174" t="s">
        <v>55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</row>
    <row r="68" spans="1:20" s="180" customFormat="1">
      <c r="A68" s="168" t="s">
        <v>56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74"/>
      <c r="M68" s="128"/>
      <c r="N68" s="128"/>
      <c r="O68" s="128"/>
      <c r="P68" s="128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O63" sqref="O63:O65"/>
    </sheetView>
  </sheetViews>
  <sheetFormatPr defaultRowHeight="15"/>
  <cols>
    <col min="1" max="1" width="9.140625" style="165"/>
    <col min="2" max="11" width="9.140625" style="177"/>
    <col min="12" max="12" width="15.140625" style="165" customWidth="1"/>
    <col min="13" max="16384" width="9.140625" style="165"/>
  </cols>
  <sheetData>
    <row r="1" spans="1:20" ht="29.25" customHeight="1">
      <c r="A1" s="454" t="s">
        <v>229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507.2</v>
      </c>
      <c r="C5" s="129" t="s">
        <v>9</v>
      </c>
      <c r="D5" s="129">
        <v>6</v>
      </c>
      <c r="E5" s="129">
        <v>0.2</v>
      </c>
      <c r="F5" s="129" t="s">
        <v>9</v>
      </c>
      <c r="G5" s="129">
        <v>4315.3999999999996</v>
      </c>
      <c r="H5" s="129" t="s">
        <v>9</v>
      </c>
      <c r="I5" s="129">
        <v>65.8</v>
      </c>
      <c r="J5" s="129">
        <v>1.8</v>
      </c>
      <c r="K5" s="129" t="s">
        <v>9</v>
      </c>
      <c r="L5" s="129">
        <v>4401.5</v>
      </c>
      <c r="M5" s="129" t="s">
        <v>9</v>
      </c>
      <c r="N5" s="129">
        <v>69.900000000000006</v>
      </c>
      <c r="O5" s="129">
        <v>2.2000000000000002</v>
      </c>
      <c r="P5" s="129" t="s">
        <v>9</v>
      </c>
      <c r="Q5" s="249"/>
      <c r="R5" s="249"/>
      <c r="S5" s="249"/>
      <c r="T5" s="249"/>
    </row>
    <row r="6" spans="1:20">
      <c r="A6" s="248">
        <v>1962</v>
      </c>
      <c r="B6" s="129">
        <v>535.70000000000005</v>
      </c>
      <c r="C6" s="129" t="s">
        <v>9</v>
      </c>
      <c r="D6" s="129">
        <v>5.9</v>
      </c>
      <c r="E6" s="129">
        <v>0.2</v>
      </c>
      <c r="F6" s="129" t="s">
        <v>9</v>
      </c>
      <c r="G6" s="129">
        <v>4570.6000000000004</v>
      </c>
      <c r="H6" s="129" t="s">
        <v>9</v>
      </c>
      <c r="I6" s="129">
        <v>64.400000000000006</v>
      </c>
      <c r="J6" s="129">
        <v>1.3</v>
      </c>
      <c r="K6" s="129" t="s">
        <v>9</v>
      </c>
      <c r="L6" s="129">
        <v>4559.5</v>
      </c>
      <c r="M6" s="129" t="s">
        <v>9</v>
      </c>
      <c r="N6" s="129">
        <v>66.900000000000006</v>
      </c>
      <c r="O6" s="129">
        <v>1.4</v>
      </c>
      <c r="P6" s="129" t="s">
        <v>9</v>
      </c>
      <c r="Q6" s="249"/>
      <c r="R6" s="249"/>
      <c r="S6" s="249"/>
      <c r="T6" s="249"/>
    </row>
    <row r="7" spans="1:20">
      <c r="A7" s="248">
        <v>1963</v>
      </c>
      <c r="B7" s="129">
        <v>565.79999999999995</v>
      </c>
      <c r="C7" s="129" t="s">
        <v>9</v>
      </c>
      <c r="D7" s="129">
        <v>4</v>
      </c>
      <c r="E7" s="129">
        <v>0.2</v>
      </c>
      <c r="F7" s="129" t="s">
        <v>9</v>
      </c>
      <c r="G7" s="129">
        <v>4627.6000000000004</v>
      </c>
      <c r="H7" s="129" t="s">
        <v>9</v>
      </c>
      <c r="I7" s="129">
        <v>42</v>
      </c>
      <c r="J7" s="129">
        <v>1.8</v>
      </c>
      <c r="K7" s="129" t="s">
        <v>9</v>
      </c>
      <c r="L7" s="129">
        <v>4638.3</v>
      </c>
      <c r="M7" s="129" t="s">
        <v>9</v>
      </c>
      <c r="N7" s="129">
        <v>43</v>
      </c>
      <c r="O7" s="129">
        <v>2</v>
      </c>
      <c r="P7" s="129" t="s">
        <v>9</v>
      </c>
      <c r="Q7" s="249"/>
      <c r="R7" s="249"/>
      <c r="S7" s="249"/>
      <c r="T7" s="249"/>
    </row>
    <row r="8" spans="1:20">
      <c r="A8" s="248">
        <v>1964</v>
      </c>
      <c r="B8" s="129">
        <v>819.5</v>
      </c>
      <c r="C8" s="129" t="s">
        <v>9</v>
      </c>
      <c r="D8" s="129">
        <v>6.3</v>
      </c>
      <c r="E8" s="129">
        <v>0.3</v>
      </c>
      <c r="F8" s="129" t="s">
        <v>9</v>
      </c>
      <c r="G8" s="129">
        <v>6331.1</v>
      </c>
      <c r="H8" s="129" t="s">
        <v>9</v>
      </c>
      <c r="I8" s="129">
        <v>58</v>
      </c>
      <c r="J8" s="129">
        <v>2.6</v>
      </c>
      <c r="K8" s="129" t="s">
        <v>9</v>
      </c>
      <c r="L8" s="129">
        <v>6275.9</v>
      </c>
      <c r="M8" s="129" t="s">
        <v>9</v>
      </c>
      <c r="N8" s="129">
        <v>59.3</v>
      </c>
      <c r="O8" s="129">
        <v>2.7</v>
      </c>
      <c r="P8" s="129" t="s">
        <v>9</v>
      </c>
      <c r="Q8" s="249"/>
      <c r="R8" s="249"/>
      <c r="S8" s="249"/>
      <c r="T8" s="249"/>
    </row>
    <row r="9" spans="1:20">
      <c r="A9" s="248">
        <v>1965</v>
      </c>
      <c r="B9" s="129">
        <v>856.8</v>
      </c>
      <c r="C9" s="129" t="s">
        <v>9</v>
      </c>
      <c r="D9" s="129">
        <v>5.5</v>
      </c>
      <c r="E9" s="129">
        <v>0.3</v>
      </c>
      <c r="F9" s="129" t="s">
        <v>9</v>
      </c>
      <c r="G9" s="129">
        <v>6404.9</v>
      </c>
      <c r="H9" s="129" t="s">
        <v>9</v>
      </c>
      <c r="I9" s="129">
        <v>50.8</v>
      </c>
      <c r="J9" s="129">
        <v>2.4</v>
      </c>
      <c r="K9" s="129" t="s">
        <v>9</v>
      </c>
      <c r="L9" s="129">
        <v>6348.6</v>
      </c>
      <c r="M9" s="129" t="s">
        <v>9</v>
      </c>
      <c r="N9" s="129">
        <v>52.7</v>
      </c>
      <c r="O9" s="129">
        <v>2.5</v>
      </c>
      <c r="P9" s="129" t="s">
        <v>9</v>
      </c>
      <c r="Q9" s="249"/>
      <c r="R9" s="249"/>
      <c r="S9" s="249"/>
      <c r="T9" s="249"/>
    </row>
    <row r="10" spans="1:20">
      <c r="A10" s="248">
        <v>1966</v>
      </c>
      <c r="B10" s="129">
        <v>768.3</v>
      </c>
      <c r="C10" s="129" t="s">
        <v>9</v>
      </c>
      <c r="D10" s="129">
        <v>4.4000000000000004</v>
      </c>
      <c r="E10" s="129">
        <v>0.6</v>
      </c>
      <c r="F10" s="129" t="s">
        <v>9</v>
      </c>
      <c r="G10" s="129">
        <v>5365.4</v>
      </c>
      <c r="H10" s="129" t="s">
        <v>9</v>
      </c>
      <c r="I10" s="129">
        <v>38</v>
      </c>
      <c r="J10" s="129">
        <v>4.5</v>
      </c>
      <c r="K10" s="129" t="s">
        <v>9</v>
      </c>
      <c r="L10" s="129">
        <v>5350.7</v>
      </c>
      <c r="M10" s="129" t="s">
        <v>9</v>
      </c>
      <c r="N10" s="129">
        <v>39.6</v>
      </c>
      <c r="O10" s="129">
        <v>4.7</v>
      </c>
      <c r="P10" s="129" t="s">
        <v>9</v>
      </c>
      <c r="Q10" s="249"/>
      <c r="R10" s="249"/>
      <c r="S10" s="249"/>
      <c r="T10" s="249"/>
    </row>
    <row r="11" spans="1:20">
      <c r="A11" s="248">
        <v>1967</v>
      </c>
      <c r="B11" s="129">
        <v>719.3</v>
      </c>
      <c r="C11" s="129" t="s">
        <v>9</v>
      </c>
      <c r="D11" s="129">
        <v>4.3</v>
      </c>
      <c r="E11" s="129">
        <v>0.4</v>
      </c>
      <c r="F11" s="129" t="s">
        <v>9</v>
      </c>
      <c r="G11" s="129">
        <v>4988.6000000000004</v>
      </c>
      <c r="H11" s="129" t="s">
        <v>9</v>
      </c>
      <c r="I11" s="129">
        <v>38.9</v>
      </c>
      <c r="J11" s="129">
        <v>2.7</v>
      </c>
      <c r="K11" s="129" t="s">
        <v>9</v>
      </c>
      <c r="L11" s="129">
        <v>4911.5</v>
      </c>
      <c r="M11" s="129" t="s">
        <v>9</v>
      </c>
      <c r="N11" s="129">
        <v>39.4</v>
      </c>
      <c r="O11" s="129">
        <v>3</v>
      </c>
      <c r="P11" s="129" t="s">
        <v>9</v>
      </c>
      <c r="Q11" s="249"/>
      <c r="R11" s="249"/>
      <c r="S11" s="249"/>
      <c r="T11" s="249"/>
    </row>
    <row r="12" spans="1:20">
      <c r="A12" s="248">
        <v>1968</v>
      </c>
      <c r="B12" s="129">
        <v>696.3</v>
      </c>
      <c r="C12" s="129" t="s">
        <v>9</v>
      </c>
      <c r="D12" s="129">
        <v>3.6</v>
      </c>
      <c r="E12" s="129">
        <v>0.4</v>
      </c>
      <c r="F12" s="129" t="s">
        <v>9</v>
      </c>
      <c r="G12" s="129">
        <v>4634.7</v>
      </c>
      <c r="H12" s="129" t="s">
        <v>9</v>
      </c>
      <c r="I12" s="129">
        <v>31.4</v>
      </c>
      <c r="J12" s="129">
        <v>2.8</v>
      </c>
      <c r="K12" s="129" t="s">
        <v>9</v>
      </c>
      <c r="L12" s="129">
        <v>4700.8999999999996</v>
      </c>
      <c r="M12" s="129" t="s">
        <v>9</v>
      </c>
      <c r="N12" s="129">
        <v>33.299999999999997</v>
      </c>
      <c r="O12" s="129">
        <v>3</v>
      </c>
      <c r="P12" s="129" t="s">
        <v>9</v>
      </c>
      <c r="Q12" s="249"/>
      <c r="R12" s="249"/>
      <c r="S12" s="249"/>
      <c r="T12" s="249"/>
    </row>
    <row r="13" spans="1:20">
      <c r="A13" s="248">
        <v>1969</v>
      </c>
      <c r="B13" s="129">
        <v>727.6</v>
      </c>
      <c r="C13" s="129" t="s">
        <v>9</v>
      </c>
      <c r="D13" s="129">
        <v>4.5999999999999996</v>
      </c>
      <c r="E13" s="129">
        <v>0.6</v>
      </c>
      <c r="F13" s="129" t="s">
        <v>9</v>
      </c>
      <c r="G13" s="129">
        <v>4813.3999999999996</v>
      </c>
      <c r="H13" s="129" t="s">
        <v>9</v>
      </c>
      <c r="I13" s="129">
        <v>38.1</v>
      </c>
      <c r="J13" s="129">
        <v>4.5</v>
      </c>
      <c r="K13" s="129" t="s">
        <v>9</v>
      </c>
      <c r="L13" s="129">
        <v>4637.2</v>
      </c>
      <c r="M13" s="129" t="s">
        <v>9</v>
      </c>
      <c r="N13" s="129">
        <v>39.200000000000003</v>
      </c>
      <c r="O13" s="129">
        <v>4.3</v>
      </c>
      <c r="P13" s="129" t="s">
        <v>9</v>
      </c>
      <c r="Q13" s="249"/>
      <c r="R13" s="249"/>
      <c r="S13" s="249"/>
      <c r="T13" s="249"/>
    </row>
    <row r="14" spans="1:20">
      <c r="A14" s="248">
        <v>1970</v>
      </c>
      <c r="B14" s="129">
        <v>810.9</v>
      </c>
      <c r="C14" s="129" t="s">
        <v>9</v>
      </c>
      <c r="D14" s="129">
        <v>3.3</v>
      </c>
      <c r="E14" s="129">
        <v>0.5</v>
      </c>
      <c r="F14" s="129" t="s">
        <v>9</v>
      </c>
      <c r="G14" s="129">
        <v>5099</v>
      </c>
      <c r="H14" s="129" t="s">
        <v>9</v>
      </c>
      <c r="I14" s="129">
        <v>27.8</v>
      </c>
      <c r="J14" s="129">
        <v>3.8</v>
      </c>
      <c r="K14" s="129" t="s">
        <v>9</v>
      </c>
      <c r="L14" s="129">
        <v>4965.1000000000004</v>
      </c>
      <c r="M14" s="129" t="s">
        <v>9</v>
      </c>
      <c r="N14" s="129">
        <v>27.9</v>
      </c>
      <c r="O14" s="129">
        <v>3.6</v>
      </c>
      <c r="P14" s="129" t="s">
        <v>9</v>
      </c>
      <c r="Q14" s="249"/>
      <c r="R14" s="249"/>
      <c r="S14" s="249"/>
      <c r="T14" s="249"/>
    </row>
    <row r="15" spans="1:20">
      <c r="A15" s="248">
        <v>1971</v>
      </c>
      <c r="B15" s="129">
        <v>1188.7</v>
      </c>
      <c r="C15" s="129" t="s">
        <v>9</v>
      </c>
      <c r="D15" s="129">
        <v>1.9</v>
      </c>
      <c r="E15" s="129">
        <v>0.5</v>
      </c>
      <c r="F15" s="129" t="s">
        <v>9</v>
      </c>
      <c r="G15" s="129">
        <v>6931.3</v>
      </c>
      <c r="H15" s="129" t="s">
        <v>9</v>
      </c>
      <c r="I15" s="129">
        <v>13.7</v>
      </c>
      <c r="J15" s="129">
        <v>3.3</v>
      </c>
      <c r="K15" s="129" t="s">
        <v>9</v>
      </c>
      <c r="L15" s="129">
        <v>6665.9</v>
      </c>
      <c r="M15" s="129" t="s">
        <v>9</v>
      </c>
      <c r="N15" s="129">
        <v>13.7</v>
      </c>
      <c r="O15" s="129">
        <v>3</v>
      </c>
      <c r="P15" s="129" t="s">
        <v>9</v>
      </c>
      <c r="Q15" s="249"/>
      <c r="R15" s="249"/>
      <c r="S15" s="249"/>
      <c r="T15" s="249"/>
    </row>
    <row r="16" spans="1:20">
      <c r="A16" s="248">
        <v>1972</v>
      </c>
      <c r="B16" s="129">
        <v>1262.3</v>
      </c>
      <c r="C16" s="129" t="s">
        <v>9</v>
      </c>
      <c r="D16" s="129">
        <v>1.9</v>
      </c>
      <c r="E16" s="129">
        <v>1.8</v>
      </c>
      <c r="F16" s="129" t="s">
        <v>9</v>
      </c>
      <c r="G16" s="129">
        <v>6950.5</v>
      </c>
      <c r="H16" s="129" t="s">
        <v>9</v>
      </c>
      <c r="I16" s="129">
        <v>12.9</v>
      </c>
      <c r="J16" s="129">
        <v>11.3</v>
      </c>
      <c r="K16" s="129" t="s">
        <v>9</v>
      </c>
      <c r="L16" s="129">
        <v>6641.8</v>
      </c>
      <c r="M16" s="129" t="s">
        <v>9</v>
      </c>
      <c r="N16" s="129">
        <v>13</v>
      </c>
      <c r="O16" s="129">
        <v>10.4</v>
      </c>
      <c r="P16" s="129" t="s">
        <v>9</v>
      </c>
      <c r="Q16" s="249"/>
      <c r="R16" s="249"/>
      <c r="S16" s="249"/>
      <c r="T16" s="249"/>
    </row>
    <row r="17" spans="1:20">
      <c r="A17" s="248">
        <v>1973</v>
      </c>
      <c r="B17" s="129">
        <v>1495.4</v>
      </c>
      <c r="C17" s="129" t="s">
        <v>9</v>
      </c>
      <c r="D17" s="129">
        <v>4</v>
      </c>
      <c r="E17" s="129">
        <v>2.7</v>
      </c>
      <c r="F17" s="129" t="s">
        <v>9</v>
      </c>
      <c r="G17" s="129">
        <v>7327.4</v>
      </c>
      <c r="H17" s="129" t="s">
        <v>9</v>
      </c>
      <c r="I17" s="129">
        <v>24.3</v>
      </c>
      <c r="J17" s="129">
        <v>14.4</v>
      </c>
      <c r="K17" s="129" t="s">
        <v>9</v>
      </c>
      <c r="L17" s="129">
        <v>7161.7</v>
      </c>
      <c r="M17" s="129" t="s">
        <v>9</v>
      </c>
      <c r="N17" s="129">
        <v>24.5</v>
      </c>
      <c r="O17" s="129">
        <v>13.9</v>
      </c>
      <c r="P17" s="129" t="s">
        <v>9</v>
      </c>
      <c r="Q17" s="249"/>
      <c r="R17" s="249"/>
      <c r="S17" s="249"/>
      <c r="T17" s="249"/>
    </row>
    <row r="18" spans="1:20">
      <c r="A18" s="248">
        <v>1974</v>
      </c>
      <c r="B18" s="129">
        <v>1730.7</v>
      </c>
      <c r="C18" s="129" t="s">
        <v>9</v>
      </c>
      <c r="D18" s="129">
        <v>5.2</v>
      </c>
      <c r="E18" s="129">
        <v>3.7</v>
      </c>
      <c r="F18" s="129" t="s">
        <v>9</v>
      </c>
      <c r="G18" s="129">
        <v>6903</v>
      </c>
      <c r="H18" s="129" t="s">
        <v>9</v>
      </c>
      <c r="I18" s="129">
        <v>24.6</v>
      </c>
      <c r="J18" s="129">
        <v>15.4</v>
      </c>
      <c r="K18" s="129" t="s">
        <v>9</v>
      </c>
      <c r="L18" s="129">
        <v>6846.9</v>
      </c>
      <c r="M18" s="129" t="s">
        <v>9</v>
      </c>
      <c r="N18" s="129">
        <v>24.9</v>
      </c>
      <c r="O18" s="129">
        <v>15.3</v>
      </c>
      <c r="P18" s="129" t="s">
        <v>9</v>
      </c>
      <c r="Q18" s="249"/>
      <c r="R18" s="249"/>
      <c r="S18" s="249"/>
      <c r="T18" s="249"/>
    </row>
    <row r="19" spans="1:20">
      <c r="A19" s="248">
        <v>1975</v>
      </c>
      <c r="B19" s="129">
        <v>2420.1999999999998</v>
      </c>
      <c r="C19" s="129" t="s">
        <v>9</v>
      </c>
      <c r="D19" s="129">
        <v>7.6</v>
      </c>
      <c r="E19" s="129">
        <v>1.9</v>
      </c>
      <c r="F19" s="129" t="s">
        <v>9</v>
      </c>
      <c r="G19" s="129">
        <v>8293.5</v>
      </c>
      <c r="H19" s="129" t="s">
        <v>9</v>
      </c>
      <c r="I19" s="129">
        <v>30.7</v>
      </c>
      <c r="J19" s="129">
        <v>6.5</v>
      </c>
      <c r="K19" s="129" t="s">
        <v>9</v>
      </c>
      <c r="L19" s="129">
        <v>8332.2999999999993</v>
      </c>
      <c r="M19" s="129" t="s">
        <v>9</v>
      </c>
      <c r="N19" s="129">
        <v>31.3</v>
      </c>
      <c r="O19" s="129">
        <v>6.7</v>
      </c>
      <c r="P19" s="129" t="s">
        <v>9</v>
      </c>
      <c r="Q19" s="249"/>
      <c r="R19" s="249"/>
      <c r="S19" s="249"/>
      <c r="T19" s="249"/>
    </row>
    <row r="20" spans="1:20">
      <c r="A20" s="248">
        <v>1976</v>
      </c>
      <c r="B20" s="129">
        <v>2417</v>
      </c>
      <c r="C20" s="129" t="s">
        <v>9</v>
      </c>
      <c r="D20" s="129">
        <v>4.7</v>
      </c>
      <c r="E20" s="129">
        <v>2.1</v>
      </c>
      <c r="F20" s="129" t="s">
        <v>9</v>
      </c>
      <c r="G20" s="129">
        <v>7646.3</v>
      </c>
      <c r="H20" s="129" t="s">
        <v>9</v>
      </c>
      <c r="I20" s="129">
        <v>18.100000000000001</v>
      </c>
      <c r="J20" s="129">
        <v>7.5</v>
      </c>
      <c r="K20" s="129" t="s">
        <v>9</v>
      </c>
      <c r="L20" s="129">
        <v>7707.9</v>
      </c>
      <c r="M20" s="129" t="s">
        <v>9</v>
      </c>
      <c r="N20" s="129">
        <v>18.3</v>
      </c>
      <c r="O20" s="129">
        <v>7</v>
      </c>
      <c r="P20" s="129" t="s">
        <v>9</v>
      </c>
      <c r="Q20" s="249"/>
      <c r="R20" s="249"/>
      <c r="S20" s="249"/>
      <c r="T20" s="249"/>
    </row>
    <row r="21" spans="1:20">
      <c r="A21" s="248">
        <v>1977</v>
      </c>
      <c r="B21" s="129">
        <v>2944</v>
      </c>
      <c r="C21" s="129" t="s">
        <v>9</v>
      </c>
      <c r="D21" s="129">
        <v>6.2</v>
      </c>
      <c r="E21" s="129">
        <v>0.9</v>
      </c>
      <c r="F21" s="129" t="s">
        <v>9</v>
      </c>
      <c r="G21" s="129">
        <v>8640.2999999999993</v>
      </c>
      <c r="H21" s="129" t="s">
        <v>9</v>
      </c>
      <c r="I21" s="129">
        <v>22.6</v>
      </c>
      <c r="J21" s="129">
        <v>3.2</v>
      </c>
      <c r="K21" s="129" t="s">
        <v>9</v>
      </c>
      <c r="L21" s="129">
        <v>8811.7999999999993</v>
      </c>
      <c r="M21" s="129" t="s">
        <v>9</v>
      </c>
      <c r="N21" s="129">
        <v>22.8</v>
      </c>
      <c r="O21" s="129">
        <v>3</v>
      </c>
      <c r="P21" s="129" t="s">
        <v>9</v>
      </c>
      <c r="Q21" s="249"/>
      <c r="R21" s="249"/>
      <c r="S21" s="249"/>
      <c r="T21" s="249"/>
    </row>
    <row r="22" spans="1:20">
      <c r="A22" s="248">
        <v>1978</v>
      </c>
      <c r="B22" s="129">
        <v>3306.8</v>
      </c>
      <c r="C22" s="129" t="s">
        <v>9</v>
      </c>
      <c r="D22" s="129">
        <v>6.3</v>
      </c>
      <c r="E22" s="129">
        <v>2.4</v>
      </c>
      <c r="F22" s="129" t="s">
        <v>9</v>
      </c>
      <c r="G22" s="129">
        <v>8887</v>
      </c>
      <c r="H22" s="129" t="s">
        <v>9</v>
      </c>
      <c r="I22" s="129">
        <v>20.9</v>
      </c>
      <c r="J22" s="129">
        <v>7.6</v>
      </c>
      <c r="K22" s="129" t="s">
        <v>9</v>
      </c>
      <c r="L22" s="129">
        <v>9144.7000000000007</v>
      </c>
      <c r="M22" s="129" t="s">
        <v>9</v>
      </c>
      <c r="N22" s="129">
        <v>21.7</v>
      </c>
      <c r="O22" s="129">
        <v>7.2</v>
      </c>
      <c r="P22" s="129" t="s">
        <v>9</v>
      </c>
      <c r="Q22" s="249"/>
      <c r="R22" s="249"/>
      <c r="S22" s="249"/>
      <c r="T22" s="249"/>
    </row>
    <row r="23" spans="1:20">
      <c r="A23" s="248">
        <v>1979</v>
      </c>
      <c r="B23" s="129">
        <v>3694.4</v>
      </c>
      <c r="C23" s="129" t="s">
        <v>9</v>
      </c>
      <c r="D23" s="129">
        <v>14.6</v>
      </c>
      <c r="E23" s="129">
        <v>1.9</v>
      </c>
      <c r="F23" s="129" t="s">
        <v>9</v>
      </c>
      <c r="G23" s="129">
        <v>9010.1</v>
      </c>
      <c r="H23" s="129" t="s">
        <v>9</v>
      </c>
      <c r="I23" s="129">
        <v>44.5</v>
      </c>
      <c r="J23" s="129">
        <v>5.3</v>
      </c>
      <c r="K23" s="129" t="s">
        <v>9</v>
      </c>
      <c r="L23" s="129">
        <v>9272.7999999999993</v>
      </c>
      <c r="M23" s="129" t="s">
        <v>9</v>
      </c>
      <c r="N23" s="129">
        <v>45.9</v>
      </c>
      <c r="O23" s="129">
        <v>5.0999999999999996</v>
      </c>
      <c r="P23" s="129" t="s">
        <v>9</v>
      </c>
      <c r="Q23" s="249"/>
      <c r="R23" s="249"/>
      <c r="S23" s="249"/>
      <c r="T23" s="249"/>
    </row>
    <row r="24" spans="1:20">
      <c r="A24" s="248">
        <v>1980</v>
      </c>
      <c r="B24" s="129">
        <v>3827.2</v>
      </c>
      <c r="C24" s="129" t="s">
        <v>9</v>
      </c>
      <c r="D24" s="129">
        <v>18.3</v>
      </c>
      <c r="E24" s="129">
        <v>1.7</v>
      </c>
      <c r="F24" s="129" t="s">
        <v>9</v>
      </c>
      <c r="G24" s="129">
        <v>8397.7000000000007</v>
      </c>
      <c r="H24" s="129" t="s">
        <v>9</v>
      </c>
      <c r="I24" s="129">
        <v>48.1</v>
      </c>
      <c r="J24" s="129">
        <v>4.2</v>
      </c>
      <c r="K24" s="129" t="s">
        <v>9</v>
      </c>
      <c r="L24" s="129">
        <v>8639.4</v>
      </c>
      <c r="M24" s="129" t="s">
        <v>9</v>
      </c>
      <c r="N24" s="129">
        <v>49.1</v>
      </c>
      <c r="O24" s="129">
        <v>4.0999999999999996</v>
      </c>
      <c r="P24" s="129" t="s">
        <v>9</v>
      </c>
      <c r="Q24" s="249"/>
      <c r="R24" s="249"/>
      <c r="S24" s="249"/>
      <c r="T24" s="249"/>
    </row>
    <row r="25" spans="1:20">
      <c r="A25" s="248">
        <v>1981</v>
      </c>
      <c r="B25" s="129">
        <v>4014.1</v>
      </c>
      <c r="C25" s="129" t="s">
        <v>9</v>
      </c>
      <c r="D25" s="129">
        <v>20.100000000000001</v>
      </c>
      <c r="E25" s="129">
        <v>2.2000000000000002</v>
      </c>
      <c r="F25" s="129" t="s">
        <v>9</v>
      </c>
      <c r="G25" s="129">
        <v>7798.5</v>
      </c>
      <c r="H25" s="129" t="s">
        <v>9</v>
      </c>
      <c r="I25" s="129">
        <v>43.6</v>
      </c>
      <c r="J25" s="129">
        <v>4.5999999999999996</v>
      </c>
      <c r="K25" s="129" t="s">
        <v>9</v>
      </c>
      <c r="L25" s="129">
        <v>8035.4</v>
      </c>
      <c r="M25" s="129" t="s">
        <v>9</v>
      </c>
      <c r="N25" s="129">
        <v>44.5</v>
      </c>
      <c r="O25" s="129">
        <v>4.5</v>
      </c>
      <c r="P25" s="129" t="s">
        <v>9</v>
      </c>
      <c r="Q25" s="249"/>
      <c r="R25" s="249"/>
      <c r="S25" s="249"/>
      <c r="T25" s="249"/>
    </row>
    <row r="26" spans="1:20">
      <c r="A26" s="248">
        <v>1982</v>
      </c>
      <c r="B26" s="129">
        <v>4052.5</v>
      </c>
      <c r="C26" s="129" t="s">
        <v>9</v>
      </c>
      <c r="D26" s="129">
        <v>12.8</v>
      </c>
      <c r="E26" s="129">
        <v>0.6</v>
      </c>
      <c r="F26" s="129" t="s">
        <v>9</v>
      </c>
      <c r="G26" s="129">
        <v>7363.1</v>
      </c>
      <c r="H26" s="129" t="s">
        <v>9</v>
      </c>
      <c r="I26" s="129">
        <v>26.8</v>
      </c>
      <c r="J26" s="129">
        <v>1</v>
      </c>
      <c r="K26" s="129" t="s">
        <v>9</v>
      </c>
      <c r="L26" s="129">
        <v>7525.6</v>
      </c>
      <c r="M26" s="129" t="s">
        <v>9</v>
      </c>
      <c r="N26" s="129">
        <v>27.2</v>
      </c>
      <c r="O26" s="129">
        <v>1.1000000000000001</v>
      </c>
      <c r="P26" s="129" t="s">
        <v>9</v>
      </c>
      <c r="Q26" s="249"/>
      <c r="R26" s="249"/>
      <c r="S26" s="249"/>
      <c r="T26" s="249"/>
    </row>
    <row r="27" spans="1:20">
      <c r="A27" s="248">
        <v>1983</v>
      </c>
      <c r="B27" s="129">
        <v>3554.3</v>
      </c>
      <c r="C27" s="129" t="s">
        <v>9</v>
      </c>
      <c r="D27" s="129">
        <v>11</v>
      </c>
      <c r="E27" s="129">
        <v>0.2</v>
      </c>
      <c r="F27" s="129" t="s">
        <v>9</v>
      </c>
      <c r="G27" s="129">
        <v>6195.9</v>
      </c>
      <c r="H27" s="129" t="s">
        <v>9</v>
      </c>
      <c r="I27" s="129">
        <v>21.9</v>
      </c>
      <c r="J27" s="129">
        <v>0.4</v>
      </c>
      <c r="K27" s="129" t="s">
        <v>9</v>
      </c>
      <c r="L27" s="129">
        <v>6300.8</v>
      </c>
      <c r="M27" s="129" t="s">
        <v>9</v>
      </c>
      <c r="N27" s="129">
        <v>22.1</v>
      </c>
      <c r="O27" s="129">
        <v>0.4</v>
      </c>
      <c r="P27" s="129" t="s">
        <v>9</v>
      </c>
      <c r="Q27" s="249"/>
      <c r="R27" s="249"/>
      <c r="S27" s="249"/>
      <c r="T27" s="249"/>
    </row>
    <row r="28" spans="1:20">
      <c r="A28" s="248">
        <v>1984</v>
      </c>
      <c r="B28" s="129">
        <v>3415.5</v>
      </c>
      <c r="C28" s="129" t="s">
        <v>9</v>
      </c>
      <c r="D28" s="129">
        <v>5.3</v>
      </c>
      <c r="E28" s="129">
        <v>0.2</v>
      </c>
      <c r="F28" s="129" t="s">
        <v>9</v>
      </c>
      <c r="G28" s="129">
        <v>5680.6</v>
      </c>
      <c r="H28" s="129" t="s">
        <v>9</v>
      </c>
      <c r="I28" s="129">
        <v>9.1</v>
      </c>
      <c r="J28" s="129">
        <v>0.3</v>
      </c>
      <c r="K28" s="129" t="s">
        <v>9</v>
      </c>
      <c r="L28" s="129">
        <v>5741.3</v>
      </c>
      <c r="M28" s="129" t="s">
        <v>9</v>
      </c>
      <c r="N28" s="129">
        <v>9.1999999999999993</v>
      </c>
      <c r="O28" s="129">
        <v>0.4</v>
      </c>
      <c r="P28" s="129" t="s">
        <v>9</v>
      </c>
      <c r="Q28" s="249"/>
      <c r="R28" s="249"/>
      <c r="S28" s="249"/>
      <c r="T28" s="249"/>
    </row>
    <row r="29" spans="1:20">
      <c r="A29" s="248">
        <v>1985</v>
      </c>
      <c r="B29" s="129">
        <v>3449.9</v>
      </c>
      <c r="C29" s="129" t="s">
        <v>9</v>
      </c>
      <c r="D29" s="129">
        <v>7</v>
      </c>
      <c r="E29" s="129">
        <v>4.0999999999999996</v>
      </c>
      <c r="F29" s="129" t="s">
        <v>9</v>
      </c>
      <c r="G29" s="129">
        <v>5586.4</v>
      </c>
      <c r="H29" s="129" t="s">
        <v>9</v>
      </c>
      <c r="I29" s="129">
        <v>11.8</v>
      </c>
      <c r="J29" s="129">
        <v>6.6</v>
      </c>
      <c r="K29" s="129" t="s">
        <v>9</v>
      </c>
      <c r="L29" s="129">
        <v>5636.2</v>
      </c>
      <c r="M29" s="129" t="s">
        <v>9</v>
      </c>
      <c r="N29" s="129">
        <v>12</v>
      </c>
      <c r="O29" s="129">
        <v>6.8</v>
      </c>
      <c r="P29" s="129" t="s">
        <v>9</v>
      </c>
      <c r="Q29" s="249"/>
      <c r="R29" s="249"/>
      <c r="S29" s="249"/>
      <c r="T29" s="249"/>
    </row>
    <row r="30" spans="1:20">
      <c r="A30" s="248">
        <v>1986</v>
      </c>
      <c r="B30" s="129">
        <v>3114.8</v>
      </c>
      <c r="C30" s="129" t="s">
        <v>9</v>
      </c>
      <c r="D30" s="129">
        <v>8.4</v>
      </c>
      <c r="E30" s="129">
        <v>2.4</v>
      </c>
      <c r="F30" s="129" t="s">
        <v>9</v>
      </c>
      <c r="G30" s="129">
        <v>4931.8999999999996</v>
      </c>
      <c r="H30" s="129" t="s">
        <v>9</v>
      </c>
      <c r="I30" s="129">
        <v>14.4</v>
      </c>
      <c r="J30" s="129">
        <v>3.9</v>
      </c>
      <c r="K30" s="129" t="s">
        <v>9</v>
      </c>
      <c r="L30" s="129">
        <v>5003</v>
      </c>
      <c r="M30" s="129" t="s">
        <v>9</v>
      </c>
      <c r="N30" s="129">
        <v>14.6</v>
      </c>
      <c r="O30" s="129">
        <v>4.0999999999999996</v>
      </c>
      <c r="P30" s="129" t="s">
        <v>9</v>
      </c>
      <c r="Q30" s="249"/>
      <c r="R30" s="249"/>
      <c r="S30" s="249"/>
      <c r="T30" s="249"/>
    </row>
    <row r="31" spans="1:20">
      <c r="A31" s="248">
        <v>1987</v>
      </c>
      <c r="B31" s="129">
        <v>3341.8</v>
      </c>
      <c r="C31" s="129" t="s">
        <v>9</v>
      </c>
      <c r="D31" s="129">
        <v>5.7</v>
      </c>
      <c r="E31" s="129">
        <v>2.2000000000000002</v>
      </c>
      <c r="F31" s="129" t="s">
        <v>9</v>
      </c>
      <c r="G31" s="129">
        <v>5147.3</v>
      </c>
      <c r="H31" s="129" t="s">
        <v>9</v>
      </c>
      <c r="I31" s="129">
        <v>9.3000000000000007</v>
      </c>
      <c r="J31" s="129">
        <v>3.4</v>
      </c>
      <c r="K31" s="129" t="s">
        <v>9</v>
      </c>
      <c r="L31" s="129">
        <v>5235.2</v>
      </c>
      <c r="M31" s="129" t="s">
        <v>9</v>
      </c>
      <c r="N31" s="129">
        <v>9.6999999999999993</v>
      </c>
      <c r="O31" s="129">
        <v>3.7</v>
      </c>
      <c r="P31" s="129" t="s">
        <v>9</v>
      </c>
      <c r="Q31" s="249"/>
      <c r="R31" s="249"/>
      <c r="S31" s="249"/>
      <c r="T31" s="249"/>
    </row>
    <row r="32" spans="1:20">
      <c r="A32" s="248">
        <v>1988</v>
      </c>
      <c r="B32" s="129">
        <v>3851.9</v>
      </c>
      <c r="C32" s="129" t="s">
        <v>9</v>
      </c>
      <c r="D32" s="129">
        <v>8.3000000000000007</v>
      </c>
      <c r="E32" s="129">
        <v>0.5</v>
      </c>
      <c r="F32" s="129" t="s">
        <v>9</v>
      </c>
      <c r="G32" s="129">
        <v>5706</v>
      </c>
      <c r="H32" s="129" t="s">
        <v>9</v>
      </c>
      <c r="I32" s="129">
        <v>13.8</v>
      </c>
      <c r="J32" s="129">
        <v>0.7</v>
      </c>
      <c r="K32" s="129" t="s">
        <v>9</v>
      </c>
      <c r="L32" s="129">
        <v>5810.2</v>
      </c>
      <c r="M32" s="129" t="s">
        <v>9</v>
      </c>
      <c r="N32" s="129">
        <v>13.7</v>
      </c>
      <c r="O32" s="129">
        <v>0.8</v>
      </c>
      <c r="P32" s="129" t="s">
        <v>9</v>
      </c>
      <c r="Q32" s="249"/>
      <c r="R32" s="249"/>
      <c r="S32" s="249"/>
      <c r="T32" s="249"/>
    </row>
    <row r="33" spans="1:20">
      <c r="A33" s="248">
        <v>1989</v>
      </c>
      <c r="B33" s="129">
        <v>4729.6000000000004</v>
      </c>
      <c r="C33" s="129" t="s">
        <v>9</v>
      </c>
      <c r="D33" s="129">
        <v>18.100000000000001</v>
      </c>
      <c r="E33" s="129">
        <v>9.8000000000000007</v>
      </c>
      <c r="F33" s="129" t="s">
        <v>9</v>
      </c>
      <c r="G33" s="129">
        <v>6769</v>
      </c>
      <c r="H33" s="129" t="s">
        <v>9</v>
      </c>
      <c r="I33" s="129">
        <v>28.2</v>
      </c>
      <c r="J33" s="129">
        <v>15.1</v>
      </c>
      <c r="K33" s="129" t="s">
        <v>9</v>
      </c>
      <c r="L33" s="129">
        <v>6926.8</v>
      </c>
      <c r="M33" s="129" t="s">
        <v>9</v>
      </c>
      <c r="N33" s="129">
        <v>29</v>
      </c>
      <c r="O33" s="129">
        <v>15.3</v>
      </c>
      <c r="P33" s="129" t="s">
        <v>9</v>
      </c>
      <c r="Q33" s="249"/>
      <c r="R33" s="249"/>
      <c r="S33" s="249"/>
      <c r="T33" s="249"/>
    </row>
    <row r="34" spans="1:20">
      <c r="A34" s="248">
        <v>1990</v>
      </c>
      <c r="B34" s="129">
        <v>5079.3</v>
      </c>
      <c r="C34" s="129" t="s">
        <v>9</v>
      </c>
      <c r="D34" s="129">
        <v>16</v>
      </c>
      <c r="E34" s="129">
        <v>5</v>
      </c>
      <c r="F34" s="129" t="s">
        <v>9</v>
      </c>
      <c r="G34" s="129">
        <v>6899.8</v>
      </c>
      <c r="H34" s="129" t="s">
        <v>9</v>
      </c>
      <c r="I34" s="129">
        <v>24.3</v>
      </c>
      <c r="J34" s="129">
        <v>7.1</v>
      </c>
      <c r="K34" s="129" t="s">
        <v>9</v>
      </c>
      <c r="L34" s="129">
        <v>7115.6</v>
      </c>
      <c r="M34" s="129" t="s">
        <v>9</v>
      </c>
      <c r="N34" s="129">
        <v>24.1</v>
      </c>
      <c r="O34" s="129">
        <v>7.4</v>
      </c>
      <c r="P34" s="129" t="s">
        <v>9</v>
      </c>
      <c r="Q34" s="249"/>
      <c r="R34" s="249"/>
      <c r="S34" s="249"/>
      <c r="T34" s="249"/>
    </row>
    <row r="35" spans="1:20">
      <c r="A35" s="248">
        <v>1991</v>
      </c>
      <c r="B35" s="129">
        <v>5357</v>
      </c>
      <c r="C35" s="129" t="s">
        <v>9</v>
      </c>
      <c r="D35" s="129">
        <v>9.9</v>
      </c>
      <c r="E35" s="129">
        <v>3.2</v>
      </c>
      <c r="F35" s="129" t="s">
        <v>9</v>
      </c>
      <c r="G35" s="129">
        <v>7373.4</v>
      </c>
      <c r="H35" s="129" t="s">
        <v>9</v>
      </c>
      <c r="I35" s="129">
        <v>15.9</v>
      </c>
      <c r="J35" s="129">
        <v>4.5999999999999996</v>
      </c>
      <c r="K35" s="129" t="s">
        <v>9</v>
      </c>
      <c r="L35" s="129">
        <v>7632.3</v>
      </c>
      <c r="M35" s="129" t="s">
        <v>9</v>
      </c>
      <c r="N35" s="129">
        <v>15.7</v>
      </c>
      <c r="O35" s="129">
        <v>4.9000000000000004</v>
      </c>
      <c r="P35" s="129" t="s">
        <v>9</v>
      </c>
      <c r="Q35" s="249"/>
      <c r="R35" s="249"/>
      <c r="S35" s="249"/>
      <c r="T35" s="249"/>
    </row>
    <row r="36" spans="1:20">
      <c r="A36" s="248">
        <v>1992</v>
      </c>
      <c r="B36" s="129">
        <v>4935.1000000000004</v>
      </c>
      <c r="C36" s="129" t="s">
        <v>9</v>
      </c>
      <c r="D36" s="129">
        <v>5.2</v>
      </c>
      <c r="E36" s="129">
        <v>2.5</v>
      </c>
      <c r="F36" s="129" t="s">
        <v>9</v>
      </c>
      <c r="G36" s="129">
        <v>6896.8</v>
      </c>
      <c r="H36" s="129" t="s">
        <v>9</v>
      </c>
      <c r="I36" s="129">
        <v>8.1</v>
      </c>
      <c r="J36" s="129">
        <v>3.4</v>
      </c>
      <c r="K36" s="129" t="s">
        <v>9</v>
      </c>
      <c r="L36" s="129">
        <v>7109.8</v>
      </c>
      <c r="M36" s="129" t="s">
        <v>9</v>
      </c>
      <c r="N36" s="129">
        <v>8.1</v>
      </c>
      <c r="O36" s="129">
        <v>3.7</v>
      </c>
      <c r="P36" s="129" t="s">
        <v>9</v>
      </c>
      <c r="Q36" s="249"/>
      <c r="R36" s="249"/>
      <c r="S36" s="249"/>
      <c r="T36" s="249"/>
    </row>
    <row r="37" spans="1:20">
      <c r="A37" s="248">
        <v>1993</v>
      </c>
      <c r="B37" s="129">
        <v>4513.1000000000004</v>
      </c>
      <c r="C37" s="129" t="s">
        <v>9</v>
      </c>
      <c r="D37" s="129">
        <v>9.9</v>
      </c>
      <c r="E37" s="129">
        <v>2.2000000000000002</v>
      </c>
      <c r="F37" s="129" t="s">
        <v>9</v>
      </c>
      <c r="G37" s="129">
        <v>6377.5</v>
      </c>
      <c r="H37" s="129" t="s">
        <v>9</v>
      </c>
      <c r="I37" s="129">
        <v>15.5</v>
      </c>
      <c r="J37" s="129">
        <v>3.2</v>
      </c>
      <c r="K37" s="129" t="s">
        <v>9</v>
      </c>
      <c r="L37" s="129">
        <v>6515.7</v>
      </c>
      <c r="M37" s="129" t="s">
        <v>9</v>
      </c>
      <c r="N37" s="129">
        <v>15.5</v>
      </c>
      <c r="O37" s="129">
        <v>3.4</v>
      </c>
      <c r="P37" s="129" t="s">
        <v>9</v>
      </c>
      <c r="Q37" s="249"/>
      <c r="R37" s="249"/>
      <c r="S37" s="249"/>
      <c r="T37" s="249"/>
    </row>
    <row r="38" spans="1:20">
      <c r="A38" s="248">
        <v>1994</v>
      </c>
      <c r="B38" s="129">
        <v>4586.1000000000004</v>
      </c>
      <c r="C38" s="129" t="s">
        <v>9</v>
      </c>
      <c r="D38" s="129">
        <v>7.9</v>
      </c>
      <c r="E38" s="129">
        <v>4</v>
      </c>
      <c r="F38" s="129" t="s">
        <v>9</v>
      </c>
      <c r="G38" s="129">
        <v>6263.9</v>
      </c>
      <c r="H38" s="129" t="s">
        <v>9</v>
      </c>
      <c r="I38" s="129">
        <v>12</v>
      </c>
      <c r="J38" s="129">
        <v>5.5</v>
      </c>
      <c r="K38" s="129" t="s">
        <v>9</v>
      </c>
      <c r="L38" s="129">
        <v>6403.8</v>
      </c>
      <c r="M38" s="129" t="s">
        <v>9</v>
      </c>
      <c r="N38" s="129">
        <v>12</v>
      </c>
      <c r="O38" s="129">
        <v>5.9</v>
      </c>
      <c r="P38" s="129" t="s">
        <v>9</v>
      </c>
      <c r="Q38" s="249"/>
      <c r="R38" s="249"/>
      <c r="S38" s="249"/>
      <c r="T38" s="249"/>
    </row>
    <row r="39" spans="1:20">
      <c r="A39" s="248">
        <v>1995</v>
      </c>
      <c r="B39" s="129">
        <v>4577.5</v>
      </c>
      <c r="C39" s="129" t="s">
        <v>9</v>
      </c>
      <c r="D39" s="129">
        <v>4.3</v>
      </c>
      <c r="E39" s="129">
        <v>5.0999999999999996</v>
      </c>
      <c r="F39" s="129" t="s">
        <v>9</v>
      </c>
      <c r="G39" s="129">
        <v>6160.8</v>
      </c>
      <c r="H39" s="129" t="s">
        <v>9</v>
      </c>
      <c r="I39" s="129">
        <v>6.2</v>
      </c>
      <c r="J39" s="129">
        <v>6.8</v>
      </c>
      <c r="K39" s="129" t="s">
        <v>9</v>
      </c>
      <c r="L39" s="129">
        <v>6217.7</v>
      </c>
      <c r="M39" s="129" t="s">
        <v>9</v>
      </c>
      <c r="N39" s="129">
        <v>6.2</v>
      </c>
      <c r="O39" s="129">
        <v>7.4</v>
      </c>
      <c r="P39" s="129" t="s">
        <v>9</v>
      </c>
      <c r="Q39" s="249"/>
      <c r="R39" s="249"/>
      <c r="S39" s="249"/>
      <c r="T39" s="249"/>
    </row>
    <row r="40" spans="1:20">
      <c r="A40" s="248">
        <v>1996</v>
      </c>
      <c r="B40" s="129">
        <v>4158.6000000000004</v>
      </c>
      <c r="C40" s="129" t="s">
        <v>9</v>
      </c>
      <c r="D40" s="129">
        <v>5.4</v>
      </c>
      <c r="E40" s="129">
        <v>3.4</v>
      </c>
      <c r="F40" s="129" t="s">
        <v>9</v>
      </c>
      <c r="G40" s="129">
        <v>5389.8</v>
      </c>
      <c r="H40" s="129" t="s">
        <v>9</v>
      </c>
      <c r="I40" s="129">
        <v>7.5</v>
      </c>
      <c r="J40" s="129">
        <v>4.3</v>
      </c>
      <c r="K40" s="129" t="s">
        <v>9</v>
      </c>
      <c r="L40" s="129">
        <v>5424.5</v>
      </c>
      <c r="M40" s="129" t="s">
        <v>9</v>
      </c>
      <c r="N40" s="129">
        <v>7.5</v>
      </c>
      <c r="O40" s="129">
        <v>4.8</v>
      </c>
      <c r="P40" s="129" t="s">
        <v>9</v>
      </c>
      <c r="Q40" s="249"/>
      <c r="R40" s="249"/>
      <c r="S40" s="249"/>
      <c r="T40" s="249"/>
    </row>
    <row r="41" spans="1:20">
      <c r="A41" s="248">
        <v>1997</v>
      </c>
      <c r="B41" s="129">
        <v>3954.6</v>
      </c>
      <c r="C41" s="129" t="s">
        <v>9</v>
      </c>
      <c r="D41" s="129">
        <v>7.3</v>
      </c>
      <c r="E41" s="129">
        <v>5.7</v>
      </c>
      <c r="F41" s="129" t="s">
        <v>9</v>
      </c>
      <c r="G41" s="129">
        <v>4945.8999999999996</v>
      </c>
      <c r="H41" s="129" t="s">
        <v>9</v>
      </c>
      <c r="I41" s="129">
        <v>9.9</v>
      </c>
      <c r="J41" s="129">
        <v>7.4</v>
      </c>
      <c r="K41" s="129" t="s">
        <v>9</v>
      </c>
      <c r="L41" s="129">
        <v>4941.7</v>
      </c>
      <c r="M41" s="129" t="s">
        <v>9</v>
      </c>
      <c r="N41" s="129">
        <v>9.9</v>
      </c>
      <c r="O41" s="129">
        <v>7.7</v>
      </c>
      <c r="P41" s="129" t="s">
        <v>9</v>
      </c>
      <c r="Q41" s="249"/>
      <c r="R41" s="249"/>
      <c r="S41" s="249"/>
      <c r="T41" s="249"/>
    </row>
    <row r="42" spans="1:20">
      <c r="A42" s="248">
        <v>1998</v>
      </c>
      <c r="B42" s="129">
        <v>4570.3</v>
      </c>
      <c r="C42" s="129" t="s">
        <v>9</v>
      </c>
      <c r="D42" s="129">
        <v>4.5</v>
      </c>
      <c r="E42" s="129">
        <v>4.7</v>
      </c>
      <c r="F42" s="129" t="s">
        <v>9</v>
      </c>
      <c r="G42" s="129">
        <v>5604.6</v>
      </c>
      <c r="H42" s="129" t="s">
        <v>9</v>
      </c>
      <c r="I42" s="129">
        <v>6.2</v>
      </c>
      <c r="J42" s="129">
        <v>6.1</v>
      </c>
      <c r="K42" s="129" t="s">
        <v>9</v>
      </c>
      <c r="L42" s="129">
        <v>5613.6</v>
      </c>
      <c r="M42" s="129" t="s">
        <v>9</v>
      </c>
      <c r="N42" s="129">
        <v>6.1</v>
      </c>
      <c r="O42" s="129">
        <v>6.3</v>
      </c>
      <c r="P42" s="129" t="s">
        <v>9</v>
      </c>
      <c r="Q42" s="249"/>
      <c r="R42" s="249"/>
      <c r="S42" s="249"/>
      <c r="T42" s="249"/>
    </row>
    <row r="43" spans="1:20">
      <c r="A43" s="248">
        <v>1999</v>
      </c>
      <c r="B43" s="129">
        <v>4046.6</v>
      </c>
      <c r="C43" s="129" t="s">
        <v>9</v>
      </c>
      <c r="D43" s="129">
        <v>26.8</v>
      </c>
      <c r="E43" s="129">
        <v>10.4</v>
      </c>
      <c r="F43" s="129" t="s">
        <v>9</v>
      </c>
      <c r="G43" s="129">
        <v>4938.5</v>
      </c>
      <c r="H43" s="129" t="s">
        <v>9</v>
      </c>
      <c r="I43" s="129">
        <v>35.1</v>
      </c>
      <c r="J43" s="129">
        <v>13.1</v>
      </c>
      <c r="K43" s="129" t="s">
        <v>9</v>
      </c>
      <c r="L43" s="129">
        <v>4917.5</v>
      </c>
      <c r="M43" s="129" t="s">
        <v>9</v>
      </c>
      <c r="N43" s="129">
        <v>34.700000000000003</v>
      </c>
      <c r="O43" s="129">
        <v>13.7</v>
      </c>
      <c r="P43" s="129" t="s">
        <v>9</v>
      </c>
      <c r="Q43" s="249"/>
      <c r="R43" s="249"/>
      <c r="S43" s="249"/>
      <c r="T43" s="249"/>
    </row>
    <row r="44" spans="1:20">
      <c r="A44" s="248">
        <v>2000</v>
      </c>
      <c r="B44" s="129">
        <v>4975.2</v>
      </c>
      <c r="C44" s="129" t="s">
        <v>9</v>
      </c>
      <c r="D44" s="129" t="s">
        <v>9</v>
      </c>
      <c r="E44" s="129">
        <v>4</v>
      </c>
      <c r="F44" s="129" t="s">
        <v>9</v>
      </c>
      <c r="G44" s="129">
        <v>5927.8</v>
      </c>
      <c r="H44" s="129" t="s">
        <v>9</v>
      </c>
      <c r="I44" s="129" t="s">
        <v>9</v>
      </c>
      <c r="J44" s="129">
        <v>4.8</v>
      </c>
      <c r="K44" s="129" t="s">
        <v>9</v>
      </c>
      <c r="L44" s="129">
        <v>5936.9</v>
      </c>
      <c r="M44" s="129" t="s">
        <v>9</v>
      </c>
      <c r="N44" s="129" t="s">
        <v>9</v>
      </c>
      <c r="O44" s="129">
        <v>5.0999999999999996</v>
      </c>
      <c r="P44" s="129" t="s">
        <v>9</v>
      </c>
      <c r="Q44" s="249"/>
      <c r="R44" s="249"/>
      <c r="S44" s="249"/>
      <c r="T44" s="249"/>
    </row>
    <row r="45" spans="1:20">
      <c r="A45" s="248">
        <v>2001</v>
      </c>
      <c r="B45" s="129">
        <v>5072.3</v>
      </c>
      <c r="C45" s="129" t="s">
        <v>9</v>
      </c>
      <c r="D45" s="129" t="s">
        <v>9</v>
      </c>
      <c r="E45" s="129">
        <v>7.9</v>
      </c>
      <c r="F45" s="129" t="s">
        <v>9</v>
      </c>
      <c r="G45" s="129">
        <v>5955.3</v>
      </c>
      <c r="H45" s="129" t="s">
        <v>9</v>
      </c>
      <c r="I45" s="129" t="s">
        <v>9</v>
      </c>
      <c r="J45" s="129">
        <v>9.8000000000000007</v>
      </c>
      <c r="K45" s="129" t="s">
        <v>9</v>
      </c>
      <c r="L45" s="129">
        <v>5938.3</v>
      </c>
      <c r="M45" s="129" t="s">
        <v>9</v>
      </c>
      <c r="N45" s="129" t="s">
        <v>9</v>
      </c>
      <c r="O45" s="129">
        <v>10</v>
      </c>
      <c r="P45" s="129" t="s">
        <v>9</v>
      </c>
      <c r="Q45" s="249"/>
      <c r="R45" s="249"/>
      <c r="S45" s="249"/>
      <c r="T45" s="249"/>
    </row>
    <row r="46" spans="1:20">
      <c r="A46" s="248">
        <v>2002</v>
      </c>
      <c r="B46" s="129">
        <v>5709.6</v>
      </c>
      <c r="C46" s="129" t="s">
        <v>9</v>
      </c>
      <c r="D46" s="129" t="s">
        <v>9</v>
      </c>
      <c r="E46" s="129">
        <v>3.9</v>
      </c>
      <c r="F46" s="129" t="s">
        <v>9</v>
      </c>
      <c r="G46" s="129">
        <v>6643</v>
      </c>
      <c r="H46" s="129" t="s">
        <v>9</v>
      </c>
      <c r="I46" s="129" t="s">
        <v>9</v>
      </c>
      <c r="J46" s="129">
        <v>4.4000000000000004</v>
      </c>
      <c r="K46" s="129" t="s">
        <v>9</v>
      </c>
      <c r="L46" s="129">
        <v>6615.6</v>
      </c>
      <c r="M46" s="129" t="s">
        <v>9</v>
      </c>
      <c r="N46" s="129" t="s">
        <v>9</v>
      </c>
      <c r="O46" s="129">
        <v>4.5999999999999996</v>
      </c>
      <c r="P46" s="129" t="s">
        <v>9</v>
      </c>
      <c r="Q46" s="249"/>
      <c r="R46" s="249"/>
      <c r="S46" s="249"/>
      <c r="T46" s="249"/>
    </row>
    <row r="47" spans="1:20">
      <c r="A47" s="248">
        <v>2003</v>
      </c>
      <c r="B47" s="129">
        <v>6296.5</v>
      </c>
      <c r="C47" s="129" t="s">
        <v>9</v>
      </c>
      <c r="D47" s="129" t="s">
        <v>9</v>
      </c>
      <c r="E47" s="129">
        <v>12.2</v>
      </c>
      <c r="F47" s="129" t="s">
        <v>9</v>
      </c>
      <c r="G47" s="129">
        <v>7270.7</v>
      </c>
      <c r="H47" s="129" t="s">
        <v>9</v>
      </c>
      <c r="I47" s="129" t="s">
        <v>9</v>
      </c>
      <c r="J47" s="129">
        <v>14.3</v>
      </c>
      <c r="K47" s="129" t="s">
        <v>9</v>
      </c>
      <c r="L47" s="129">
        <v>7263.2</v>
      </c>
      <c r="M47" s="129" t="s">
        <v>9</v>
      </c>
      <c r="N47" s="129" t="s">
        <v>9</v>
      </c>
      <c r="O47" s="129">
        <v>14.4</v>
      </c>
      <c r="P47" s="129" t="s">
        <v>9</v>
      </c>
      <c r="Q47" s="249"/>
      <c r="R47" s="249"/>
      <c r="S47" s="249"/>
      <c r="T47" s="249"/>
    </row>
    <row r="48" spans="1:20">
      <c r="A48" s="248">
        <v>2004</v>
      </c>
      <c r="B48" s="129">
        <v>7462</v>
      </c>
      <c r="C48" s="129" t="s">
        <v>9</v>
      </c>
      <c r="D48" s="129" t="s">
        <v>9</v>
      </c>
      <c r="E48" s="129">
        <v>15.5</v>
      </c>
      <c r="F48" s="129" t="s">
        <v>9</v>
      </c>
      <c r="G48" s="129">
        <v>8321.7000000000007</v>
      </c>
      <c r="H48" s="129" t="s">
        <v>9</v>
      </c>
      <c r="I48" s="129" t="s">
        <v>9</v>
      </c>
      <c r="J48" s="129">
        <v>17.600000000000001</v>
      </c>
      <c r="K48" s="129" t="s">
        <v>9</v>
      </c>
      <c r="L48" s="129">
        <v>8322.9</v>
      </c>
      <c r="M48" s="129" t="s">
        <v>9</v>
      </c>
      <c r="N48" s="129" t="s">
        <v>9</v>
      </c>
      <c r="O48" s="129">
        <v>17.7</v>
      </c>
      <c r="P48" s="129" t="s">
        <v>9</v>
      </c>
      <c r="Q48" s="249"/>
      <c r="R48" s="249"/>
      <c r="S48" s="249"/>
      <c r="T48" s="249"/>
    </row>
    <row r="49" spans="1:20">
      <c r="A49" s="248">
        <v>2005</v>
      </c>
      <c r="B49" s="129">
        <v>7752.5</v>
      </c>
      <c r="C49" s="129" t="s">
        <v>9</v>
      </c>
      <c r="D49" s="129" t="s">
        <v>9</v>
      </c>
      <c r="E49" s="129">
        <v>15.9</v>
      </c>
      <c r="F49" s="129" t="s">
        <v>9</v>
      </c>
      <c r="G49" s="129">
        <v>8347.2999999999993</v>
      </c>
      <c r="H49" s="129" t="s">
        <v>9</v>
      </c>
      <c r="I49" s="129" t="s">
        <v>9</v>
      </c>
      <c r="J49" s="129">
        <v>17.399999999999999</v>
      </c>
      <c r="K49" s="129" t="s">
        <v>9</v>
      </c>
      <c r="L49" s="129">
        <v>8342.6</v>
      </c>
      <c r="M49" s="129" t="s">
        <v>9</v>
      </c>
      <c r="N49" s="129" t="s">
        <v>9</v>
      </c>
      <c r="O49" s="129">
        <v>17.3</v>
      </c>
      <c r="P49" s="129" t="s">
        <v>9</v>
      </c>
      <c r="Q49" s="249"/>
      <c r="R49" s="249"/>
      <c r="S49" s="249"/>
      <c r="T49" s="249"/>
    </row>
    <row r="50" spans="1:20">
      <c r="A50" s="248">
        <v>2006</v>
      </c>
      <c r="B50" s="129">
        <v>8162.8</v>
      </c>
      <c r="C50" s="129" t="s">
        <v>9</v>
      </c>
      <c r="D50" s="129" t="s">
        <v>9</v>
      </c>
      <c r="E50" s="129">
        <v>27.4</v>
      </c>
      <c r="F50" s="129" t="s">
        <v>9</v>
      </c>
      <c r="G50" s="129">
        <v>8406.4</v>
      </c>
      <c r="H50" s="129" t="s">
        <v>9</v>
      </c>
      <c r="I50" s="129" t="s">
        <v>9</v>
      </c>
      <c r="J50" s="129">
        <v>28.2</v>
      </c>
      <c r="K50" s="129" t="s">
        <v>9</v>
      </c>
      <c r="L50" s="129">
        <v>8406.2999999999993</v>
      </c>
      <c r="M50" s="129" t="s">
        <v>9</v>
      </c>
      <c r="N50" s="129" t="s">
        <v>9</v>
      </c>
      <c r="O50" s="129">
        <v>28.3</v>
      </c>
      <c r="P50" s="129" t="s">
        <v>9</v>
      </c>
      <c r="Q50" s="249"/>
      <c r="R50" s="249"/>
      <c r="S50" s="249"/>
      <c r="T50" s="249"/>
    </row>
    <row r="51" spans="1:20">
      <c r="A51" s="248">
        <v>2007</v>
      </c>
      <c r="B51" s="129">
        <v>9793.2000000000007</v>
      </c>
      <c r="C51" s="129" t="s">
        <v>9</v>
      </c>
      <c r="D51" s="129" t="s">
        <v>9</v>
      </c>
      <c r="E51" s="129">
        <v>11.6</v>
      </c>
      <c r="F51" s="129" t="s">
        <v>9</v>
      </c>
      <c r="G51" s="129">
        <v>9793.2000000000007</v>
      </c>
      <c r="H51" s="129" t="s">
        <v>9</v>
      </c>
      <c r="I51" s="129" t="s">
        <v>9</v>
      </c>
      <c r="J51" s="129">
        <v>11.6</v>
      </c>
      <c r="K51" s="129" t="s">
        <v>9</v>
      </c>
      <c r="L51" s="129">
        <v>9793.2000000000007</v>
      </c>
      <c r="M51" s="129" t="s">
        <v>9</v>
      </c>
      <c r="N51" s="129" t="s">
        <v>9</v>
      </c>
      <c r="O51" s="129">
        <v>11.6</v>
      </c>
      <c r="P51" s="129" t="s">
        <v>9</v>
      </c>
      <c r="Q51" s="249"/>
      <c r="R51" s="249"/>
      <c r="S51" s="249"/>
      <c r="T51" s="249"/>
    </row>
    <row r="52" spans="1:20">
      <c r="A52" s="248">
        <v>2008</v>
      </c>
      <c r="B52" s="129">
        <v>11814.8</v>
      </c>
      <c r="C52" s="129" t="s">
        <v>9</v>
      </c>
      <c r="D52" s="129" t="s">
        <v>9</v>
      </c>
      <c r="E52" s="129">
        <v>3.2</v>
      </c>
      <c r="F52" s="129" t="s">
        <v>9</v>
      </c>
      <c r="G52" s="129">
        <v>11031.3</v>
      </c>
      <c r="H52" s="129" t="s">
        <v>9</v>
      </c>
      <c r="I52" s="129" t="s">
        <v>9</v>
      </c>
      <c r="J52" s="129">
        <v>3</v>
      </c>
      <c r="K52" s="129" t="s">
        <v>9</v>
      </c>
      <c r="L52" s="129">
        <v>11036.7</v>
      </c>
      <c r="M52" s="129" t="s">
        <v>9</v>
      </c>
      <c r="N52" s="129" t="s">
        <v>9</v>
      </c>
      <c r="O52" s="129">
        <v>3</v>
      </c>
      <c r="P52" s="129" t="s">
        <v>9</v>
      </c>
      <c r="Q52" s="249"/>
      <c r="R52" s="249"/>
      <c r="S52" s="249"/>
      <c r="T52" s="249"/>
    </row>
    <row r="53" spans="1:20">
      <c r="A53" s="248">
        <v>2009</v>
      </c>
      <c r="B53" s="129">
        <v>13282.8</v>
      </c>
      <c r="C53" s="129" t="s">
        <v>9</v>
      </c>
      <c r="D53" s="129" t="s">
        <v>9</v>
      </c>
      <c r="E53" s="129">
        <v>0</v>
      </c>
      <c r="F53" s="129" t="s">
        <v>9</v>
      </c>
      <c r="G53" s="129">
        <v>12155.7</v>
      </c>
      <c r="H53" s="129" t="s">
        <v>9</v>
      </c>
      <c r="I53" s="129" t="s">
        <v>9</v>
      </c>
      <c r="J53" s="129">
        <v>0</v>
      </c>
      <c r="K53" s="129" t="s">
        <v>9</v>
      </c>
      <c r="L53" s="129">
        <v>12150.9</v>
      </c>
      <c r="M53" s="129" t="s">
        <v>9</v>
      </c>
      <c r="N53" s="129" t="s">
        <v>9</v>
      </c>
      <c r="O53" s="129">
        <v>0</v>
      </c>
      <c r="P53" s="129" t="s">
        <v>9</v>
      </c>
      <c r="Q53" s="249"/>
      <c r="R53" s="249"/>
      <c r="S53" s="249"/>
      <c r="T53" s="249"/>
    </row>
    <row r="54" spans="1:20">
      <c r="A54" s="248">
        <v>2010</v>
      </c>
      <c r="B54" s="129">
        <v>13795.9</v>
      </c>
      <c r="C54" s="129" t="s">
        <v>9</v>
      </c>
      <c r="D54" s="129" t="s">
        <v>9</v>
      </c>
      <c r="E54" s="129">
        <v>17.899999999999999</v>
      </c>
      <c r="F54" s="129" t="s">
        <v>9</v>
      </c>
      <c r="G54" s="129">
        <v>12178.3</v>
      </c>
      <c r="H54" s="129" t="s">
        <v>9</v>
      </c>
      <c r="I54" s="129" t="s">
        <v>9</v>
      </c>
      <c r="J54" s="129">
        <v>15.8</v>
      </c>
      <c r="K54" s="129" t="s">
        <v>9</v>
      </c>
      <c r="L54" s="129">
        <v>12170.3</v>
      </c>
      <c r="M54" s="129" t="s">
        <v>9</v>
      </c>
      <c r="N54" s="129" t="s">
        <v>9</v>
      </c>
      <c r="O54" s="129">
        <v>15.7</v>
      </c>
      <c r="P54" s="129" t="s">
        <v>9</v>
      </c>
      <c r="Q54" s="249"/>
      <c r="R54" s="249"/>
      <c r="S54" s="249"/>
      <c r="T54" s="249"/>
    </row>
    <row r="55" spans="1:20">
      <c r="A55" s="248">
        <v>2011</v>
      </c>
      <c r="B55" s="129">
        <v>14391.6</v>
      </c>
      <c r="C55" s="129" t="s">
        <v>9</v>
      </c>
      <c r="D55" s="129" t="s">
        <v>9</v>
      </c>
      <c r="E55" s="129">
        <v>3.7</v>
      </c>
      <c r="F55" s="129" t="s">
        <v>9</v>
      </c>
      <c r="G55" s="129">
        <v>12177.2</v>
      </c>
      <c r="H55" s="129" t="s">
        <v>9</v>
      </c>
      <c r="I55" s="129" t="s">
        <v>9</v>
      </c>
      <c r="J55" s="129">
        <v>3.1</v>
      </c>
      <c r="K55" s="129" t="s">
        <v>9</v>
      </c>
      <c r="L55" s="129">
        <v>12161.3</v>
      </c>
      <c r="M55" s="129" t="s">
        <v>9</v>
      </c>
      <c r="N55" s="129" t="s">
        <v>9</v>
      </c>
      <c r="O55" s="129">
        <v>3.1</v>
      </c>
      <c r="P55" s="129" t="s">
        <v>9</v>
      </c>
      <c r="Q55" s="249"/>
      <c r="R55" s="249"/>
      <c r="S55" s="249"/>
      <c r="T55" s="249"/>
    </row>
    <row r="56" spans="1:20">
      <c r="A56" s="248">
        <v>2012</v>
      </c>
      <c r="B56" s="129">
        <v>17104</v>
      </c>
      <c r="C56" s="129" t="s">
        <v>9</v>
      </c>
      <c r="D56" s="129" t="s">
        <v>9</v>
      </c>
      <c r="E56" s="129">
        <v>10.8</v>
      </c>
      <c r="F56" s="129" t="s">
        <v>9</v>
      </c>
      <c r="G56" s="129">
        <v>13946.4</v>
      </c>
      <c r="H56" s="129" t="s">
        <v>9</v>
      </c>
      <c r="I56" s="129" t="s">
        <v>9</v>
      </c>
      <c r="J56" s="129">
        <v>8.5</v>
      </c>
      <c r="K56" s="129" t="s">
        <v>9</v>
      </c>
      <c r="L56" s="129">
        <v>13922.4</v>
      </c>
      <c r="M56" s="129" t="s">
        <v>9</v>
      </c>
      <c r="N56" s="129" t="s">
        <v>9</v>
      </c>
      <c r="O56" s="129">
        <v>8.4</v>
      </c>
      <c r="P56" s="129" t="s">
        <v>9</v>
      </c>
      <c r="Q56" s="249"/>
      <c r="R56" s="249"/>
      <c r="S56" s="249"/>
      <c r="T56" s="249"/>
    </row>
    <row r="57" spans="1:20">
      <c r="A57" s="248">
        <v>2013</v>
      </c>
      <c r="B57" s="129">
        <v>17147.400000000001</v>
      </c>
      <c r="C57" s="129" t="s">
        <v>9</v>
      </c>
      <c r="D57" s="129" t="s">
        <v>9</v>
      </c>
      <c r="E57" s="129">
        <v>3.1</v>
      </c>
      <c r="F57" s="129" t="s">
        <v>9</v>
      </c>
      <c r="G57" s="129">
        <v>13590.9</v>
      </c>
      <c r="H57" s="129" t="s">
        <v>9</v>
      </c>
      <c r="I57" s="129" t="s">
        <v>9</v>
      </c>
      <c r="J57" s="129">
        <v>2.4</v>
      </c>
      <c r="K57" s="129" t="s">
        <v>9</v>
      </c>
      <c r="L57" s="129">
        <v>13562</v>
      </c>
      <c r="M57" s="129" t="s">
        <v>9</v>
      </c>
      <c r="N57" s="129" t="s">
        <v>9</v>
      </c>
      <c r="O57" s="129">
        <v>2.4</v>
      </c>
      <c r="P57" s="129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J60" si="0">((B57/B28)^(1/29)-1)*100</f>
        <v>5.7215655962467693</v>
      </c>
      <c r="C60" s="11" t="s">
        <v>10</v>
      </c>
      <c r="D60" s="11" t="s">
        <v>10</v>
      </c>
      <c r="E60" s="11">
        <f t="shared" si="0"/>
        <v>9.9122050222742786</v>
      </c>
      <c r="F60" s="11" t="s">
        <v>10</v>
      </c>
      <c r="G60" s="11">
        <f t="shared" si="0"/>
        <v>3.0537811908994961</v>
      </c>
      <c r="H60" s="11" t="s">
        <v>10</v>
      </c>
      <c r="I60" s="11" t="s">
        <v>10</v>
      </c>
      <c r="J60" s="11">
        <f t="shared" si="0"/>
        <v>7.4338239376215531</v>
      </c>
      <c r="K60" s="11" t="s">
        <v>10</v>
      </c>
      <c r="L60" s="11">
        <f>((L57/L28)^(1/29)-1)*100</f>
        <v>3.0084564117558665</v>
      </c>
      <c r="M60" s="11" t="s">
        <v>10</v>
      </c>
      <c r="N60" s="11" t="s">
        <v>10</v>
      </c>
      <c r="O60" s="11">
        <f t="shared" ref="O60" si="1">((O57/O28)^(1/29)-1)*100</f>
        <v>6.3733414541691902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J61" si="2">((B33/B28)^(1/5)-1)*100</f>
        <v>6.7269318224234542</v>
      </c>
      <c r="C61" s="11" t="s">
        <v>10</v>
      </c>
      <c r="D61" s="11">
        <f t="shared" si="2"/>
        <v>27.8440561095898</v>
      </c>
      <c r="E61" s="11">
        <f t="shared" si="2"/>
        <v>117.79064244827796</v>
      </c>
      <c r="F61" s="11" t="s">
        <v>10</v>
      </c>
      <c r="G61" s="11">
        <f t="shared" si="2"/>
        <v>3.5681123815763049</v>
      </c>
      <c r="H61" s="11" t="s">
        <v>10</v>
      </c>
      <c r="I61" s="11">
        <f t="shared" si="2"/>
        <v>25.383833304662851</v>
      </c>
      <c r="J61" s="11">
        <f t="shared" si="2"/>
        <v>118.96320360202202</v>
      </c>
      <c r="K61" s="11" t="s">
        <v>10</v>
      </c>
      <c r="L61" s="11">
        <f>((L33/L28)^(1/5)-1)*100</f>
        <v>3.8256076464662447</v>
      </c>
      <c r="M61" s="11" t="s">
        <v>10</v>
      </c>
      <c r="N61" s="11">
        <f t="shared" ref="N61:O61" si="3">((N33/N28)^(1/5)-1)*100</f>
        <v>25.811990683644726</v>
      </c>
      <c r="O61" s="11">
        <f t="shared" si="3"/>
        <v>107.26515136344248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J62" si="4">((B44/B33)^(1/11)-1)*100</f>
        <v>0.46128738309303419</v>
      </c>
      <c r="C62" s="11" t="s">
        <v>10</v>
      </c>
      <c r="D62" s="11" t="s">
        <v>10</v>
      </c>
      <c r="E62" s="11">
        <f t="shared" si="4"/>
        <v>-7.8232768477676355</v>
      </c>
      <c r="F62" s="11" t="s">
        <v>10</v>
      </c>
      <c r="G62" s="11">
        <f t="shared" si="4"/>
        <v>-1.1991181855548483</v>
      </c>
      <c r="H62" s="11" t="s">
        <v>10</v>
      </c>
      <c r="I62" s="11" t="s">
        <v>10</v>
      </c>
      <c r="J62" s="11">
        <f t="shared" si="4"/>
        <v>-9.8945003804020502</v>
      </c>
      <c r="K62" s="11" t="s">
        <v>10</v>
      </c>
      <c r="L62" s="11">
        <f>((L44/L33)^(1/11)-1)*100</f>
        <v>-1.3921355861093332</v>
      </c>
      <c r="M62" s="11" t="s">
        <v>10</v>
      </c>
      <c r="N62" s="11" t="s">
        <v>10</v>
      </c>
      <c r="O62" s="11">
        <f t="shared" ref="O62" si="5">((O44/O33)^(1/11)-1)*100</f>
        <v>-9.5048424478069489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10.158064623001506</v>
      </c>
      <c r="C63" s="11" t="s">
        <v>10</v>
      </c>
      <c r="D63" s="11" t="s">
        <v>10</v>
      </c>
      <c r="E63" s="11">
        <f t="shared" ref="E63:O63" si="6">((E51/E44)^(1/7)-1)*100</f>
        <v>16.427844411092952</v>
      </c>
      <c r="F63" s="11" t="s">
        <v>10</v>
      </c>
      <c r="G63" s="11">
        <f t="shared" si="6"/>
        <v>7.4353733412158007</v>
      </c>
      <c r="H63" s="11" t="s">
        <v>10</v>
      </c>
      <c r="I63" s="11" t="s">
        <v>10</v>
      </c>
      <c r="J63" s="11">
        <f t="shared" si="6"/>
        <v>13.43452329160273</v>
      </c>
      <c r="K63" s="11" t="s">
        <v>10</v>
      </c>
      <c r="L63" s="11">
        <f t="shared" si="6"/>
        <v>7.4118328031796743</v>
      </c>
      <c r="M63" s="11" t="s">
        <v>10</v>
      </c>
      <c r="N63" s="11" t="s">
        <v>10</v>
      </c>
      <c r="O63" s="11">
        <f t="shared" si="6"/>
        <v>12.456347362540154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9.7856579972737343</v>
      </c>
      <c r="C64" s="11" t="s">
        <v>10</v>
      </c>
      <c r="D64" s="11" t="s">
        <v>10</v>
      </c>
      <c r="E64" s="11">
        <f t="shared" ref="E64:O64" si="7">((E57/E51)^(1/6)-1)*100</f>
        <v>-19.742809849738705</v>
      </c>
      <c r="F64" s="11" t="s">
        <v>10</v>
      </c>
      <c r="G64" s="11">
        <f t="shared" si="7"/>
        <v>5.6137829692481489</v>
      </c>
      <c r="H64" s="11" t="s">
        <v>10</v>
      </c>
      <c r="I64" s="11" t="s">
        <v>10</v>
      </c>
      <c r="J64" s="11">
        <f t="shared" si="7"/>
        <v>-23.094238742508878</v>
      </c>
      <c r="K64" s="11" t="s">
        <v>10</v>
      </c>
      <c r="L64" s="11">
        <f t="shared" si="7"/>
        <v>5.5763198363246058</v>
      </c>
      <c r="M64" s="11" t="s">
        <v>10</v>
      </c>
      <c r="N64" s="11" t="s">
        <v>10</v>
      </c>
      <c r="O64" s="11">
        <f t="shared" si="7"/>
        <v>-23.094238742508878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J65" si="8">((B57/B44)^(1/13)-1)*100</f>
        <v>9.9860279289126996</v>
      </c>
      <c r="C65" s="11" t="s">
        <v>10</v>
      </c>
      <c r="D65" s="11" t="s">
        <v>10</v>
      </c>
      <c r="E65" s="11">
        <f t="shared" si="8"/>
        <v>-1.9416127168280783</v>
      </c>
      <c r="F65" s="11" t="s">
        <v>10</v>
      </c>
      <c r="G65" s="11">
        <f t="shared" si="8"/>
        <v>6.5907677511390039</v>
      </c>
      <c r="H65" s="11" t="s">
        <v>10</v>
      </c>
      <c r="I65" s="11" t="s">
        <v>10</v>
      </c>
      <c r="J65" s="11">
        <f t="shared" si="8"/>
        <v>-5.1922485660828581</v>
      </c>
      <c r="K65" s="11" t="s">
        <v>10</v>
      </c>
      <c r="L65" s="11">
        <f>((L57/L44)^(1/13)-1)*100</f>
        <v>6.560740858408054</v>
      </c>
      <c r="M65" s="11" t="s">
        <v>10</v>
      </c>
      <c r="N65" s="11" t="s">
        <v>10</v>
      </c>
      <c r="O65" s="11">
        <f t="shared" ref="O65" si="9">((O57/O44)^(1/13)-1)*100</f>
        <v>-5.6333487904314028</v>
      </c>
      <c r="P65" s="11" t="s">
        <v>10</v>
      </c>
      <c r="Q65" s="249"/>
      <c r="R65" s="249"/>
      <c r="S65" s="249"/>
      <c r="T65" s="249"/>
    </row>
    <row r="67" spans="1:20" s="180" customFormat="1">
      <c r="A67" s="174" t="s">
        <v>55</v>
      </c>
    </row>
    <row r="68" spans="1:20" s="180" customFormat="1">
      <c r="A68" s="168" t="s">
        <v>56</v>
      </c>
      <c r="B68" s="174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80"/>
    <col min="12" max="12" width="16.140625" style="165" customWidth="1"/>
    <col min="13" max="16384" width="9.140625" style="165"/>
  </cols>
  <sheetData>
    <row r="1" spans="1:20" ht="29.25" customHeight="1">
      <c r="A1" s="454" t="s">
        <v>231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623.1</v>
      </c>
      <c r="C5" s="129" t="s">
        <v>9</v>
      </c>
      <c r="D5" s="129" t="s">
        <v>9</v>
      </c>
      <c r="E5" s="129">
        <v>0.2</v>
      </c>
      <c r="F5" s="129">
        <v>0.9</v>
      </c>
      <c r="G5" s="129">
        <v>5013.3999999999996</v>
      </c>
      <c r="H5" s="129" t="s">
        <v>9</v>
      </c>
      <c r="I5" s="129" t="s">
        <v>9</v>
      </c>
      <c r="J5" s="129">
        <v>1.6</v>
      </c>
      <c r="K5" s="129">
        <v>6.7</v>
      </c>
      <c r="L5" s="129">
        <v>5146.6000000000004</v>
      </c>
      <c r="M5" s="129" t="s">
        <v>9</v>
      </c>
      <c r="N5" s="129" t="s">
        <v>9</v>
      </c>
      <c r="O5" s="129">
        <v>0</v>
      </c>
      <c r="P5" s="129">
        <v>6.3</v>
      </c>
      <c r="Q5" s="249"/>
      <c r="R5" s="249"/>
      <c r="S5" s="249"/>
      <c r="T5" s="249"/>
    </row>
    <row r="6" spans="1:20">
      <c r="A6" s="248">
        <v>1962</v>
      </c>
      <c r="B6" s="129">
        <v>652.79999999999995</v>
      </c>
      <c r="C6" s="129" t="s">
        <v>9</v>
      </c>
      <c r="D6" s="129" t="s">
        <v>9</v>
      </c>
      <c r="E6" s="129">
        <v>0.3</v>
      </c>
      <c r="F6" s="129">
        <v>1</v>
      </c>
      <c r="G6" s="129">
        <v>5094.7</v>
      </c>
      <c r="H6" s="129" t="s">
        <v>9</v>
      </c>
      <c r="I6" s="129" t="s">
        <v>9</v>
      </c>
      <c r="J6" s="129">
        <v>2.2999999999999998</v>
      </c>
      <c r="K6" s="129">
        <v>7.4</v>
      </c>
      <c r="L6" s="129">
        <v>5183.2</v>
      </c>
      <c r="M6" s="129" t="s">
        <v>9</v>
      </c>
      <c r="N6" s="129" t="s">
        <v>9</v>
      </c>
      <c r="O6" s="129">
        <v>0</v>
      </c>
      <c r="P6" s="129">
        <v>7.1</v>
      </c>
      <c r="Q6" s="249"/>
      <c r="R6" s="249"/>
      <c r="S6" s="249"/>
      <c r="T6" s="249"/>
    </row>
    <row r="7" spans="1:20">
      <c r="A7" s="248">
        <v>1963</v>
      </c>
      <c r="B7" s="129">
        <v>701</v>
      </c>
      <c r="C7" s="129" t="s">
        <v>9</v>
      </c>
      <c r="D7" s="129" t="s">
        <v>9</v>
      </c>
      <c r="E7" s="129">
        <v>0.3</v>
      </c>
      <c r="F7" s="129">
        <v>0.7</v>
      </c>
      <c r="G7" s="129">
        <v>5145.3999999999996</v>
      </c>
      <c r="H7" s="129" t="s">
        <v>9</v>
      </c>
      <c r="I7" s="129" t="s">
        <v>9</v>
      </c>
      <c r="J7" s="129">
        <v>1.9</v>
      </c>
      <c r="K7" s="129">
        <v>4.5</v>
      </c>
      <c r="L7" s="129">
        <v>5219.5</v>
      </c>
      <c r="M7" s="129" t="s">
        <v>9</v>
      </c>
      <c r="N7" s="129" t="s">
        <v>9</v>
      </c>
      <c r="O7" s="129">
        <v>0</v>
      </c>
      <c r="P7" s="129">
        <v>4.4000000000000004</v>
      </c>
      <c r="Q7" s="249"/>
      <c r="R7" s="249"/>
      <c r="S7" s="249"/>
      <c r="T7" s="249"/>
    </row>
    <row r="8" spans="1:20">
      <c r="A8" s="248">
        <v>1964</v>
      </c>
      <c r="B8" s="129">
        <v>699.9</v>
      </c>
      <c r="C8" s="129" t="s">
        <v>9</v>
      </c>
      <c r="D8" s="129" t="s">
        <v>9</v>
      </c>
      <c r="E8" s="129">
        <v>0.3</v>
      </c>
      <c r="F8" s="129">
        <v>0.9</v>
      </c>
      <c r="G8" s="129">
        <v>5070.7</v>
      </c>
      <c r="H8" s="129" t="s">
        <v>9</v>
      </c>
      <c r="I8" s="129" t="s">
        <v>9</v>
      </c>
      <c r="J8" s="129">
        <v>2.2000000000000002</v>
      </c>
      <c r="K8" s="129">
        <v>6</v>
      </c>
      <c r="L8" s="129">
        <v>5126</v>
      </c>
      <c r="M8" s="129" t="s">
        <v>9</v>
      </c>
      <c r="N8" s="129" t="s">
        <v>9</v>
      </c>
      <c r="O8" s="129">
        <v>0</v>
      </c>
      <c r="P8" s="129">
        <v>5.9</v>
      </c>
      <c r="Q8" s="249"/>
      <c r="R8" s="249"/>
      <c r="S8" s="249"/>
      <c r="T8" s="249"/>
    </row>
    <row r="9" spans="1:20">
      <c r="A9" s="248">
        <v>1965</v>
      </c>
      <c r="B9" s="129">
        <v>719.9</v>
      </c>
      <c r="C9" s="129" t="s">
        <v>9</v>
      </c>
      <c r="D9" s="129" t="s">
        <v>9</v>
      </c>
      <c r="E9" s="129">
        <v>0.7</v>
      </c>
      <c r="F9" s="129">
        <v>2</v>
      </c>
      <c r="G9" s="129">
        <v>4733.3</v>
      </c>
      <c r="H9" s="129" t="s">
        <v>9</v>
      </c>
      <c r="I9" s="129" t="s">
        <v>9</v>
      </c>
      <c r="J9" s="129">
        <v>4.4000000000000004</v>
      </c>
      <c r="K9" s="129">
        <v>12.2</v>
      </c>
      <c r="L9" s="129">
        <v>4816.3999999999996</v>
      </c>
      <c r="M9" s="129" t="s">
        <v>9</v>
      </c>
      <c r="N9" s="129" t="s">
        <v>9</v>
      </c>
      <c r="O9" s="129">
        <v>0</v>
      </c>
      <c r="P9" s="129">
        <v>12.1</v>
      </c>
      <c r="Q9" s="249"/>
      <c r="R9" s="249"/>
      <c r="S9" s="249"/>
      <c r="T9" s="249"/>
    </row>
    <row r="10" spans="1:20">
      <c r="A10" s="248">
        <v>1966</v>
      </c>
      <c r="B10" s="129">
        <v>934.9</v>
      </c>
      <c r="C10" s="129" t="s">
        <v>9</v>
      </c>
      <c r="D10" s="129" t="s">
        <v>9</v>
      </c>
      <c r="E10" s="129">
        <v>0.6</v>
      </c>
      <c r="F10" s="129">
        <v>1.6</v>
      </c>
      <c r="G10" s="129">
        <v>5814</v>
      </c>
      <c r="H10" s="129" t="s">
        <v>9</v>
      </c>
      <c r="I10" s="129" t="s">
        <v>9</v>
      </c>
      <c r="J10" s="129">
        <v>3.6</v>
      </c>
      <c r="K10" s="129">
        <v>9.4</v>
      </c>
      <c r="L10" s="129">
        <v>5871.3</v>
      </c>
      <c r="M10" s="129" t="s">
        <v>9</v>
      </c>
      <c r="N10" s="129" t="s">
        <v>9</v>
      </c>
      <c r="O10" s="129">
        <v>0</v>
      </c>
      <c r="P10" s="129">
        <v>9.1999999999999993</v>
      </c>
      <c r="Q10" s="249"/>
      <c r="R10" s="249"/>
      <c r="S10" s="249"/>
      <c r="T10" s="249"/>
    </row>
    <row r="11" spans="1:20">
      <c r="A11" s="248">
        <v>1967</v>
      </c>
      <c r="B11" s="129">
        <v>952.9</v>
      </c>
      <c r="C11" s="129" t="s">
        <v>9</v>
      </c>
      <c r="D11" s="129" t="s">
        <v>9</v>
      </c>
      <c r="E11" s="129">
        <v>0.3</v>
      </c>
      <c r="F11" s="129">
        <v>1.2</v>
      </c>
      <c r="G11" s="129">
        <v>5760.6</v>
      </c>
      <c r="H11" s="129" t="s">
        <v>9</v>
      </c>
      <c r="I11" s="129" t="s">
        <v>9</v>
      </c>
      <c r="J11" s="129">
        <v>1.8</v>
      </c>
      <c r="K11" s="129">
        <v>7</v>
      </c>
      <c r="L11" s="129">
        <v>5827.2</v>
      </c>
      <c r="M11" s="129" t="s">
        <v>9</v>
      </c>
      <c r="N11" s="129" t="s">
        <v>9</v>
      </c>
      <c r="O11" s="129">
        <v>0</v>
      </c>
      <c r="P11" s="129">
        <v>6.8</v>
      </c>
      <c r="Q11" s="249"/>
      <c r="R11" s="249"/>
      <c r="S11" s="249"/>
      <c r="T11" s="249"/>
    </row>
    <row r="12" spans="1:20">
      <c r="A12" s="248">
        <v>1968</v>
      </c>
      <c r="B12" s="129">
        <v>1045.4000000000001</v>
      </c>
      <c r="C12" s="129" t="s">
        <v>9</v>
      </c>
      <c r="D12" s="129" t="s">
        <v>9</v>
      </c>
      <c r="E12" s="129">
        <v>0.4</v>
      </c>
      <c r="F12" s="129">
        <v>1.5</v>
      </c>
      <c r="G12" s="129">
        <v>6247</v>
      </c>
      <c r="H12" s="129" t="s">
        <v>9</v>
      </c>
      <c r="I12" s="129" t="s">
        <v>9</v>
      </c>
      <c r="J12" s="129">
        <v>2.6</v>
      </c>
      <c r="K12" s="129">
        <v>8.5</v>
      </c>
      <c r="L12" s="129">
        <v>6357</v>
      </c>
      <c r="M12" s="129" t="s">
        <v>9</v>
      </c>
      <c r="N12" s="129" t="s">
        <v>9</v>
      </c>
      <c r="O12" s="129">
        <v>0</v>
      </c>
      <c r="P12" s="129">
        <v>8.3000000000000007</v>
      </c>
      <c r="Q12" s="249"/>
      <c r="R12" s="249"/>
      <c r="S12" s="249"/>
      <c r="T12" s="249"/>
    </row>
    <row r="13" spans="1:20">
      <c r="A13" s="248">
        <v>1969</v>
      </c>
      <c r="B13" s="129">
        <v>1148.0999999999999</v>
      </c>
      <c r="C13" s="129" t="s">
        <v>9</v>
      </c>
      <c r="D13" s="129" t="s">
        <v>9</v>
      </c>
      <c r="E13" s="129">
        <v>1.1000000000000001</v>
      </c>
      <c r="F13" s="129">
        <v>0.6</v>
      </c>
      <c r="G13" s="129">
        <v>6534</v>
      </c>
      <c r="H13" s="129" t="s">
        <v>9</v>
      </c>
      <c r="I13" s="129" t="s">
        <v>9</v>
      </c>
      <c r="J13" s="129">
        <v>6.1</v>
      </c>
      <c r="K13" s="129">
        <v>3.4</v>
      </c>
      <c r="L13" s="129">
        <v>6691.3</v>
      </c>
      <c r="M13" s="129" t="s">
        <v>9</v>
      </c>
      <c r="N13" s="129" t="s">
        <v>9</v>
      </c>
      <c r="O13" s="129">
        <v>0</v>
      </c>
      <c r="P13" s="129">
        <v>3.4</v>
      </c>
      <c r="Q13" s="249"/>
      <c r="R13" s="249"/>
      <c r="S13" s="249"/>
      <c r="T13" s="249"/>
    </row>
    <row r="14" spans="1:20">
      <c r="A14" s="248">
        <v>1970</v>
      </c>
      <c r="B14" s="129">
        <v>1303.7</v>
      </c>
      <c r="C14" s="129" t="s">
        <v>9</v>
      </c>
      <c r="D14" s="129" t="s">
        <v>9</v>
      </c>
      <c r="E14" s="129">
        <v>0.5</v>
      </c>
      <c r="F14" s="129">
        <v>2</v>
      </c>
      <c r="G14" s="129">
        <v>7044.2</v>
      </c>
      <c r="H14" s="129" t="s">
        <v>9</v>
      </c>
      <c r="I14" s="129" t="s">
        <v>9</v>
      </c>
      <c r="J14" s="129">
        <v>2.8</v>
      </c>
      <c r="K14" s="129">
        <v>10.8</v>
      </c>
      <c r="L14" s="129">
        <v>7247.4</v>
      </c>
      <c r="M14" s="129" t="s">
        <v>9</v>
      </c>
      <c r="N14" s="129" t="s">
        <v>9</v>
      </c>
      <c r="O14" s="129">
        <v>0</v>
      </c>
      <c r="P14" s="129">
        <v>10.4</v>
      </c>
      <c r="Q14" s="249"/>
      <c r="R14" s="249"/>
      <c r="S14" s="249"/>
      <c r="T14" s="249"/>
    </row>
    <row r="15" spans="1:20">
      <c r="A15" s="248">
        <v>1971</v>
      </c>
      <c r="B15" s="129">
        <v>1514</v>
      </c>
      <c r="C15" s="129" t="s">
        <v>9</v>
      </c>
      <c r="D15" s="129" t="s">
        <v>9</v>
      </c>
      <c r="E15" s="129">
        <v>0.4</v>
      </c>
      <c r="F15" s="129">
        <v>2.2999999999999998</v>
      </c>
      <c r="G15" s="129">
        <v>7823.9</v>
      </c>
      <c r="H15" s="129" t="s">
        <v>9</v>
      </c>
      <c r="I15" s="129" t="s">
        <v>9</v>
      </c>
      <c r="J15" s="129">
        <v>2</v>
      </c>
      <c r="K15" s="129">
        <v>11.6</v>
      </c>
      <c r="L15" s="129">
        <v>7931</v>
      </c>
      <c r="M15" s="129" t="s">
        <v>9</v>
      </c>
      <c r="N15" s="129" t="s">
        <v>9</v>
      </c>
      <c r="O15" s="129">
        <v>0</v>
      </c>
      <c r="P15" s="129">
        <v>11.1</v>
      </c>
      <c r="Q15" s="249"/>
      <c r="R15" s="249"/>
      <c r="S15" s="249"/>
      <c r="T15" s="249"/>
    </row>
    <row r="16" spans="1:20">
      <c r="A16" s="248">
        <v>1972</v>
      </c>
      <c r="B16" s="129">
        <v>1691.9</v>
      </c>
      <c r="C16" s="129" t="s">
        <v>9</v>
      </c>
      <c r="D16" s="129" t="s">
        <v>9</v>
      </c>
      <c r="E16" s="129">
        <v>0.9</v>
      </c>
      <c r="F16" s="129">
        <v>2</v>
      </c>
      <c r="G16" s="129">
        <v>8321.9</v>
      </c>
      <c r="H16" s="129" t="s">
        <v>9</v>
      </c>
      <c r="I16" s="129" t="s">
        <v>9</v>
      </c>
      <c r="J16" s="129">
        <v>4.5999999999999996</v>
      </c>
      <c r="K16" s="129">
        <v>9.5</v>
      </c>
      <c r="L16" s="129">
        <v>8341.1</v>
      </c>
      <c r="M16" s="129" t="s">
        <v>9</v>
      </c>
      <c r="N16" s="129" t="s">
        <v>9</v>
      </c>
      <c r="O16" s="129">
        <v>0</v>
      </c>
      <c r="P16" s="129">
        <v>8.9</v>
      </c>
      <c r="Q16" s="249"/>
      <c r="R16" s="249"/>
      <c r="S16" s="249"/>
      <c r="T16" s="249"/>
    </row>
    <row r="17" spans="1:20">
      <c r="A17" s="248">
        <v>1973</v>
      </c>
      <c r="B17" s="129">
        <v>1698.3</v>
      </c>
      <c r="C17" s="129" t="s">
        <v>9</v>
      </c>
      <c r="D17" s="129" t="s">
        <v>9</v>
      </c>
      <c r="E17" s="129">
        <v>1.9</v>
      </c>
      <c r="F17" s="129">
        <v>3.3</v>
      </c>
      <c r="G17" s="129">
        <v>7702.3</v>
      </c>
      <c r="H17" s="129" t="s">
        <v>9</v>
      </c>
      <c r="I17" s="129" t="s">
        <v>9</v>
      </c>
      <c r="J17" s="129">
        <v>8.6999999999999993</v>
      </c>
      <c r="K17" s="129">
        <v>14.5</v>
      </c>
      <c r="L17" s="129">
        <v>7753.2</v>
      </c>
      <c r="M17" s="129" t="s">
        <v>9</v>
      </c>
      <c r="N17" s="129" t="s">
        <v>9</v>
      </c>
      <c r="O17" s="129">
        <v>0</v>
      </c>
      <c r="P17" s="129">
        <v>13.9</v>
      </c>
      <c r="Q17" s="249"/>
      <c r="R17" s="249"/>
      <c r="S17" s="249"/>
      <c r="T17" s="249"/>
    </row>
    <row r="18" spans="1:20">
      <c r="A18" s="248">
        <v>1974</v>
      </c>
      <c r="B18" s="129">
        <v>2138.3000000000002</v>
      </c>
      <c r="C18" s="129" t="s">
        <v>9</v>
      </c>
      <c r="D18" s="129" t="s">
        <v>9</v>
      </c>
      <c r="E18" s="129">
        <v>2.8</v>
      </c>
      <c r="F18" s="129">
        <v>2.5</v>
      </c>
      <c r="G18" s="129">
        <v>7907.4</v>
      </c>
      <c r="H18" s="129" t="s">
        <v>9</v>
      </c>
      <c r="I18" s="129" t="s">
        <v>9</v>
      </c>
      <c r="J18" s="129">
        <v>10.1</v>
      </c>
      <c r="K18" s="129">
        <v>9</v>
      </c>
      <c r="L18" s="129">
        <v>8034.6</v>
      </c>
      <c r="M18" s="129" t="s">
        <v>9</v>
      </c>
      <c r="N18" s="129" t="s">
        <v>9</v>
      </c>
      <c r="O18" s="129">
        <v>0</v>
      </c>
      <c r="P18" s="129">
        <v>8.6999999999999993</v>
      </c>
      <c r="Q18" s="249"/>
      <c r="R18" s="249"/>
      <c r="S18" s="249"/>
      <c r="T18" s="249"/>
    </row>
    <row r="19" spans="1:20">
      <c r="A19" s="248">
        <v>1975</v>
      </c>
      <c r="B19" s="129">
        <v>2727.4</v>
      </c>
      <c r="C19" s="129" t="s">
        <v>9</v>
      </c>
      <c r="D19" s="129" t="s">
        <v>9</v>
      </c>
      <c r="E19" s="129">
        <v>1.7</v>
      </c>
      <c r="F19" s="129">
        <v>4.7</v>
      </c>
      <c r="G19" s="129">
        <v>8995.9</v>
      </c>
      <c r="H19" s="129" t="s">
        <v>9</v>
      </c>
      <c r="I19" s="129" t="s">
        <v>9</v>
      </c>
      <c r="J19" s="129">
        <v>5.6</v>
      </c>
      <c r="K19" s="129">
        <v>14.8</v>
      </c>
      <c r="L19" s="129">
        <v>9085.5</v>
      </c>
      <c r="M19" s="129" t="s">
        <v>9</v>
      </c>
      <c r="N19" s="129" t="s">
        <v>9</v>
      </c>
      <c r="O19" s="129">
        <v>0</v>
      </c>
      <c r="P19" s="129">
        <v>14.6</v>
      </c>
      <c r="Q19" s="249"/>
      <c r="R19" s="249"/>
      <c r="S19" s="249"/>
      <c r="T19" s="249"/>
    </row>
    <row r="20" spans="1:20">
      <c r="A20" s="248">
        <v>1976</v>
      </c>
      <c r="B20" s="129">
        <v>2696.1</v>
      </c>
      <c r="C20" s="129" t="s">
        <v>9</v>
      </c>
      <c r="D20" s="129" t="s">
        <v>9</v>
      </c>
      <c r="E20" s="129">
        <v>2</v>
      </c>
      <c r="F20" s="129">
        <v>1.8</v>
      </c>
      <c r="G20" s="129">
        <v>8222.2000000000007</v>
      </c>
      <c r="H20" s="129" t="s">
        <v>9</v>
      </c>
      <c r="I20" s="129" t="s">
        <v>9</v>
      </c>
      <c r="J20" s="129">
        <v>6.2</v>
      </c>
      <c r="K20" s="129">
        <v>5.3</v>
      </c>
      <c r="L20" s="129">
        <v>8331.2000000000007</v>
      </c>
      <c r="M20" s="129" t="s">
        <v>9</v>
      </c>
      <c r="N20" s="129" t="s">
        <v>9</v>
      </c>
      <c r="O20" s="129">
        <v>0</v>
      </c>
      <c r="P20" s="129">
        <v>5.0999999999999996</v>
      </c>
      <c r="Q20" s="249"/>
      <c r="R20" s="249"/>
      <c r="S20" s="249"/>
      <c r="T20" s="249"/>
    </row>
    <row r="21" spans="1:20">
      <c r="A21" s="248">
        <v>1977</v>
      </c>
      <c r="B21" s="129">
        <v>2852.8</v>
      </c>
      <c r="C21" s="129" t="s">
        <v>9</v>
      </c>
      <c r="D21" s="129" t="s">
        <v>9</v>
      </c>
      <c r="E21" s="129">
        <v>2.5</v>
      </c>
      <c r="F21" s="129">
        <v>1.7</v>
      </c>
      <c r="G21" s="129">
        <v>8107.7</v>
      </c>
      <c r="H21" s="129" t="s">
        <v>9</v>
      </c>
      <c r="I21" s="129" t="s">
        <v>9</v>
      </c>
      <c r="J21" s="129">
        <v>7.1</v>
      </c>
      <c r="K21" s="129">
        <v>4.5999999999999996</v>
      </c>
      <c r="L21" s="129">
        <v>8207.4</v>
      </c>
      <c r="M21" s="129" t="s">
        <v>9</v>
      </c>
      <c r="N21" s="129" t="s">
        <v>9</v>
      </c>
      <c r="O21" s="129">
        <v>0</v>
      </c>
      <c r="P21" s="129">
        <v>4.5</v>
      </c>
      <c r="Q21" s="249"/>
      <c r="R21" s="249"/>
      <c r="S21" s="249"/>
      <c r="T21" s="249"/>
    </row>
    <row r="22" spans="1:20">
      <c r="A22" s="248">
        <v>1978</v>
      </c>
      <c r="B22" s="129">
        <v>3027.4</v>
      </c>
      <c r="C22" s="129" t="s">
        <v>9</v>
      </c>
      <c r="D22" s="129" t="s">
        <v>9</v>
      </c>
      <c r="E22" s="129">
        <v>1.3</v>
      </c>
      <c r="F22" s="129">
        <v>2.2999999999999998</v>
      </c>
      <c r="G22" s="129">
        <v>7887.9</v>
      </c>
      <c r="H22" s="129" t="s">
        <v>9</v>
      </c>
      <c r="I22" s="129" t="s">
        <v>9</v>
      </c>
      <c r="J22" s="129">
        <v>3.4</v>
      </c>
      <c r="K22" s="129">
        <v>6.1</v>
      </c>
      <c r="L22" s="129">
        <v>8019</v>
      </c>
      <c r="M22" s="129" t="s">
        <v>9</v>
      </c>
      <c r="N22" s="129" t="s">
        <v>9</v>
      </c>
      <c r="O22" s="129">
        <v>0</v>
      </c>
      <c r="P22" s="129">
        <v>5.8</v>
      </c>
      <c r="Q22" s="249"/>
      <c r="R22" s="249"/>
      <c r="S22" s="249"/>
      <c r="T22" s="249"/>
    </row>
    <row r="23" spans="1:20">
      <c r="A23" s="248">
        <v>1979</v>
      </c>
      <c r="B23" s="129">
        <v>2951.4</v>
      </c>
      <c r="C23" s="129" t="s">
        <v>9</v>
      </c>
      <c r="D23" s="129" t="s">
        <v>9</v>
      </c>
      <c r="E23" s="129">
        <v>2.2000000000000002</v>
      </c>
      <c r="F23" s="129">
        <v>2.8</v>
      </c>
      <c r="G23" s="129">
        <v>7003.8</v>
      </c>
      <c r="H23" s="129" t="s">
        <v>9</v>
      </c>
      <c r="I23" s="129" t="s">
        <v>9</v>
      </c>
      <c r="J23" s="129">
        <v>5.4</v>
      </c>
      <c r="K23" s="129">
        <v>6.5</v>
      </c>
      <c r="L23" s="129">
        <v>7143.5</v>
      </c>
      <c r="M23" s="129" t="s">
        <v>9</v>
      </c>
      <c r="N23" s="129" t="s">
        <v>9</v>
      </c>
      <c r="O23" s="129">
        <v>0</v>
      </c>
      <c r="P23" s="129">
        <v>6.3</v>
      </c>
      <c r="Q23" s="249"/>
      <c r="R23" s="249"/>
      <c r="S23" s="249"/>
      <c r="T23" s="249"/>
    </row>
    <row r="24" spans="1:20">
      <c r="A24" s="248">
        <v>1980</v>
      </c>
      <c r="B24" s="129">
        <v>3306</v>
      </c>
      <c r="C24" s="129" t="s">
        <v>9</v>
      </c>
      <c r="D24" s="129" t="s">
        <v>9</v>
      </c>
      <c r="E24" s="129">
        <v>3.1</v>
      </c>
      <c r="F24" s="129">
        <v>2.6</v>
      </c>
      <c r="G24" s="129">
        <v>7129.3</v>
      </c>
      <c r="H24" s="129" t="s">
        <v>9</v>
      </c>
      <c r="I24" s="129" t="s">
        <v>9</v>
      </c>
      <c r="J24" s="129">
        <v>6.5</v>
      </c>
      <c r="K24" s="129">
        <v>5.2</v>
      </c>
      <c r="L24" s="129">
        <v>7265.1</v>
      </c>
      <c r="M24" s="129" t="s">
        <v>9</v>
      </c>
      <c r="N24" s="129" t="s">
        <v>9</v>
      </c>
      <c r="O24" s="129">
        <v>0</v>
      </c>
      <c r="P24" s="129">
        <v>5.2</v>
      </c>
      <c r="Q24" s="249"/>
      <c r="R24" s="249"/>
      <c r="S24" s="249"/>
      <c r="T24" s="249"/>
    </row>
    <row r="25" spans="1:20">
      <c r="A25" s="248">
        <v>1981</v>
      </c>
      <c r="B25" s="129">
        <v>4111.3999999999996</v>
      </c>
      <c r="C25" s="129" t="s">
        <v>9</v>
      </c>
      <c r="D25" s="129" t="s">
        <v>9</v>
      </c>
      <c r="E25" s="129">
        <v>2.2999999999999998</v>
      </c>
      <c r="F25" s="129">
        <v>4.5999999999999996</v>
      </c>
      <c r="G25" s="129">
        <v>7871.4</v>
      </c>
      <c r="H25" s="129" t="s">
        <v>9</v>
      </c>
      <c r="I25" s="129" t="s">
        <v>9</v>
      </c>
      <c r="J25" s="129">
        <v>4.0999999999999996</v>
      </c>
      <c r="K25" s="129">
        <v>8.6</v>
      </c>
      <c r="L25" s="129">
        <v>7979.9</v>
      </c>
      <c r="M25" s="129" t="s">
        <v>9</v>
      </c>
      <c r="N25" s="129" t="s">
        <v>9</v>
      </c>
      <c r="O25" s="129">
        <v>0</v>
      </c>
      <c r="P25" s="129">
        <v>8.3000000000000007</v>
      </c>
      <c r="Q25" s="249"/>
      <c r="R25" s="249"/>
      <c r="S25" s="249"/>
      <c r="T25" s="249"/>
    </row>
    <row r="26" spans="1:20">
      <c r="A26" s="248">
        <v>1982</v>
      </c>
      <c r="B26" s="129">
        <v>4741.1000000000004</v>
      </c>
      <c r="C26" s="129" t="s">
        <v>9</v>
      </c>
      <c r="D26" s="129" t="s">
        <v>9</v>
      </c>
      <c r="E26" s="129">
        <v>1.5</v>
      </c>
      <c r="F26" s="129">
        <v>7.4</v>
      </c>
      <c r="G26" s="129">
        <v>8514.6</v>
      </c>
      <c r="H26" s="129" t="s">
        <v>9</v>
      </c>
      <c r="I26" s="129" t="s">
        <v>9</v>
      </c>
      <c r="J26" s="129">
        <v>2.7</v>
      </c>
      <c r="K26" s="129">
        <v>12.5</v>
      </c>
      <c r="L26" s="129">
        <v>8605.7000000000007</v>
      </c>
      <c r="M26" s="129" t="s">
        <v>9</v>
      </c>
      <c r="N26" s="129" t="s">
        <v>9</v>
      </c>
      <c r="O26" s="129">
        <v>0</v>
      </c>
      <c r="P26" s="129">
        <v>12.5</v>
      </c>
      <c r="Q26" s="249"/>
      <c r="R26" s="249"/>
      <c r="S26" s="249"/>
      <c r="T26" s="249"/>
    </row>
    <row r="27" spans="1:20">
      <c r="A27" s="248">
        <v>1983</v>
      </c>
      <c r="B27" s="129">
        <v>4047.1</v>
      </c>
      <c r="C27" s="129" t="s">
        <v>9</v>
      </c>
      <c r="D27" s="129" t="s">
        <v>9</v>
      </c>
      <c r="E27" s="129">
        <v>1.1000000000000001</v>
      </c>
      <c r="F27" s="129">
        <v>8.8000000000000007</v>
      </c>
      <c r="G27" s="129">
        <v>6966</v>
      </c>
      <c r="H27" s="129" t="s">
        <v>9</v>
      </c>
      <c r="I27" s="129" t="s">
        <v>9</v>
      </c>
      <c r="J27" s="129">
        <v>1.9</v>
      </c>
      <c r="K27" s="129">
        <v>14.6</v>
      </c>
      <c r="L27" s="129">
        <v>7048.5</v>
      </c>
      <c r="M27" s="129" t="s">
        <v>9</v>
      </c>
      <c r="N27" s="129" t="s">
        <v>9</v>
      </c>
      <c r="O27" s="129">
        <v>0</v>
      </c>
      <c r="P27" s="129">
        <v>14.5</v>
      </c>
      <c r="Q27" s="249"/>
      <c r="R27" s="249"/>
      <c r="S27" s="249"/>
      <c r="T27" s="249"/>
    </row>
    <row r="28" spans="1:20">
      <c r="A28" s="248">
        <v>1984</v>
      </c>
      <c r="B28" s="129">
        <v>4449.3999999999996</v>
      </c>
      <c r="C28" s="129" t="s">
        <v>9</v>
      </c>
      <c r="D28" s="129" t="s">
        <v>9</v>
      </c>
      <c r="E28" s="129">
        <v>1.8</v>
      </c>
      <c r="F28" s="129">
        <v>5.8</v>
      </c>
      <c r="G28" s="129">
        <v>7364.8</v>
      </c>
      <c r="H28" s="129" t="s">
        <v>9</v>
      </c>
      <c r="I28" s="129" t="s">
        <v>9</v>
      </c>
      <c r="J28" s="129">
        <v>2.8</v>
      </c>
      <c r="K28" s="129">
        <v>9.3000000000000007</v>
      </c>
      <c r="L28" s="129">
        <v>7470.8</v>
      </c>
      <c r="M28" s="129" t="s">
        <v>9</v>
      </c>
      <c r="N28" s="129" t="s">
        <v>9</v>
      </c>
      <c r="O28" s="129">
        <v>0</v>
      </c>
      <c r="P28" s="129">
        <v>9.1999999999999993</v>
      </c>
      <c r="Q28" s="249"/>
      <c r="R28" s="249"/>
      <c r="S28" s="249"/>
      <c r="T28" s="249"/>
    </row>
    <row r="29" spans="1:20">
      <c r="A29" s="248">
        <v>1985</v>
      </c>
      <c r="B29" s="129">
        <v>4487.1000000000004</v>
      </c>
      <c r="C29" s="129" t="s">
        <v>9</v>
      </c>
      <c r="D29" s="129" t="s">
        <v>9</v>
      </c>
      <c r="E29" s="129">
        <v>1.9</v>
      </c>
      <c r="F29" s="129">
        <v>5.0999999999999996</v>
      </c>
      <c r="G29" s="129">
        <v>7074.5</v>
      </c>
      <c r="H29" s="129" t="s">
        <v>9</v>
      </c>
      <c r="I29" s="129" t="s">
        <v>9</v>
      </c>
      <c r="J29" s="129">
        <v>2.8</v>
      </c>
      <c r="K29" s="129">
        <v>7.8</v>
      </c>
      <c r="L29" s="129">
        <v>7182.2</v>
      </c>
      <c r="M29" s="129" t="s">
        <v>9</v>
      </c>
      <c r="N29" s="129" t="s">
        <v>9</v>
      </c>
      <c r="O29" s="129">
        <v>0</v>
      </c>
      <c r="P29" s="129">
        <v>7.7</v>
      </c>
      <c r="Q29" s="249"/>
      <c r="R29" s="249"/>
      <c r="S29" s="249"/>
      <c r="T29" s="249"/>
    </row>
    <row r="30" spans="1:20">
      <c r="A30" s="248">
        <v>1986</v>
      </c>
      <c r="B30" s="129">
        <v>4751.6000000000004</v>
      </c>
      <c r="C30" s="129" t="s">
        <v>9</v>
      </c>
      <c r="D30" s="129" t="s">
        <v>9</v>
      </c>
      <c r="E30" s="129">
        <v>1.7</v>
      </c>
      <c r="F30" s="129">
        <v>3.1</v>
      </c>
      <c r="G30" s="129">
        <v>7375.7</v>
      </c>
      <c r="H30" s="129" t="s">
        <v>9</v>
      </c>
      <c r="I30" s="129" t="s">
        <v>9</v>
      </c>
      <c r="J30" s="129">
        <v>2.7</v>
      </c>
      <c r="K30" s="129">
        <v>4.5999999999999996</v>
      </c>
      <c r="L30" s="129">
        <v>7539.7</v>
      </c>
      <c r="M30" s="129" t="s">
        <v>9</v>
      </c>
      <c r="N30" s="129" t="s">
        <v>9</v>
      </c>
      <c r="O30" s="129">
        <v>0</v>
      </c>
      <c r="P30" s="129">
        <v>4.5999999999999996</v>
      </c>
      <c r="Q30" s="249"/>
      <c r="R30" s="249"/>
      <c r="S30" s="249"/>
      <c r="T30" s="249"/>
    </row>
    <row r="31" spans="1:20">
      <c r="A31" s="248">
        <v>1987</v>
      </c>
      <c r="B31" s="129">
        <v>5275.1</v>
      </c>
      <c r="C31" s="129" t="s">
        <v>9</v>
      </c>
      <c r="D31" s="129" t="s">
        <v>9</v>
      </c>
      <c r="E31" s="129">
        <v>1.3</v>
      </c>
      <c r="F31" s="129">
        <v>8.5</v>
      </c>
      <c r="G31" s="129">
        <v>7845</v>
      </c>
      <c r="H31" s="129" t="s">
        <v>9</v>
      </c>
      <c r="I31" s="129" t="s">
        <v>9</v>
      </c>
      <c r="J31" s="129">
        <v>2</v>
      </c>
      <c r="K31" s="129">
        <v>12.4</v>
      </c>
      <c r="L31" s="129">
        <v>8073</v>
      </c>
      <c r="M31" s="129" t="s">
        <v>9</v>
      </c>
      <c r="N31" s="129" t="s">
        <v>9</v>
      </c>
      <c r="O31" s="129">
        <v>0</v>
      </c>
      <c r="P31" s="129">
        <v>12.4</v>
      </c>
      <c r="Q31" s="249"/>
      <c r="R31" s="249"/>
      <c r="S31" s="249"/>
      <c r="T31" s="249"/>
    </row>
    <row r="32" spans="1:20">
      <c r="A32" s="248">
        <v>1988</v>
      </c>
      <c r="B32" s="129">
        <v>5913.9</v>
      </c>
      <c r="C32" s="129" t="s">
        <v>9</v>
      </c>
      <c r="D32" s="129" t="s">
        <v>9</v>
      </c>
      <c r="E32" s="129">
        <v>4</v>
      </c>
      <c r="F32" s="129">
        <v>7.5</v>
      </c>
      <c r="G32" s="129">
        <v>8435.2999999999993</v>
      </c>
      <c r="H32" s="129" t="s">
        <v>9</v>
      </c>
      <c r="I32" s="129" t="s">
        <v>9</v>
      </c>
      <c r="J32" s="129">
        <v>5.6</v>
      </c>
      <c r="K32" s="129">
        <v>10.5</v>
      </c>
      <c r="L32" s="129">
        <v>8667.7999999999993</v>
      </c>
      <c r="M32" s="129" t="s">
        <v>9</v>
      </c>
      <c r="N32" s="129" t="s">
        <v>9</v>
      </c>
      <c r="O32" s="129">
        <v>0</v>
      </c>
      <c r="P32" s="129">
        <v>10.5</v>
      </c>
      <c r="Q32" s="249"/>
      <c r="R32" s="249"/>
      <c r="S32" s="249"/>
      <c r="T32" s="249"/>
    </row>
    <row r="33" spans="1:20">
      <c r="A33" s="248">
        <v>1989</v>
      </c>
      <c r="B33" s="129">
        <v>6409.2</v>
      </c>
      <c r="C33" s="129" t="s">
        <v>9</v>
      </c>
      <c r="D33" s="129" t="s">
        <v>9</v>
      </c>
      <c r="E33" s="129">
        <v>0.6</v>
      </c>
      <c r="F33" s="129">
        <v>7.6</v>
      </c>
      <c r="G33" s="129">
        <v>8888.2000000000007</v>
      </c>
      <c r="H33" s="129" t="s">
        <v>9</v>
      </c>
      <c r="I33" s="129" t="s">
        <v>9</v>
      </c>
      <c r="J33" s="129">
        <v>0.8</v>
      </c>
      <c r="K33" s="129">
        <v>10.4</v>
      </c>
      <c r="L33" s="129">
        <v>9121.1</v>
      </c>
      <c r="M33" s="129" t="s">
        <v>9</v>
      </c>
      <c r="N33" s="129" t="s">
        <v>9</v>
      </c>
      <c r="O33" s="129">
        <v>0</v>
      </c>
      <c r="P33" s="129">
        <v>10.5</v>
      </c>
      <c r="Q33" s="249"/>
      <c r="R33" s="249"/>
      <c r="S33" s="249"/>
      <c r="T33" s="249"/>
    </row>
    <row r="34" spans="1:20">
      <c r="A34" s="248">
        <v>1990</v>
      </c>
      <c r="B34" s="129">
        <v>6813.1</v>
      </c>
      <c r="C34" s="129" t="s">
        <v>9</v>
      </c>
      <c r="D34" s="129" t="s">
        <v>9</v>
      </c>
      <c r="E34" s="129">
        <v>2.1</v>
      </c>
      <c r="F34" s="129">
        <v>3.2</v>
      </c>
      <c r="G34" s="129">
        <v>9196</v>
      </c>
      <c r="H34" s="129" t="s">
        <v>9</v>
      </c>
      <c r="I34" s="129" t="s">
        <v>9</v>
      </c>
      <c r="J34" s="129">
        <v>2.8</v>
      </c>
      <c r="K34" s="129">
        <v>4.2</v>
      </c>
      <c r="L34" s="129">
        <v>9477.7000000000007</v>
      </c>
      <c r="M34" s="129" t="s">
        <v>9</v>
      </c>
      <c r="N34" s="129" t="s">
        <v>9</v>
      </c>
      <c r="O34" s="129">
        <v>0</v>
      </c>
      <c r="P34" s="129">
        <v>4.2</v>
      </c>
      <c r="Q34" s="249"/>
      <c r="R34" s="249"/>
      <c r="S34" s="249"/>
      <c r="T34" s="249"/>
    </row>
    <row r="35" spans="1:20">
      <c r="A35" s="248">
        <v>1991</v>
      </c>
      <c r="B35" s="129">
        <v>7778.4</v>
      </c>
      <c r="C35" s="129" t="s">
        <v>9</v>
      </c>
      <c r="D35" s="129" t="s">
        <v>9</v>
      </c>
      <c r="E35" s="129">
        <v>0.7</v>
      </c>
      <c r="F35" s="129">
        <v>3.8</v>
      </c>
      <c r="G35" s="129">
        <v>10722.5</v>
      </c>
      <c r="H35" s="129" t="s">
        <v>9</v>
      </c>
      <c r="I35" s="129" t="s">
        <v>9</v>
      </c>
      <c r="J35" s="129">
        <v>0.9</v>
      </c>
      <c r="K35" s="129">
        <v>5</v>
      </c>
      <c r="L35" s="129">
        <v>10974.8</v>
      </c>
      <c r="M35" s="129" t="s">
        <v>9</v>
      </c>
      <c r="N35" s="129" t="s">
        <v>9</v>
      </c>
      <c r="O35" s="129">
        <v>0</v>
      </c>
      <c r="P35" s="129">
        <v>5</v>
      </c>
      <c r="Q35" s="249"/>
      <c r="R35" s="249"/>
      <c r="S35" s="249"/>
      <c r="T35" s="249"/>
    </row>
    <row r="36" spans="1:20">
      <c r="A36" s="248">
        <v>1992</v>
      </c>
      <c r="B36" s="129">
        <v>7458.4</v>
      </c>
      <c r="C36" s="129" t="s">
        <v>9</v>
      </c>
      <c r="D36" s="129" t="s">
        <v>9</v>
      </c>
      <c r="E36" s="129">
        <v>0.3</v>
      </c>
      <c r="F36" s="129">
        <v>4.9000000000000004</v>
      </c>
      <c r="G36" s="129">
        <v>10459.799999999999</v>
      </c>
      <c r="H36" s="129" t="s">
        <v>9</v>
      </c>
      <c r="I36" s="129" t="s">
        <v>9</v>
      </c>
      <c r="J36" s="129">
        <v>0.4</v>
      </c>
      <c r="K36" s="129">
        <v>6.7</v>
      </c>
      <c r="L36" s="129">
        <v>10723.3</v>
      </c>
      <c r="M36" s="129" t="s">
        <v>9</v>
      </c>
      <c r="N36" s="129" t="s">
        <v>9</v>
      </c>
      <c r="O36" s="129">
        <v>0</v>
      </c>
      <c r="P36" s="129">
        <v>6.7</v>
      </c>
      <c r="Q36" s="249"/>
      <c r="R36" s="249"/>
      <c r="S36" s="249"/>
      <c r="T36" s="249"/>
    </row>
    <row r="37" spans="1:20">
      <c r="A37" s="248">
        <v>1993</v>
      </c>
      <c r="B37" s="129">
        <v>5990.8</v>
      </c>
      <c r="C37" s="129" t="s">
        <v>9</v>
      </c>
      <c r="D37" s="129" t="s">
        <v>9</v>
      </c>
      <c r="E37" s="129">
        <v>1</v>
      </c>
      <c r="F37" s="129">
        <v>9.9</v>
      </c>
      <c r="G37" s="129">
        <v>8665.2999999999993</v>
      </c>
      <c r="H37" s="129" t="s">
        <v>9</v>
      </c>
      <c r="I37" s="129" t="s">
        <v>9</v>
      </c>
      <c r="J37" s="129">
        <v>1.5</v>
      </c>
      <c r="K37" s="129">
        <v>14.1</v>
      </c>
      <c r="L37" s="129">
        <v>8841.4</v>
      </c>
      <c r="M37" s="129" t="s">
        <v>9</v>
      </c>
      <c r="N37" s="129" t="s">
        <v>9</v>
      </c>
      <c r="O37" s="129">
        <v>0</v>
      </c>
      <c r="P37" s="129">
        <v>14.1</v>
      </c>
      <c r="Q37" s="249"/>
      <c r="R37" s="249"/>
      <c r="S37" s="249"/>
      <c r="T37" s="249"/>
    </row>
    <row r="38" spans="1:20">
      <c r="A38" s="248">
        <v>1994</v>
      </c>
      <c r="B38" s="129">
        <v>5737.5</v>
      </c>
      <c r="C38" s="129" t="s">
        <v>9</v>
      </c>
      <c r="D38" s="129" t="s">
        <v>9</v>
      </c>
      <c r="E38" s="129">
        <v>3.5</v>
      </c>
      <c r="F38" s="129">
        <v>10.9</v>
      </c>
      <c r="G38" s="129">
        <v>8070.1</v>
      </c>
      <c r="H38" s="129" t="s">
        <v>9</v>
      </c>
      <c r="I38" s="129" t="s">
        <v>9</v>
      </c>
      <c r="J38" s="129">
        <v>5.0999999999999996</v>
      </c>
      <c r="K38" s="129">
        <v>14.8</v>
      </c>
      <c r="L38" s="129">
        <v>8188.8</v>
      </c>
      <c r="M38" s="129" t="s">
        <v>9</v>
      </c>
      <c r="N38" s="129" t="s">
        <v>9</v>
      </c>
      <c r="O38" s="129">
        <v>0</v>
      </c>
      <c r="P38" s="129">
        <v>14.9</v>
      </c>
      <c r="Q38" s="249"/>
      <c r="R38" s="249"/>
      <c r="S38" s="249"/>
      <c r="T38" s="249"/>
    </row>
    <row r="39" spans="1:20">
      <c r="A39" s="248">
        <v>1995</v>
      </c>
      <c r="B39" s="129">
        <v>6326.7</v>
      </c>
      <c r="C39" s="129" t="s">
        <v>9</v>
      </c>
      <c r="D39" s="129" t="s">
        <v>9</v>
      </c>
      <c r="E39" s="129">
        <v>11.5</v>
      </c>
      <c r="F39" s="129">
        <v>5.9</v>
      </c>
      <c r="G39" s="129">
        <v>8797.2000000000007</v>
      </c>
      <c r="H39" s="129" t="s">
        <v>9</v>
      </c>
      <c r="I39" s="129" t="s">
        <v>9</v>
      </c>
      <c r="J39" s="129">
        <v>15.8</v>
      </c>
      <c r="K39" s="129">
        <v>8</v>
      </c>
      <c r="L39" s="129">
        <v>8856.2999999999993</v>
      </c>
      <c r="M39" s="129" t="s">
        <v>9</v>
      </c>
      <c r="N39" s="129" t="s">
        <v>9</v>
      </c>
      <c r="O39" s="129">
        <v>0</v>
      </c>
      <c r="P39" s="129">
        <v>8.1</v>
      </c>
      <c r="Q39" s="249"/>
      <c r="R39" s="249"/>
      <c r="S39" s="249"/>
      <c r="T39" s="249"/>
    </row>
    <row r="40" spans="1:20">
      <c r="A40" s="248">
        <v>1996</v>
      </c>
      <c r="B40" s="129">
        <v>6504.1</v>
      </c>
      <c r="C40" s="129" t="s">
        <v>9</v>
      </c>
      <c r="D40" s="129" t="s">
        <v>9</v>
      </c>
      <c r="E40" s="129">
        <v>1.3</v>
      </c>
      <c r="F40" s="129">
        <v>11.3</v>
      </c>
      <c r="G40" s="129">
        <v>8652</v>
      </c>
      <c r="H40" s="129" t="s">
        <v>9</v>
      </c>
      <c r="I40" s="129" t="s">
        <v>9</v>
      </c>
      <c r="J40" s="129">
        <v>1.8</v>
      </c>
      <c r="K40" s="129">
        <v>14.8</v>
      </c>
      <c r="L40" s="129">
        <v>8732.2000000000007</v>
      </c>
      <c r="M40" s="129" t="s">
        <v>9</v>
      </c>
      <c r="N40" s="129" t="s">
        <v>9</v>
      </c>
      <c r="O40" s="129">
        <v>0</v>
      </c>
      <c r="P40" s="129">
        <v>14.8</v>
      </c>
      <c r="Q40" s="249"/>
      <c r="R40" s="249"/>
      <c r="S40" s="249"/>
      <c r="T40" s="249"/>
    </row>
    <row r="41" spans="1:20">
      <c r="A41" s="248">
        <v>1997</v>
      </c>
      <c r="B41" s="129">
        <v>6324.5</v>
      </c>
      <c r="C41" s="129" t="s">
        <v>9</v>
      </c>
      <c r="D41" s="129" t="s">
        <v>9</v>
      </c>
      <c r="E41" s="129">
        <v>2.2999999999999998</v>
      </c>
      <c r="F41" s="129">
        <v>12.9</v>
      </c>
      <c r="G41" s="129">
        <v>7962.4</v>
      </c>
      <c r="H41" s="129" t="s">
        <v>9</v>
      </c>
      <c r="I41" s="129" t="s">
        <v>9</v>
      </c>
      <c r="J41" s="129">
        <v>3</v>
      </c>
      <c r="K41" s="129">
        <v>15.8</v>
      </c>
      <c r="L41" s="129">
        <v>7949.3</v>
      </c>
      <c r="M41" s="129" t="s">
        <v>9</v>
      </c>
      <c r="N41" s="129" t="s">
        <v>9</v>
      </c>
      <c r="O41" s="129">
        <v>0</v>
      </c>
      <c r="P41" s="129">
        <v>15.8</v>
      </c>
      <c r="Q41" s="249"/>
      <c r="R41" s="249"/>
      <c r="S41" s="249"/>
      <c r="T41" s="249"/>
    </row>
    <row r="42" spans="1:20">
      <c r="A42" s="248">
        <v>1998</v>
      </c>
      <c r="B42" s="129">
        <v>6183.7</v>
      </c>
      <c r="C42" s="129" t="s">
        <v>9</v>
      </c>
      <c r="D42" s="129" t="s">
        <v>9</v>
      </c>
      <c r="E42" s="129">
        <v>1.1000000000000001</v>
      </c>
      <c r="F42" s="129">
        <v>6.3</v>
      </c>
      <c r="G42" s="129">
        <v>7668.4</v>
      </c>
      <c r="H42" s="129" t="s">
        <v>9</v>
      </c>
      <c r="I42" s="129" t="s">
        <v>9</v>
      </c>
      <c r="J42" s="129">
        <v>1.5</v>
      </c>
      <c r="K42" s="129">
        <v>7.7</v>
      </c>
      <c r="L42" s="129">
        <v>7700.5</v>
      </c>
      <c r="M42" s="129" t="s">
        <v>9</v>
      </c>
      <c r="N42" s="129" t="s">
        <v>9</v>
      </c>
      <c r="O42" s="129">
        <v>0</v>
      </c>
      <c r="P42" s="129">
        <v>7.6</v>
      </c>
      <c r="Q42" s="249"/>
      <c r="R42" s="249"/>
      <c r="S42" s="249"/>
      <c r="T42" s="249"/>
    </row>
    <row r="43" spans="1:20">
      <c r="A43" s="248">
        <v>1999</v>
      </c>
      <c r="B43" s="129">
        <v>7154.2</v>
      </c>
      <c r="C43" s="129" t="s">
        <v>9</v>
      </c>
      <c r="D43" s="129" t="s">
        <v>9</v>
      </c>
      <c r="E43" s="129">
        <v>2.4</v>
      </c>
      <c r="F43" s="129">
        <v>5.3</v>
      </c>
      <c r="G43" s="129">
        <v>8748.2999999999993</v>
      </c>
      <c r="H43" s="129" t="s">
        <v>9</v>
      </c>
      <c r="I43" s="129" t="s">
        <v>9</v>
      </c>
      <c r="J43" s="129">
        <v>3.1</v>
      </c>
      <c r="K43" s="129">
        <v>6.3</v>
      </c>
      <c r="L43" s="129">
        <v>8766.4</v>
      </c>
      <c r="M43" s="129" t="s">
        <v>9</v>
      </c>
      <c r="N43" s="129" t="s">
        <v>9</v>
      </c>
      <c r="O43" s="129">
        <v>0</v>
      </c>
      <c r="P43" s="129">
        <v>6.3</v>
      </c>
      <c r="Q43" s="249"/>
      <c r="R43" s="249"/>
      <c r="S43" s="249"/>
      <c r="T43" s="249"/>
    </row>
    <row r="44" spans="1:20">
      <c r="A44" s="248">
        <v>2000</v>
      </c>
      <c r="B44" s="129">
        <v>7140.2</v>
      </c>
      <c r="C44" s="129" t="s">
        <v>9</v>
      </c>
      <c r="D44" s="129" t="s">
        <v>9</v>
      </c>
      <c r="E44" s="129">
        <v>2</v>
      </c>
      <c r="F44" s="129">
        <v>18.600000000000001</v>
      </c>
      <c r="G44" s="129">
        <v>8475.1</v>
      </c>
      <c r="H44" s="129" t="s">
        <v>9</v>
      </c>
      <c r="I44" s="129" t="s">
        <v>9</v>
      </c>
      <c r="J44" s="129">
        <v>2.4</v>
      </c>
      <c r="K44" s="129">
        <v>21.6</v>
      </c>
      <c r="L44" s="129">
        <v>8463.6</v>
      </c>
      <c r="M44" s="129" t="s">
        <v>9</v>
      </c>
      <c r="N44" s="129" t="s">
        <v>9</v>
      </c>
      <c r="O44" s="129">
        <v>0</v>
      </c>
      <c r="P44" s="129">
        <v>21.5</v>
      </c>
      <c r="Q44" s="249"/>
      <c r="R44" s="249"/>
      <c r="S44" s="249"/>
      <c r="T44" s="249"/>
    </row>
    <row r="45" spans="1:20">
      <c r="A45" s="248">
        <v>2001</v>
      </c>
      <c r="B45" s="129">
        <v>7473.6</v>
      </c>
      <c r="C45" s="129" t="s">
        <v>9</v>
      </c>
      <c r="D45" s="129" t="s">
        <v>9</v>
      </c>
      <c r="E45" s="129">
        <v>4</v>
      </c>
      <c r="F45" s="129">
        <v>19.600000000000001</v>
      </c>
      <c r="G45" s="129">
        <v>8893.2999999999993</v>
      </c>
      <c r="H45" s="129" t="s">
        <v>9</v>
      </c>
      <c r="I45" s="129" t="s">
        <v>9</v>
      </c>
      <c r="J45" s="129">
        <v>5</v>
      </c>
      <c r="K45" s="129">
        <v>23.2</v>
      </c>
      <c r="L45" s="129">
        <v>8889.1</v>
      </c>
      <c r="M45" s="129" t="s">
        <v>9</v>
      </c>
      <c r="N45" s="129" t="s">
        <v>9</v>
      </c>
      <c r="O45" s="129">
        <v>0</v>
      </c>
      <c r="P45" s="129">
        <v>22.8</v>
      </c>
      <c r="Q45" s="249"/>
      <c r="R45" s="249"/>
      <c r="S45" s="249"/>
      <c r="T45" s="249"/>
    </row>
    <row r="46" spans="1:20">
      <c r="A46" s="248">
        <v>2002</v>
      </c>
      <c r="B46" s="129">
        <v>7592.4</v>
      </c>
      <c r="C46" s="129" t="s">
        <v>9</v>
      </c>
      <c r="D46" s="129" t="s">
        <v>9</v>
      </c>
      <c r="E46" s="129">
        <v>3.2</v>
      </c>
      <c r="F46" s="129">
        <v>2.2999999999999998</v>
      </c>
      <c r="G46" s="129">
        <v>9033</v>
      </c>
      <c r="H46" s="129" t="s">
        <v>9</v>
      </c>
      <c r="I46" s="129" t="s">
        <v>9</v>
      </c>
      <c r="J46" s="129">
        <v>3.9</v>
      </c>
      <c r="K46" s="129">
        <v>2.7</v>
      </c>
      <c r="L46" s="129">
        <v>9012.4</v>
      </c>
      <c r="M46" s="129" t="s">
        <v>9</v>
      </c>
      <c r="N46" s="129" t="s">
        <v>9</v>
      </c>
      <c r="O46" s="129">
        <v>0</v>
      </c>
      <c r="P46" s="129">
        <v>2.7</v>
      </c>
      <c r="Q46" s="249"/>
      <c r="R46" s="249"/>
      <c r="S46" s="249"/>
      <c r="T46" s="249"/>
    </row>
    <row r="47" spans="1:20">
      <c r="A47" s="248">
        <v>2003</v>
      </c>
      <c r="B47" s="129">
        <v>8114.2</v>
      </c>
      <c r="C47" s="129" t="s">
        <v>9</v>
      </c>
      <c r="D47" s="129" t="s">
        <v>9</v>
      </c>
      <c r="E47" s="129">
        <v>2.7</v>
      </c>
      <c r="F47" s="129">
        <v>17</v>
      </c>
      <c r="G47" s="129">
        <v>9361.5</v>
      </c>
      <c r="H47" s="129" t="s">
        <v>9</v>
      </c>
      <c r="I47" s="129" t="s">
        <v>9</v>
      </c>
      <c r="J47" s="129">
        <v>3.1</v>
      </c>
      <c r="K47" s="129">
        <v>19.3</v>
      </c>
      <c r="L47" s="129">
        <v>9360.2999999999993</v>
      </c>
      <c r="M47" s="129" t="s">
        <v>9</v>
      </c>
      <c r="N47" s="129" t="s">
        <v>9</v>
      </c>
      <c r="O47" s="129">
        <v>0</v>
      </c>
      <c r="P47" s="129">
        <v>19.399999999999999</v>
      </c>
      <c r="Q47" s="249"/>
      <c r="R47" s="249"/>
      <c r="S47" s="249"/>
      <c r="T47" s="249"/>
    </row>
    <row r="48" spans="1:20">
      <c r="A48" s="248">
        <v>2004</v>
      </c>
      <c r="B48" s="129">
        <v>8442.7000000000007</v>
      </c>
      <c r="C48" s="129" t="s">
        <v>9</v>
      </c>
      <c r="D48" s="129" t="s">
        <v>9</v>
      </c>
      <c r="E48" s="129">
        <v>1</v>
      </c>
      <c r="F48" s="129">
        <v>30.1</v>
      </c>
      <c r="G48" s="129">
        <v>9306.9</v>
      </c>
      <c r="H48" s="129" t="s">
        <v>9</v>
      </c>
      <c r="I48" s="129" t="s">
        <v>9</v>
      </c>
      <c r="J48" s="129">
        <v>1.2</v>
      </c>
      <c r="K48" s="129">
        <v>32.5</v>
      </c>
      <c r="L48" s="129">
        <v>9293.5</v>
      </c>
      <c r="M48" s="129" t="s">
        <v>9</v>
      </c>
      <c r="N48" s="129" t="s">
        <v>9</v>
      </c>
      <c r="O48" s="129">
        <v>0</v>
      </c>
      <c r="P48" s="129">
        <v>32.5</v>
      </c>
      <c r="Q48" s="249"/>
      <c r="R48" s="249"/>
      <c r="S48" s="249"/>
      <c r="T48" s="249"/>
    </row>
    <row r="49" spans="1:20">
      <c r="A49" s="248">
        <v>2005</v>
      </c>
      <c r="B49" s="129">
        <v>10083.799999999999</v>
      </c>
      <c r="C49" s="129" t="s">
        <v>9</v>
      </c>
      <c r="D49" s="129" t="s">
        <v>9</v>
      </c>
      <c r="E49" s="129">
        <v>0.3</v>
      </c>
      <c r="F49" s="129">
        <v>18.600000000000001</v>
      </c>
      <c r="G49" s="129">
        <v>10764.3</v>
      </c>
      <c r="H49" s="129" t="s">
        <v>9</v>
      </c>
      <c r="I49" s="129" t="s">
        <v>9</v>
      </c>
      <c r="J49" s="129">
        <v>0.3</v>
      </c>
      <c r="K49" s="129">
        <v>19.7</v>
      </c>
      <c r="L49" s="129">
        <v>10756.6</v>
      </c>
      <c r="M49" s="129" t="s">
        <v>9</v>
      </c>
      <c r="N49" s="129" t="s">
        <v>9</v>
      </c>
      <c r="O49" s="129">
        <v>0</v>
      </c>
      <c r="P49" s="129">
        <v>19.600000000000001</v>
      </c>
      <c r="Q49" s="249"/>
      <c r="R49" s="249"/>
      <c r="S49" s="249"/>
      <c r="T49" s="249"/>
    </row>
    <row r="50" spans="1:20">
      <c r="A50" s="248">
        <v>2006</v>
      </c>
      <c r="B50" s="129">
        <v>11834.8</v>
      </c>
      <c r="C50" s="129" t="s">
        <v>9</v>
      </c>
      <c r="D50" s="129" t="s">
        <v>9</v>
      </c>
      <c r="E50" s="129">
        <v>1.7</v>
      </c>
      <c r="F50" s="129">
        <v>2.1</v>
      </c>
      <c r="G50" s="129">
        <v>12223.3</v>
      </c>
      <c r="H50" s="129" t="s">
        <v>9</v>
      </c>
      <c r="I50" s="129" t="s">
        <v>9</v>
      </c>
      <c r="J50" s="129">
        <v>1.8</v>
      </c>
      <c r="K50" s="129">
        <v>2.1</v>
      </c>
      <c r="L50" s="129">
        <v>12223.4</v>
      </c>
      <c r="M50" s="129" t="s">
        <v>9</v>
      </c>
      <c r="N50" s="129" t="s">
        <v>9</v>
      </c>
      <c r="O50" s="129">
        <v>0</v>
      </c>
      <c r="P50" s="129">
        <v>2.1</v>
      </c>
      <c r="Q50" s="249"/>
      <c r="R50" s="249"/>
      <c r="S50" s="249"/>
      <c r="T50" s="249"/>
    </row>
    <row r="51" spans="1:20">
      <c r="A51" s="248">
        <v>2007</v>
      </c>
      <c r="B51" s="129">
        <v>12757.7</v>
      </c>
      <c r="C51" s="129" t="s">
        <v>9</v>
      </c>
      <c r="D51" s="129" t="s">
        <v>9</v>
      </c>
      <c r="E51" s="129">
        <v>0</v>
      </c>
      <c r="F51" s="129">
        <v>10.9</v>
      </c>
      <c r="G51" s="129">
        <v>12757.7</v>
      </c>
      <c r="H51" s="129" t="s">
        <v>9</v>
      </c>
      <c r="I51" s="129" t="s">
        <v>9</v>
      </c>
      <c r="J51" s="129">
        <v>0</v>
      </c>
      <c r="K51" s="129">
        <v>10.9</v>
      </c>
      <c r="L51" s="129">
        <v>12757.7</v>
      </c>
      <c r="M51" s="129" t="s">
        <v>9</v>
      </c>
      <c r="N51" s="129" t="s">
        <v>9</v>
      </c>
      <c r="O51" s="129">
        <v>0</v>
      </c>
      <c r="P51" s="129">
        <v>10.9</v>
      </c>
      <c r="Q51" s="249"/>
      <c r="R51" s="249"/>
      <c r="S51" s="249"/>
      <c r="T51" s="249"/>
    </row>
    <row r="52" spans="1:20">
      <c r="A52" s="248">
        <v>2008</v>
      </c>
      <c r="B52" s="129">
        <v>12587.4</v>
      </c>
      <c r="C52" s="129" t="s">
        <v>9</v>
      </c>
      <c r="D52" s="129" t="s">
        <v>9</v>
      </c>
      <c r="E52" s="129">
        <v>0</v>
      </c>
      <c r="F52" s="129">
        <v>16.8</v>
      </c>
      <c r="G52" s="129">
        <v>11955</v>
      </c>
      <c r="H52" s="129" t="s">
        <v>9</v>
      </c>
      <c r="I52" s="129" t="s">
        <v>9</v>
      </c>
      <c r="J52" s="129">
        <v>0</v>
      </c>
      <c r="K52" s="129">
        <v>16.2</v>
      </c>
      <c r="L52" s="129">
        <v>11950.4</v>
      </c>
      <c r="M52" s="129" t="s">
        <v>9</v>
      </c>
      <c r="N52" s="129" t="s">
        <v>9</v>
      </c>
      <c r="O52" s="129">
        <v>0</v>
      </c>
      <c r="P52" s="129">
        <v>16.2</v>
      </c>
      <c r="Q52" s="249"/>
      <c r="R52" s="249"/>
      <c r="S52" s="249"/>
      <c r="T52" s="249"/>
    </row>
    <row r="53" spans="1:20">
      <c r="A53" s="248">
        <v>2009</v>
      </c>
      <c r="B53" s="129">
        <v>14803.1</v>
      </c>
      <c r="C53" s="129" t="s">
        <v>9</v>
      </c>
      <c r="D53" s="129" t="s">
        <v>9</v>
      </c>
      <c r="E53" s="129">
        <v>0</v>
      </c>
      <c r="F53" s="129">
        <v>0.7</v>
      </c>
      <c r="G53" s="129">
        <v>13712.5</v>
      </c>
      <c r="H53" s="129" t="s">
        <v>9</v>
      </c>
      <c r="I53" s="129" t="s">
        <v>9</v>
      </c>
      <c r="J53" s="129">
        <v>0</v>
      </c>
      <c r="K53" s="129">
        <v>0.7</v>
      </c>
      <c r="L53" s="129">
        <v>13772.6</v>
      </c>
      <c r="M53" s="129" t="s">
        <v>9</v>
      </c>
      <c r="N53" s="129" t="s">
        <v>9</v>
      </c>
      <c r="O53" s="129">
        <v>0</v>
      </c>
      <c r="P53" s="129">
        <v>0.7</v>
      </c>
      <c r="Q53" s="249"/>
      <c r="R53" s="249"/>
      <c r="S53" s="249"/>
      <c r="T53" s="249"/>
    </row>
    <row r="54" spans="1:20">
      <c r="A54" s="248">
        <v>2010</v>
      </c>
      <c r="B54" s="129">
        <v>17082</v>
      </c>
      <c r="C54" s="129" t="s">
        <v>9</v>
      </c>
      <c r="D54" s="129" t="s">
        <v>9</v>
      </c>
      <c r="E54" s="129" t="s">
        <v>9</v>
      </c>
      <c r="F54" s="129">
        <v>30.2</v>
      </c>
      <c r="G54" s="129">
        <v>15253.2</v>
      </c>
      <c r="H54" s="129" t="s">
        <v>9</v>
      </c>
      <c r="I54" s="129" t="s">
        <v>9</v>
      </c>
      <c r="J54" s="129" t="s">
        <v>9</v>
      </c>
      <c r="K54" s="129">
        <v>27.1</v>
      </c>
      <c r="L54" s="129">
        <v>15294.6</v>
      </c>
      <c r="M54" s="129" t="s">
        <v>9</v>
      </c>
      <c r="N54" s="129" t="s">
        <v>9</v>
      </c>
      <c r="O54" s="129" t="s">
        <v>9</v>
      </c>
      <c r="P54" s="129">
        <v>27.2</v>
      </c>
      <c r="Q54" s="249"/>
      <c r="R54" s="249"/>
      <c r="S54" s="249"/>
      <c r="T54" s="249"/>
    </row>
    <row r="55" spans="1:20">
      <c r="A55" s="248">
        <v>2011</v>
      </c>
      <c r="B55" s="129">
        <v>17236.900000000001</v>
      </c>
      <c r="C55" s="129" t="s">
        <v>9</v>
      </c>
      <c r="D55" s="129" t="s">
        <v>9</v>
      </c>
      <c r="E55" s="129" t="s">
        <v>9</v>
      </c>
      <c r="F55" s="129">
        <v>29</v>
      </c>
      <c r="G55" s="129">
        <v>14767.1</v>
      </c>
      <c r="H55" s="129" t="s">
        <v>9</v>
      </c>
      <c r="I55" s="129" t="s">
        <v>9</v>
      </c>
      <c r="J55" s="129" t="s">
        <v>9</v>
      </c>
      <c r="K55" s="129">
        <v>25.1</v>
      </c>
      <c r="L55" s="129">
        <v>14778.4</v>
      </c>
      <c r="M55" s="129" t="s">
        <v>9</v>
      </c>
      <c r="N55" s="129" t="s">
        <v>9</v>
      </c>
      <c r="O55" s="129" t="s">
        <v>9</v>
      </c>
      <c r="P55" s="129">
        <v>25.3</v>
      </c>
      <c r="Q55" s="249"/>
      <c r="R55" s="249"/>
      <c r="S55" s="249"/>
      <c r="T55" s="249"/>
    </row>
    <row r="56" spans="1:20">
      <c r="A56" s="248">
        <v>2012</v>
      </c>
      <c r="B56" s="129">
        <v>17025.7</v>
      </c>
      <c r="C56" s="129" t="s">
        <v>9</v>
      </c>
      <c r="D56" s="129" t="s">
        <v>9</v>
      </c>
      <c r="E56" s="129" t="s">
        <v>9</v>
      </c>
      <c r="F56" s="129">
        <v>24.8</v>
      </c>
      <c r="G56" s="129">
        <v>14032</v>
      </c>
      <c r="H56" s="129" t="s">
        <v>9</v>
      </c>
      <c r="I56" s="129" t="s">
        <v>9</v>
      </c>
      <c r="J56" s="129" t="s">
        <v>9</v>
      </c>
      <c r="K56" s="129">
        <v>20.7</v>
      </c>
      <c r="L56" s="129">
        <v>14047.5</v>
      </c>
      <c r="M56" s="129" t="s">
        <v>9</v>
      </c>
      <c r="N56" s="129" t="s">
        <v>9</v>
      </c>
      <c r="O56" s="129" t="s">
        <v>9</v>
      </c>
      <c r="P56" s="129">
        <v>20.8</v>
      </c>
      <c r="Q56" s="249"/>
      <c r="R56" s="249"/>
      <c r="S56" s="249"/>
      <c r="T56" s="249"/>
    </row>
    <row r="57" spans="1:20">
      <c r="A57" s="248">
        <v>2013</v>
      </c>
      <c r="B57" s="129">
        <v>17313</v>
      </c>
      <c r="C57" s="129" t="s">
        <v>9</v>
      </c>
      <c r="D57" s="129" t="s">
        <v>9</v>
      </c>
      <c r="E57" s="129" t="s">
        <v>9</v>
      </c>
      <c r="F57" s="129">
        <v>19.3</v>
      </c>
      <c r="G57" s="129">
        <v>13850.2</v>
      </c>
      <c r="H57" s="129" t="s">
        <v>9</v>
      </c>
      <c r="I57" s="129" t="s">
        <v>9</v>
      </c>
      <c r="J57" s="129" t="s">
        <v>9</v>
      </c>
      <c r="K57" s="129">
        <v>15.6</v>
      </c>
      <c r="L57" s="129">
        <v>13883</v>
      </c>
      <c r="M57" s="129" t="s">
        <v>9</v>
      </c>
      <c r="N57" s="129" t="s">
        <v>9</v>
      </c>
      <c r="O57" s="129" t="s">
        <v>9</v>
      </c>
      <c r="P57" s="129">
        <v>15.8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K60" si="0">((B57/B28)^(1/29)-1)*100</f>
        <v>4.7966190536862019</v>
      </c>
      <c r="C60" s="11" t="s">
        <v>10</v>
      </c>
      <c r="D60" s="11" t="s">
        <v>10</v>
      </c>
      <c r="E60" s="11" t="s">
        <v>10</v>
      </c>
      <c r="F60" s="11">
        <f t="shared" si="0"/>
        <v>4.2328131525679158</v>
      </c>
      <c r="G60" s="11">
        <f t="shared" si="0"/>
        <v>2.2017780037294266</v>
      </c>
      <c r="H60" s="11" t="s">
        <v>10</v>
      </c>
      <c r="I60" s="11" t="s">
        <v>10</v>
      </c>
      <c r="J60" s="11" t="s">
        <v>10</v>
      </c>
      <c r="K60" s="11">
        <f t="shared" si="0"/>
        <v>1.7996450639478079</v>
      </c>
      <c r="L60" s="11">
        <f>((L57/L28)^(1/29)-1)*100</f>
        <v>2.1597612814067579</v>
      </c>
      <c r="M60" s="11" t="s">
        <v>10</v>
      </c>
      <c r="N60" s="11" t="s">
        <v>10</v>
      </c>
      <c r="O60" s="11" t="s">
        <v>10</v>
      </c>
      <c r="P60" s="11">
        <f t="shared" ref="P60" si="1">((P57/P28)^(1/29)-1)*100</f>
        <v>1.8823467675058936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K61" si="2">((B33/B28)^(1/5)-1)*100</f>
        <v>7.5723050399395309</v>
      </c>
      <c r="C61" s="11" t="s">
        <v>10</v>
      </c>
      <c r="D61" s="11" t="s">
        <v>10</v>
      </c>
      <c r="E61" s="11">
        <f t="shared" si="2"/>
        <v>-19.72584382397693</v>
      </c>
      <c r="F61" s="11">
        <f t="shared" si="2"/>
        <v>5.5545891648483892</v>
      </c>
      <c r="G61" s="11">
        <f t="shared" si="2"/>
        <v>3.831845254441113</v>
      </c>
      <c r="H61" s="11" t="s">
        <v>10</v>
      </c>
      <c r="I61" s="11" t="s">
        <v>10</v>
      </c>
      <c r="J61" s="11">
        <f t="shared" si="2"/>
        <v>-22.16294584488292</v>
      </c>
      <c r="K61" s="11">
        <f t="shared" si="2"/>
        <v>2.2610100816012224</v>
      </c>
      <c r="L61" s="11">
        <f>((L33/L28)^(1/5)-1)*100</f>
        <v>4.0725082021946024</v>
      </c>
      <c r="M61" s="11" t="s">
        <v>10</v>
      </c>
      <c r="N61" s="11" t="s">
        <v>10</v>
      </c>
      <c r="O61" s="11" t="s">
        <v>10</v>
      </c>
      <c r="P61" s="11">
        <f t="shared" ref="P61" si="3">((P33/P28)^(1/5)-1)*100</f>
        <v>2.67868412386294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K62" si="4">((B44/B33)^(1/11)-1)*100</f>
        <v>0.98671193350359232</v>
      </c>
      <c r="C62" s="11" t="s">
        <v>10</v>
      </c>
      <c r="D62" s="11" t="s">
        <v>10</v>
      </c>
      <c r="E62" s="11">
        <f t="shared" si="4"/>
        <v>11.566659923517264</v>
      </c>
      <c r="F62" s="11">
        <f t="shared" si="4"/>
        <v>8.4766599836088687</v>
      </c>
      <c r="G62" s="11">
        <f t="shared" si="4"/>
        <v>-0.43172086482953231</v>
      </c>
      <c r="H62" s="11" t="s">
        <v>10</v>
      </c>
      <c r="I62" s="11" t="s">
        <v>10</v>
      </c>
      <c r="J62" s="11">
        <f t="shared" si="4"/>
        <v>10.503150339646661</v>
      </c>
      <c r="K62" s="11">
        <f t="shared" si="4"/>
        <v>6.8701456008261497</v>
      </c>
      <c r="L62" s="11">
        <f>((L44/L33)^(1/11)-1)*100</f>
        <v>-0.67783585681399083</v>
      </c>
      <c r="M62" s="11" t="s">
        <v>10</v>
      </c>
      <c r="N62" s="11" t="s">
        <v>10</v>
      </c>
      <c r="O62" s="11" t="s">
        <v>10</v>
      </c>
      <c r="P62" s="11">
        <f t="shared" ref="P62" si="5">((P44/P33)^(1/11)-1)*100</f>
        <v>6.7321795813410246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8.6447783866361316</v>
      </c>
      <c r="C63" s="11" t="s">
        <v>10</v>
      </c>
      <c r="D63" s="11" t="s">
        <v>10</v>
      </c>
      <c r="E63" s="11">
        <f>((E51/E44)^(1/7)-1)*100</f>
        <v>-100</v>
      </c>
      <c r="F63" s="11">
        <f t="shared" ref="F63:P63" si="6">((F51/F44)^(1/7)-1)*100</f>
        <v>-7.3501344573810741</v>
      </c>
      <c r="G63" s="11">
        <f t="shared" si="6"/>
        <v>6.01696440729933</v>
      </c>
      <c r="H63" s="11" t="s">
        <v>10</v>
      </c>
      <c r="I63" s="11" t="s">
        <v>10</v>
      </c>
      <c r="J63" s="11">
        <f>((J51/J44)^(1/7)-1)*100</f>
        <v>-100</v>
      </c>
      <c r="K63" s="11">
        <f t="shared" si="6"/>
        <v>-9.3083015645097138</v>
      </c>
      <c r="L63" s="11">
        <f t="shared" si="6"/>
        <v>6.0375312332819231</v>
      </c>
      <c r="M63" s="11" t="s">
        <v>10</v>
      </c>
      <c r="N63" s="11" t="s">
        <v>10</v>
      </c>
      <c r="O63" s="11" t="s">
        <v>10</v>
      </c>
      <c r="P63" s="11">
        <f t="shared" si="6"/>
        <v>-9.2481610751816703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5.2204102119072449</v>
      </c>
      <c r="C64" s="11" t="s">
        <v>10</v>
      </c>
      <c r="D64" s="11" t="s">
        <v>10</v>
      </c>
      <c r="E64" s="11" t="s">
        <v>10</v>
      </c>
      <c r="F64" s="11">
        <f t="shared" ref="F64:P64" si="7">((F57/F51)^(1/6)-1)*100</f>
        <v>9.990489588396855</v>
      </c>
      <c r="G64" s="11">
        <f t="shared" si="7"/>
        <v>1.3788304150835318</v>
      </c>
      <c r="H64" s="11" t="s">
        <v>10</v>
      </c>
      <c r="I64" s="11" t="s">
        <v>10</v>
      </c>
      <c r="J64" s="11" t="s">
        <v>10</v>
      </c>
      <c r="K64" s="11">
        <f t="shared" si="7"/>
        <v>6.1572558137157563</v>
      </c>
      <c r="L64" s="11">
        <f t="shared" si="7"/>
        <v>1.4188051593258866</v>
      </c>
      <c r="M64" s="11" t="s">
        <v>10</v>
      </c>
      <c r="N64" s="11" t="s">
        <v>10</v>
      </c>
      <c r="O64" s="11" t="s">
        <v>10</v>
      </c>
      <c r="P64" s="11">
        <f t="shared" si="7"/>
        <v>6.3828852569435046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K65" si="8">((B57/B44)^(1/13)-1)*100</f>
        <v>7.0506678262160616</v>
      </c>
      <c r="C65" s="11" t="s">
        <v>10</v>
      </c>
      <c r="D65" s="11" t="s">
        <v>10</v>
      </c>
      <c r="E65" s="11" t="s">
        <v>10</v>
      </c>
      <c r="F65" s="11">
        <f t="shared" si="8"/>
        <v>0.28458506274355866</v>
      </c>
      <c r="G65" s="11">
        <f t="shared" si="8"/>
        <v>3.8504911638344019</v>
      </c>
      <c r="H65" s="11" t="s">
        <v>10</v>
      </c>
      <c r="I65" s="11" t="s">
        <v>10</v>
      </c>
      <c r="J65" s="11" t="s">
        <v>10</v>
      </c>
      <c r="K65" s="11">
        <f t="shared" si="8"/>
        <v>-2.472177755919458</v>
      </c>
      <c r="L65" s="11">
        <f>((L57/L44)^(1/13)-1)*100</f>
        <v>3.8802384811754909</v>
      </c>
      <c r="M65" s="11" t="s">
        <v>10</v>
      </c>
      <c r="N65" s="11" t="s">
        <v>10</v>
      </c>
      <c r="O65" s="11" t="s">
        <v>10</v>
      </c>
      <c r="P65" s="11">
        <f t="shared" ref="P65" si="9">((P57/P44)^(1/13)-1)*100</f>
        <v>-2.3417078292754412</v>
      </c>
      <c r="Q65" s="249"/>
      <c r="R65" s="249"/>
      <c r="S65" s="249"/>
      <c r="T65" s="249"/>
    </row>
    <row r="66" spans="1:20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</row>
    <row r="67" spans="1:20" s="180" customFormat="1">
      <c r="A67" s="174" t="s">
        <v>55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</row>
    <row r="68" spans="1:20" s="180" customFormat="1">
      <c r="A68" s="168" t="s">
        <v>56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74"/>
      <c r="M68" s="128"/>
      <c r="N68" s="128"/>
      <c r="O68" s="128"/>
      <c r="P68" s="128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46"/>
  <sheetViews>
    <sheetView view="pageBreakPreview" topLeftCell="A7" zoomScaleNormal="100" zoomScaleSheetLayoutView="100" workbookViewId="0">
      <selection activeCell="C24" sqref="C24"/>
    </sheetView>
  </sheetViews>
  <sheetFormatPr defaultRowHeight="15"/>
  <cols>
    <col min="1" max="1" width="9.140625" style="68"/>
    <col min="2" max="2" width="13.85546875" style="68" bestFit="1" customWidth="1"/>
    <col min="3" max="3" width="11.140625" style="68" bestFit="1" customWidth="1"/>
    <col min="4" max="5" width="10.140625" style="68" bestFit="1" customWidth="1"/>
    <col min="6" max="8" width="10.140625" style="68" customWidth="1"/>
    <col min="9" max="11" width="10.140625" style="68" bestFit="1" customWidth="1"/>
    <col min="12" max="12" width="9.140625" style="68"/>
    <col min="13" max="33" width="0" style="68" hidden="1" customWidth="1"/>
    <col min="34" max="16384" width="9.140625" style="68"/>
  </cols>
  <sheetData>
    <row r="1" spans="1:29" ht="15" customHeight="1">
      <c r="A1" s="454" t="s">
        <v>152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29" ht="135">
      <c r="A2" s="63"/>
      <c r="B2" s="63" t="s">
        <v>16</v>
      </c>
      <c r="C2" s="63" t="s">
        <v>8</v>
      </c>
      <c r="D2" s="63" t="s">
        <v>3</v>
      </c>
      <c r="E2" s="63" t="s">
        <v>4</v>
      </c>
      <c r="F2" s="63" t="s">
        <v>36</v>
      </c>
      <c r="G2" s="63" t="s">
        <v>37</v>
      </c>
      <c r="H2" s="63" t="s">
        <v>38</v>
      </c>
      <c r="I2" s="63" t="s">
        <v>17</v>
      </c>
      <c r="J2" s="63" t="s">
        <v>6</v>
      </c>
      <c r="K2" s="63" t="s">
        <v>7</v>
      </c>
    </row>
    <row r="3" spans="1:29">
      <c r="A3" s="9"/>
      <c r="B3" s="9"/>
      <c r="C3" s="9"/>
      <c r="D3" s="9"/>
      <c r="E3" s="9"/>
      <c r="F3" s="9"/>
      <c r="G3" s="9"/>
      <c r="H3" s="9"/>
      <c r="I3" s="9"/>
      <c r="J3" s="9"/>
      <c r="K3" s="9"/>
    </row>
    <row r="4" spans="1:29">
      <c r="A4" s="63">
        <v>1984</v>
      </c>
      <c r="B4" s="11">
        <f>('1B'!B5/'1B'!L5)*100</f>
        <v>55.538550755245232</v>
      </c>
      <c r="C4" s="11">
        <f>('1B'!C5/'1B'!M5)*100</f>
        <v>63.462450884223244</v>
      </c>
      <c r="D4" s="11">
        <f>('1B'!D5/'1B'!N5)*100</f>
        <v>129.73626244364408</v>
      </c>
      <c r="E4" s="11">
        <f>('1B'!E5/'1B'!O5)*100</f>
        <v>54.578181542567961</v>
      </c>
      <c r="F4" s="11" t="s">
        <v>10</v>
      </c>
      <c r="G4" s="11" t="s">
        <v>10</v>
      </c>
      <c r="H4" s="11" t="s">
        <v>10</v>
      </c>
      <c r="I4" s="11">
        <f>('1B'!I5/'1B'!S5)*100</f>
        <v>58.721427043082031</v>
      </c>
      <c r="J4" s="11">
        <f>('1B'!J5/'1B'!T5)*100</f>
        <v>69.239454059479073</v>
      </c>
      <c r="K4" s="11">
        <f>('1B'!K5/'1B'!U5)*100</f>
        <v>45.787302611637465</v>
      </c>
    </row>
    <row r="5" spans="1:29">
      <c r="A5" s="63">
        <v>1985</v>
      </c>
      <c r="B5" s="11">
        <f>('1B'!B6/'1B'!L6)*100</f>
        <v>57.451707058494875</v>
      </c>
      <c r="C5" s="11">
        <f>('1B'!C6/'1B'!M6)*100</f>
        <v>69.023832852589152</v>
      </c>
      <c r="D5" s="11">
        <f>('1B'!D6/'1B'!N6)*100</f>
        <v>116.51507276115944</v>
      </c>
      <c r="E5" s="11">
        <f>('1B'!E6/'1B'!O6)*100</f>
        <v>73.754001230098382</v>
      </c>
      <c r="F5" s="11" t="s">
        <v>10</v>
      </c>
      <c r="G5" s="11" t="s">
        <v>10</v>
      </c>
      <c r="H5" s="11" t="s">
        <v>10</v>
      </c>
      <c r="I5" s="11">
        <f>('1B'!I6/'1B'!S6)*100</f>
        <v>61.846573223498758</v>
      </c>
      <c r="J5" s="11">
        <f>('1B'!J6/'1B'!T6)*100</f>
        <v>71.579831913815298</v>
      </c>
      <c r="K5" s="11">
        <f>('1B'!K6/'1B'!U6)*100</f>
        <v>50.269985844587438</v>
      </c>
    </row>
    <row r="6" spans="1:29">
      <c r="A6" s="63">
        <v>1986</v>
      </c>
      <c r="B6" s="11">
        <f>('1B'!B7/'1B'!L7)*100</f>
        <v>60.359580610123444</v>
      </c>
      <c r="C6" s="11" t="s">
        <v>10</v>
      </c>
      <c r="D6" s="11">
        <f>('1B'!D7/'1B'!N7)*100</f>
        <v>132.49891180835402</v>
      </c>
      <c r="E6" s="11" t="s">
        <v>10</v>
      </c>
      <c r="F6" s="11" t="s">
        <v>10</v>
      </c>
      <c r="G6" s="11" t="s">
        <v>10</v>
      </c>
      <c r="H6" s="11" t="s">
        <v>10</v>
      </c>
      <c r="I6" s="11">
        <f>('1B'!I7/'1B'!S7)*100</f>
        <v>66.889916117645114</v>
      </c>
      <c r="J6" s="11">
        <f>('1B'!J7/'1B'!T7)*100</f>
        <v>79.419035604575683</v>
      </c>
      <c r="K6" s="11">
        <f>('1B'!K7/'1B'!U7)*100</f>
        <v>51.23626958696812</v>
      </c>
    </row>
    <row r="7" spans="1:29">
      <c r="A7" s="63">
        <v>1987</v>
      </c>
      <c r="B7" s="11">
        <f>('1B'!B8/'1B'!L8)*100</f>
        <v>63.408284225657354</v>
      </c>
      <c r="C7" s="11">
        <f>('1B'!C8/'1B'!M8)*100</f>
        <v>82.98005907858284</v>
      </c>
      <c r="D7" s="11">
        <f>('1B'!D8/'1B'!N8)*100</f>
        <v>131.77077746899252</v>
      </c>
      <c r="E7" s="11">
        <f>('1B'!E8/'1B'!O8)*100</f>
        <v>87.432998874914134</v>
      </c>
      <c r="F7" s="11" t="s">
        <v>10</v>
      </c>
      <c r="G7" s="11" t="s">
        <v>10</v>
      </c>
      <c r="H7" s="11" t="s">
        <v>10</v>
      </c>
      <c r="I7" s="11">
        <f>('1B'!I8/'1B'!S8)*100</f>
        <v>76.090367396726464</v>
      </c>
      <c r="J7" s="11">
        <f>('1B'!J8/'1B'!T8)*100</f>
        <v>92.286812771709037</v>
      </c>
      <c r="K7" s="11">
        <f>('1B'!K8/'1B'!U8)*100</f>
        <v>54.751197504036789</v>
      </c>
    </row>
    <row r="8" spans="1:29">
      <c r="A8" s="63">
        <v>1988</v>
      </c>
      <c r="B8" s="11">
        <f>('1B'!B9/'1B'!L9)*100</f>
        <v>67.128862537383313</v>
      </c>
      <c r="C8" s="11" t="s">
        <v>10</v>
      </c>
      <c r="D8" s="11">
        <f>('1B'!D9/'1B'!N9)*100</f>
        <v>139.59103441086359</v>
      </c>
      <c r="E8" s="11" t="s">
        <v>10</v>
      </c>
      <c r="F8" s="11" t="s">
        <v>10</v>
      </c>
      <c r="G8" s="11" t="s">
        <v>10</v>
      </c>
      <c r="H8" s="11" t="s">
        <v>10</v>
      </c>
      <c r="I8" s="11">
        <f>('1B'!I9/'1B'!S9)*100</f>
        <v>83.596230030921376</v>
      </c>
      <c r="J8" s="11">
        <f>('1B'!J9/'1B'!T9)*100</f>
        <v>104.4686055554544</v>
      </c>
      <c r="K8" s="11">
        <f>('1B'!K9/'1B'!U9)*100</f>
        <v>56.611089729274269</v>
      </c>
    </row>
    <row r="9" spans="1:29">
      <c r="A9" s="63">
        <v>1989</v>
      </c>
      <c r="B9" s="11">
        <f>('1B'!B10/'1B'!L10)*100</f>
        <v>70.474926342969383</v>
      </c>
      <c r="C9" s="11" t="s">
        <v>10</v>
      </c>
      <c r="D9" s="11">
        <f>('1B'!D10/'1B'!N10)*100</f>
        <v>127.15486147063275</v>
      </c>
      <c r="E9" s="11" t="s">
        <v>10</v>
      </c>
      <c r="F9" s="11" t="s">
        <v>10</v>
      </c>
      <c r="G9" s="11" t="s">
        <v>10</v>
      </c>
      <c r="H9" s="11" t="s">
        <v>10</v>
      </c>
      <c r="I9" s="11">
        <f>('1B'!I10/'1B'!S10)*100</f>
        <v>81.393581344965597</v>
      </c>
      <c r="J9" s="11">
        <f>('1B'!J10/'1B'!T10)*100</f>
        <v>95.918743362669261</v>
      </c>
      <c r="K9" s="11">
        <f>('1B'!K10/'1B'!U10)*100</f>
        <v>61.846485949220472</v>
      </c>
    </row>
    <row r="10" spans="1:29">
      <c r="A10" s="63">
        <v>1990</v>
      </c>
      <c r="B10" s="11">
        <f>('1B'!B11/'1B'!L11)*100</f>
        <v>72.539896733358063</v>
      </c>
      <c r="C10" s="11" t="s">
        <v>10</v>
      </c>
      <c r="D10" s="11">
        <f>('1B'!D11/'1B'!N11)*100</f>
        <v>90.512515569949755</v>
      </c>
      <c r="E10" s="11" t="s">
        <v>10</v>
      </c>
      <c r="F10" s="11" t="s">
        <v>10</v>
      </c>
      <c r="G10" s="11" t="s">
        <v>10</v>
      </c>
      <c r="H10" s="11" t="s">
        <v>10</v>
      </c>
      <c r="I10" s="11">
        <f>('1B'!I11/'1B'!S11)*100</f>
        <v>75.690411208063722</v>
      </c>
      <c r="J10" s="11">
        <f>('1B'!J11/'1B'!T11)*100</f>
        <v>86.954087330629946</v>
      </c>
      <c r="K10" s="11">
        <f>('1B'!K11/'1B'!U11)*100</f>
        <v>60.325091180609391</v>
      </c>
    </row>
    <row r="11" spans="1:29">
      <c r="A11" s="63">
        <v>1991</v>
      </c>
      <c r="B11" s="11">
        <f>('1B'!B12/'1B'!L12)*100</f>
        <v>74.818691472291249</v>
      </c>
      <c r="C11" s="11" t="s">
        <v>10</v>
      </c>
      <c r="D11" s="11">
        <f>('1B'!D12/'1B'!N12)*100</f>
        <v>64.85611023750306</v>
      </c>
      <c r="E11" s="11">
        <f>('1B'!E12/'1B'!O12)*100</f>
        <v>83.273391381806363</v>
      </c>
      <c r="F11" s="11" t="s">
        <v>10</v>
      </c>
      <c r="G11" s="11" t="s">
        <v>10</v>
      </c>
      <c r="H11" s="11" t="s">
        <v>10</v>
      </c>
      <c r="I11" s="11" t="s">
        <v>10</v>
      </c>
      <c r="J11" s="11">
        <f>('1B'!J12/'1B'!T12)*100</f>
        <v>67.392733243212874</v>
      </c>
      <c r="K11" s="11" t="s">
        <v>10</v>
      </c>
    </row>
    <row r="12" spans="1:29">
      <c r="A12" s="63">
        <v>1992</v>
      </c>
      <c r="B12" s="11">
        <f>('1B'!B13/'1B'!L13)*100</f>
        <v>75.933065748407117</v>
      </c>
      <c r="C12" s="11" t="s">
        <v>10</v>
      </c>
      <c r="D12" s="11">
        <f>('1B'!D13/'1B'!N13)*100</f>
        <v>77.204061888019908</v>
      </c>
      <c r="E12" s="11" t="s">
        <v>10</v>
      </c>
      <c r="F12" s="11" t="s">
        <v>10</v>
      </c>
      <c r="G12" s="11" t="s">
        <v>10</v>
      </c>
      <c r="H12" s="11" t="s">
        <v>10</v>
      </c>
      <c r="I12" s="11">
        <f>('1B'!I13/'1B'!S13)*100</f>
        <v>65.255738280153011</v>
      </c>
      <c r="J12" s="11">
        <f>('1B'!J13/'1B'!T13)*100</f>
        <v>69.567915712432722</v>
      </c>
      <c r="K12" s="11">
        <f>('1B'!K13/'1B'!U13)*100</f>
        <v>60.278595321400594</v>
      </c>
    </row>
    <row r="13" spans="1:29">
      <c r="A13" s="63">
        <v>1993</v>
      </c>
      <c r="B13" s="11">
        <f>('1B'!B14/'1B'!L14)*100</f>
        <v>76.772424057641899</v>
      </c>
      <c r="C13" s="11" t="s">
        <v>10</v>
      </c>
      <c r="D13" s="11">
        <f>('1B'!D14/'1B'!N14)*100</f>
        <v>73.702143499833412</v>
      </c>
      <c r="E13" s="11" t="s">
        <v>10</v>
      </c>
      <c r="F13" s="11" t="s">
        <v>10</v>
      </c>
      <c r="G13" s="11" t="s">
        <v>10</v>
      </c>
      <c r="H13" s="11" t="s">
        <v>10</v>
      </c>
      <c r="I13" s="11">
        <f>('1B'!I14/'1B'!S14)*100</f>
        <v>64.416820272709543</v>
      </c>
      <c r="J13" s="11">
        <f>('1B'!J14/'1B'!T14)*100</f>
        <v>70.072282199132147</v>
      </c>
      <c r="K13" s="11">
        <f>('1B'!K14/'1B'!U14)*100</f>
        <v>58.044715057745464</v>
      </c>
    </row>
    <row r="14" spans="1:29">
      <c r="A14" s="63">
        <v>1994</v>
      </c>
      <c r="B14" s="11">
        <f>('1B'!B15/'1B'!L15)*100</f>
        <v>77.362639033235396</v>
      </c>
      <c r="C14" s="11" t="s">
        <v>10</v>
      </c>
      <c r="D14" s="11">
        <f>('1B'!D15/'1B'!N15)*100</f>
        <v>90.55674238036741</v>
      </c>
      <c r="E14" s="11" t="s">
        <v>10</v>
      </c>
      <c r="F14" s="11" t="s">
        <v>10</v>
      </c>
      <c r="G14" s="11" t="s">
        <v>10</v>
      </c>
      <c r="H14" s="11" t="s">
        <v>10</v>
      </c>
      <c r="I14" s="11" t="s">
        <v>10</v>
      </c>
      <c r="J14" s="11">
        <f>('1B'!J15/'1B'!T15)*100</f>
        <v>82.098331293980948</v>
      </c>
      <c r="K14" s="11" t="s">
        <v>10</v>
      </c>
      <c r="W14" s="68" t="s">
        <v>32</v>
      </c>
    </row>
    <row r="15" spans="1:29">
      <c r="A15" s="63">
        <v>1995</v>
      </c>
      <c r="B15" s="11">
        <f>('1B'!B16/'1B'!L16)*100</f>
        <v>79.050613896486965</v>
      </c>
      <c r="C15" s="11" t="s">
        <v>10</v>
      </c>
      <c r="D15" s="11">
        <f>('1B'!D16/'1B'!N16)*100</f>
        <v>111.19303149476379</v>
      </c>
      <c r="E15" s="11" t="s">
        <v>10</v>
      </c>
      <c r="F15" s="11" t="s">
        <v>10</v>
      </c>
      <c r="G15" s="11" t="s">
        <v>10</v>
      </c>
      <c r="H15" s="11" t="s">
        <v>10</v>
      </c>
      <c r="I15" s="11" t="s">
        <v>10</v>
      </c>
      <c r="J15" s="11">
        <f>('1B'!J16/'1B'!T16)*100</f>
        <v>163.55714657741615</v>
      </c>
      <c r="K15" s="11" t="s">
        <v>10</v>
      </c>
      <c r="N15" s="68" t="s">
        <v>24</v>
      </c>
      <c r="W15" s="68" t="s">
        <v>16</v>
      </c>
      <c r="X15" s="68" t="s">
        <v>8</v>
      </c>
      <c r="Y15" s="68" t="s">
        <v>3</v>
      </c>
      <c r="Z15" s="68" t="s">
        <v>4</v>
      </c>
      <c r="AA15" s="68" t="s">
        <v>17</v>
      </c>
      <c r="AB15" s="68" t="s">
        <v>6</v>
      </c>
      <c r="AC15" s="68" t="s">
        <v>7</v>
      </c>
    </row>
    <row r="16" spans="1:29" ht="15.75" thickBot="1">
      <c r="A16" s="63">
        <v>1996</v>
      </c>
      <c r="B16" s="75">
        <f>('1B'!B17/'1B'!L17)*100</f>
        <v>80.501984200330838</v>
      </c>
      <c r="C16" s="235" t="s">
        <v>10</v>
      </c>
      <c r="D16" s="75">
        <f>('1B'!D17/'1B'!N17)*100</f>
        <v>78.496115488186419</v>
      </c>
      <c r="E16" s="75" t="s">
        <v>10</v>
      </c>
      <c r="F16" s="75" t="s">
        <v>10</v>
      </c>
      <c r="G16" s="75" t="s">
        <v>10</v>
      </c>
      <c r="H16" s="75" t="s">
        <v>10</v>
      </c>
      <c r="I16" s="11" t="s">
        <v>10</v>
      </c>
      <c r="J16" s="11">
        <f>('1B'!J17/'1B'!T17)*100</f>
        <v>148.93976042911976</v>
      </c>
      <c r="K16" s="11" t="s">
        <v>10</v>
      </c>
      <c r="N16" s="68" t="s">
        <v>16</v>
      </c>
      <c r="O16" s="68" t="s">
        <v>8</v>
      </c>
      <c r="P16" s="68" t="s">
        <v>3</v>
      </c>
      <c r="Q16" s="68" t="s">
        <v>4</v>
      </c>
      <c r="R16" s="68" t="s">
        <v>17</v>
      </c>
      <c r="S16" s="68" t="s">
        <v>6</v>
      </c>
      <c r="T16" s="68" t="s">
        <v>7</v>
      </c>
      <c r="V16" s="68" t="s">
        <v>19</v>
      </c>
      <c r="W16" s="68">
        <f>((B20/B17)^(1/3)-1)*100</f>
        <v>0.86935766075171284</v>
      </c>
      <c r="X16" s="68">
        <f>((C20/C17)^(1/3)-1)*100</f>
        <v>4.7100289375281656</v>
      </c>
      <c r="Y16" s="68">
        <f>((D20/D17)^(1/3)-1)*100</f>
        <v>-1.9748784478147097</v>
      </c>
      <c r="Z16" s="68">
        <f>((E20/E17)^(1/3)-1)*100</f>
        <v>5.6957400819202864</v>
      </c>
      <c r="AA16" s="68">
        <f t="shared" ref="AA16:AC16" si="0">((I20/I17)^(1/3)-1)*100</f>
        <v>5.1908957533199684</v>
      </c>
      <c r="AB16" s="68">
        <f t="shared" si="0"/>
        <v>5.4625563588569737</v>
      </c>
      <c r="AC16" s="68">
        <f t="shared" si="0"/>
        <v>4.5924293119297355</v>
      </c>
    </row>
    <row r="17" spans="1:29" ht="15.75" thickBot="1">
      <c r="A17" s="63">
        <v>1997</v>
      </c>
      <c r="B17" s="11">
        <f>('1B'!B18/'1B'!L18)*100</f>
        <v>82.215718410020557</v>
      </c>
      <c r="C17" s="75">
        <f>('1B'!C18/'1B'!M18)*100</f>
        <v>104.94726961515101</v>
      </c>
      <c r="D17" s="11">
        <f>('1B'!D18/'1B'!N18)*100</f>
        <v>119.26958193176358</v>
      </c>
      <c r="E17" s="11">
        <f>('1B'!E18/'1B'!O18)*100</f>
        <v>122.06026058631923</v>
      </c>
      <c r="F17" s="11" t="s">
        <v>10</v>
      </c>
      <c r="G17" s="11" t="s">
        <v>10</v>
      </c>
      <c r="H17" s="11" t="s">
        <v>10</v>
      </c>
      <c r="I17" s="75">
        <f>('1B'!I18/'1B'!S18)*100</f>
        <v>96.581960346271984</v>
      </c>
      <c r="J17" s="75">
        <f>('1B'!J18/'1B'!T18)*100</f>
        <v>126.18498590827568</v>
      </c>
      <c r="K17" s="75">
        <f>('1B'!K18/'1B'!U18)*100</f>
        <v>75.525114155251146</v>
      </c>
      <c r="M17" s="68">
        <v>1998</v>
      </c>
      <c r="N17" s="68">
        <f>((B18/B17)-1)*100</f>
        <v>0.41302175702173649</v>
      </c>
      <c r="O17" s="68">
        <f>((C18/C17)-1)*100</f>
        <v>3.7993715924126592</v>
      </c>
      <c r="P17" s="68">
        <f>((D18/D17)-1)*100</f>
        <v>5.4442613220584857</v>
      </c>
      <c r="Q17" s="68">
        <f>((E18/E17)-1)*100</f>
        <v>4.0674571082125466</v>
      </c>
      <c r="R17" s="68">
        <f t="shared" ref="R17:T32" si="1">((I18/I17)-1)*100</f>
        <v>2.3815072441414342</v>
      </c>
      <c r="S17" s="68">
        <f t="shared" si="1"/>
        <v>7.303030544509892</v>
      </c>
      <c r="T17" s="68">
        <f t="shared" si="1"/>
        <v>-4.2446161061328809</v>
      </c>
      <c r="V17" s="68" t="s">
        <v>21</v>
      </c>
      <c r="W17" s="68">
        <f>((B28/B20)^(1/8)-1)*100</f>
        <v>2.3771989116755154</v>
      </c>
      <c r="X17" s="68">
        <f>((C28/C20)^(1/8)-1)*100</f>
        <v>-2.4090988264688917</v>
      </c>
      <c r="Y17" s="68">
        <f>((D28/D20)^(1/8)-1)*100</f>
        <v>-1.1552567042944162</v>
      </c>
      <c r="Z17" s="68">
        <f>((E28/E20)^(1/8)-1)*100</f>
        <v>-5.0126001899689516</v>
      </c>
      <c r="AA17" s="68">
        <f t="shared" ref="AA17:AC17" si="2">((I28/I20)^(1/8)-1)*100</f>
        <v>-1.4064853451135728</v>
      </c>
      <c r="AB17" s="68">
        <f t="shared" si="2"/>
        <v>-5.019789514177897</v>
      </c>
      <c r="AC17" s="68">
        <f t="shared" si="2"/>
        <v>2.0809246341862098</v>
      </c>
    </row>
    <row r="18" spans="1:29">
      <c r="A18" s="63">
        <v>1998</v>
      </c>
      <c r="B18" s="11">
        <f>('1B'!B19/'1B'!L19)*100</f>
        <v>82.555287214745661</v>
      </c>
      <c r="C18" s="11">
        <f>('1B'!C19/'1B'!M19)*100</f>
        <v>108.93460636392179</v>
      </c>
      <c r="D18" s="11">
        <f>('1B'!D19/'1B'!N19)*100</f>
        <v>125.76292964985545</v>
      </c>
      <c r="E18" s="11">
        <f>('1B'!E19/'1B'!O19)*100</f>
        <v>127.02500933184024</v>
      </c>
      <c r="F18" s="11" t="s">
        <v>10</v>
      </c>
      <c r="G18" s="11" t="s">
        <v>10</v>
      </c>
      <c r="H18" s="11" t="s">
        <v>10</v>
      </c>
      <c r="I18" s="11">
        <f>('1B'!I19/'1B'!S19)*100</f>
        <v>98.882066728452259</v>
      </c>
      <c r="J18" s="11">
        <f>('1B'!J19/'1B'!T19)*100</f>
        <v>135.40031397174255</v>
      </c>
      <c r="K18" s="11">
        <f>('1B'!K19/'1B'!U19)*100</f>
        <v>72.319362995642109</v>
      </c>
      <c r="M18" s="68">
        <v>1999</v>
      </c>
      <c r="N18" s="68">
        <f t="shared" ref="N18:Q32" si="3">((B19/B18)-1)*100</f>
        <v>0.54724424710590469</v>
      </c>
      <c r="O18" s="68">
        <f t="shared" si="3"/>
        <v>1.3883855258853162</v>
      </c>
      <c r="P18" s="68">
        <f t="shared" si="3"/>
        <v>-6.1019470232832385</v>
      </c>
      <c r="Q18" s="68">
        <f t="shared" si="3"/>
        <v>15.664139525943522</v>
      </c>
      <c r="R18" s="68">
        <f t="shared" si="1"/>
        <v>-4.3980148994020247</v>
      </c>
      <c r="S18" s="68">
        <f t="shared" si="1"/>
        <v>-15.295865532224918</v>
      </c>
      <c r="T18" s="68">
        <f t="shared" si="1"/>
        <v>12.891168606368941</v>
      </c>
      <c r="V18" s="68" t="s">
        <v>22</v>
      </c>
      <c r="W18" s="68" t="e">
        <f>((B33/B28)^(1/5)-1)*100</f>
        <v>#VALUE!</v>
      </c>
      <c r="X18" s="68" t="e">
        <f>((C33/C28)^(1/5)-1)*100</f>
        <v>#VALUE!</v>
      </c>
      <c r="Y18" s="68" t="e">
        <f>((D33/D28)^(1/5)-1)*100</f>
        <v>#VALUE!</v>
      </c>
      <c r="Z18" s="68" t="e">
        <f>((E33/E28)^(1/5)-1)*100</f>
        <v>#VALUE!</v>
      </c>
      <c r="AA18" s="68" t="e">
        <f t="shared" ref="AA18:AC18" si="4">((I33/I28)^(1/5)-1)*100</f>
        <v>#VALUE!</v>
      </c>
      <c r="AB18" s="68" t="e">
        <f t="shared" si="4"/>
        <v>#VALUE!</v>
      </c>
      <c r="AC18" s="68" t="e">
        <f t="shared" si="4"/>
        <v>#VALUE!</v>
      </c>
    </row>
    <row r="19" spans="1:29">
      <c r="A19" s="63">
        <v>1999</v>
      </c>
      <c r="B19" s="11">
        <f>('1B'!B20/'1B'!L20)*100</f>
        <v>83.007066274710112</v>
      </c>
      <c r="C19" s="11">
        <f>('1B'!C20/'1B'!M20)*100</f>
        <v>110.44703867135863</v>
      </c>
      <c r="D19" s="11">
        <f>('1B'!D20/'1B'!N20)*100</f>
        <v>118.08894230769231</v>
      </c>
      <c r="E19" s="11">
        <f>('1B'!E20/'1B'!O20)*100</f>
        <v>146.92238402642246</v>
      </c>
      <c r="F19" s="11" t="s">
        <v>10</v>
      </c>
      <c r="G19" s="11" t="s">
        <v>10</v>
      </c>
      <c r="H19" s="11" t="s">
        <v>10</v>
      </c>
      <c r="I19" s="11">
        <f>('1B'!I20/'1B'!S20)*100</f>
        <v>94.533218700898274</v>
      </c>
      <c r="J19" s="11">
        <f>('1B'!J20/'1B'!T20)*100</f>
        <v>114.68966401641447</v>
      </c>
      <c r="K19" s="11">
        <f>('1B'!K20/'1B'!U20)*100</f>
        <v>81.642174014462327</v>
      </c>
      <c r="M19" s="68">
        <v>2000</v>
      </c>
      <c r="N19" s="68">
        <f t="shared" si="3"/>
        <v>1.652381323290375</v>
      </c>
      <c r="O19" s="68">
        <f t="shared" si="3"/>
        <v>9.0892377081774001</v>
      </c>
      <c r="P19" s="68">
        <f t="shared" si="3"/>
        <v>-4.8666844882724103</v>
      </c>
      <c r="Q19" s="68">
        <f t="shared" si="3"/>
        <v>-1.9023105967485132</v>
      </c>
      <c r="R19" s="68">
        <f t="shared" si="1"/>
        <v>18.917571353695184</v>
      </c>
      <c r="S19" s="68">
        <f t="shared" si="1"/>
        <v>29.05602536387677</v>
      </c>
      <c r="T19" s="68">
        <f t="shared" si="1"/>
        <v>5.8467628205128186</v>
      </c>
      <c r="V19" s="68" t="s">
        <v>18</v>
      </c>
      <c r="W19" s="68" t="e">
        <f>((B33/B17)^(1/16)-1)*100</f>
        <v>#VALUE!</v>
      </c>
      <c r="X19" s="68" t="e">
        <f>((C33/C17)^(1/16)-1)*100</f>
        <v>#VALUE!</v>
      </c>
      <c r="Y19" s="68" t="e">
        <f>((D33/D17)^(1/16)-1)*100</f>
        <v>#VALUE!</v>
      </c>
      <c r="Z19" s="68" t="e">
        <f>((E33/E17)^(1/16)-1)*100</f>
        <v>#VALUE!</v>
      </c>
      <c r="AA19" s="68" t="e">
        <f t="shared" ref="AA19:AC19" si="5">((I33/I17)^(1/16)-1)*100</f>
        <v>#VALUE!</v>
      </c>
      <c r="AB19" s="68" t="e">
        <f t="shared" si="5"/>
        <v>#VALUE!</v>
      </c>
      <c r="AC19" s="68" t="e">
        <f t="shared" si="5"/>
        <v>#VALUE!</v>
      </c>
    </row>
    <row r="20" spans="1:29">
      <c r="A20" s="63">
        <v>2000</v>
      </c>
      <c r="B20" s="11">
        <f>('1B'!B21/'1B'!L21)*100</f>
        <v>84.378659534844687</v>
      </c>
      <c r="C20" s="11">
        <f>('1B'!C21/'1B'!M21)*100</f>
        <v>120.48583255784102</v>
      </c>
      <c r="D20" s="11">
        <f>('1B'!D21/'1B'!N21)*100</f>
        <v>112.34192607003889</v>
      </c>
      <c r="E20" s="11">
        <f>('1B'!E21/'1B'!O21)*100</f>
        <v>144.12746394609229</v>
      </c>
      <c r="F20" s="11" t="s">
        <v>10</v>
      </c>
      <c r="G20" s="11" t="s">
        <v>10</v>
      </c>
      <c r="H20" s="11" t="s">
        <v>10</v>
      </c>
      <c r="I20" s="11">
        <f>('1B'!I21/'1B'!S21)*100</f>
        <v>112.41660780158543</v>
      </c>
      <c r="J20" s="11">
        <f>('1B'!J21/'1B'!T21)*100</f>
        <v>148.0139218827689</v>
      </c>
      <c r="K20" s="11">
        <f>('1B'!K21/'1B'!U21)*100</f>
        <v>86.415598290598297</v>
      </c>
      <c r="M20" s="68">
        <v>2001</v>
      </c>
      <c r="N20" s="68">
        <f t="shared" si="3"/>
        <v>1.3806360726190681</v>
      </c>
      <c r="O20" s="68">
        <f t="shared" si="3"/>
        <v>-1.3552245555050746</v>
      </c>
      <c r="P20" s="68">
        <f t="shared" si="3"/>
        <v>-8.7472085261767862</v>
      </c>
      <c r="Q20" s="68">
        <f t="shared" si="3"/>
        <v>-5.7339723477936699</v>
      </c>
      <c r="R20" s="68">
        <f t="shared" si="1"/>
        <v>2.2635661942426388</v>
      </c>
      <c r="S20" s="68">
        <f t="shared" si="1"/>
        <v>-0.43476601718274166</v>
      </c>
      <c r="T20" s="68">
        <f t="shared" si="1"/>
        <v>6.0388420650853369</v>
      </c>
    </row>
    <row r="21" spans="1:29">
      <c r="A21" s="63">
        <v>2001</v>
      </c>
      <c r="B21" s="11">
        <f>('1B'!B22/'1B'!L22)*100</f>
        <v>85.543621745975187</v>
      </c>
      <c r="C21" s="11">
        <f>('1B'!C22/'1B'!M22)*100</f>
        <v>118.85297896911243</v>
      </c>
      <c r="D21" s="11">
        <f>('1B'!D22/'1B'!N22)*100</f>
        <v>102.51514353436923</v>
      </c>
      <c r="E21" s="11">
        <f>('1B'!E22/'1B'!O22)*100</f>
        <v>135.86323501784707</v>
      </c>
      <c r="F21" s="11" t="s">
        <v>10</v>
      </c>
      <c r="G21" s="11" t="s">
        <v>10</v>
      </c>
      <c r="H21" s="11" t="s">
        <v>10</v>
      </c>
      <c r="I21" s="11">
        <f>('1B'!I22/'1B'!S22)*100</f>
        <v>114.96123213249645</v>
      </c>
      <c r="J21" s="11">
        <f>('1B'!J22/'1B'!T22)*100</f>
        <v>147.37040764972321</v>
      </c>
      <c r="K21" s="11">
        <f>('1B'!K22/'1B'!U22)*100</f>
        <v>91.634099790966104</v>
      </c>
      <c r="M21" s="68">
        <v>2002</v>
      </c>
      <c r="N21" s="68">
        <f t="shared" si="3"/>
        <v>2.628857324278866</v>
      </c>
      <c r="O21" s="68">
        <f t="shared" si="3"/>
        <v>-6.5415866856723293</v>
      </c>
      <c r="P21" s="68">
        <f t="shared" si="3"/>
        <v>7.9993243182467921</v>
      </c>
      <c r="Q21" s="68">
        <f t="shared" si="3"/>
        <v>-3.1239075694599161</v>
      </c>
      <c r="R21" s="68">
        <f t="shared" si="1"/>
        <v>-11.246957473240105</v>
      </c>
      <c r="S21" s="68">
        <f t="shared" si="1"/>
        <v>-19.56425549288825</v>
      </c>
      <c r="T21" s="68">
        <f t="shared" si="1"/>
        <v>-1.4555798267798625</v>
      </c>
    </row>
    <row r="22" spans="1:29">
      <c r="A22" s="63">
        <v>2002</v>
      </c>
      <c r="B22" s="11">
        <f>('1B'!B23/'1B'!L23)*100</f>
        <v>87.79244151169766</v>
      </c>
      <c r="C22" s="11">
        <f>('1B'!C23/'1B'!M23)*100</f>
        <v>111.07810832134403</v>
      </c>
      <c r="D22" s="11">
        <f>('1B'!D23/'1B'!N23)*100</f>
        <v>110.71566234099963</v>
      </c>
      <c r="E22" s="11">
        <f>('1B'!E23/'1B'!O23)*100</f>
        <v>131.61899313501144</v>
      </c>
      <c r="F22" s="11" t="s">
        <v>10</v>
      </c>
      <c r="G22" s="11" t="s">
        <v>10</v>
      </c>
      <c r="H22" s="11" t="s">
        <v>10</v>
      </c>
      <c r="I22" s="11">
        <f>('1B'!I23/'1B'!S23)*100</f>
        <v>102.03159124384173</v>
      </c>
      <c r="J22" s="11">
        <f>('1B'!J23/'1B'!T23)*100</f>
        <v>118.53848457622043</v>
      </c>
      <c r="K22" s="11">
        <f>('1B'!K23/'1B'!U23)*100</f>
        <v>90.300292319957478</v>
      </c>
      <c r="M22" s="68">
        <v>2003</v>
      </c>
      <c r="N22" s="68">
        <f t="shared" si="3"/>
        <v>2.0954362946843608</v>
      </c>
      <c r="O22" s="68">
        <f t="shared" si="3"/>
        <v>-3.4904694011203219</v>
      </c>
      <c r="P22" s="68">
        <f t="shared" si="3"/>
        <v>-2.7468384058344508</v>
      </c>
      <c r="Q22" s="68">
        <f t="shared" si="3"/>
        <v>1.6697456851732406</v>
      </c>
      <c r="R22" s="68">
        <f t="shared" si="1"/>
        <v>-6.5012090017817492</v>
      </c>
      <c r="S22" s="68">
        <f t="shared" si="1"/>
        <v>-12.746547719942857</v>
      </c>
      <c r="T22" s="68">
        <f t="shared" si="1"/>
        <v>-0.86166914878234024</v>
      </c>
    </row>
    <row r="23" spans="1:29">
      <c r="A23" s="63">
        <v>2003</v>
      </c>
      <c r="B23" s="11">
        <f>('1B'!B24/'1B'!L24)*100</f>
        <v>89.632076195123304</v>
      </c>
      <c r="C23" s="11">
        <f>('1B'!C24/'1B'!M24)*100</f>
        <v>107.20096093904424</v>
      </c>
      <c r="D23" s="11">
        <f>('1B'!D24/'1B'!N24)*100</f>
        <v>107.67448200654306</v>
      </c>
      <c r="E23" s="11">
        <f>('1B'!E24/'1B'!O24)*100</f>
        <v>133.81669559375175</v>
      </c>
      <c r="F23" s="11" t="s">
        <v>10</v>
      </c>
      <c r="G23" s="11" t="s">
        <v>10</v>
      </c>
      <c r="H23" s="11" t="s">
        <v>10</v>
      </c>
      <c r="I23" s="11">
        <f>('1B'!I24/'1B'!S24)*100</f>
        <v>95.398304249235935</v>
      </c>
      <c r="J23" s="11">
        <f>('1B'!J24/'1B'!T24)*100</f>
        <v>103.42892007321538</v>
      </c>
      <c r="K23" s="11">
        <f>('1B'!K24/'1B'!U24)*100</f>
        <v>89.522202559776133</v>
      </c>
      <c r="M23" s="68">
        <v>2004</v>
      </c>
      <c r="N23" s="68">
        <f t="shared" si="3"/>
        <v>1.721932921025493</v>
      </c>
      <c r="O23" s="68">
        <f t="shared" si="3"/>
        <v>2.5946636594985861</v>
      </c>
      <c r="P23" s="68">
        <f t="shared" si="3"/>
        <v>13.248640226315933</v>
      </c>
      <c r="Q23" s="68">
        <f t="shared" si="3"/>
        <v>6.5860665598690193</v>
      </c>
      <c r="R23" s="68">
        <f t="shared" si="1"/>
        <v>-1.951978401000154</v>
      </c>
      <c r="S23" s="68">
        <f t="shared" si="1"/>
        <v>-9.3769660283997798</v>
      </c>
      <c r="T23" s="68">
        <f t="shared" si="1"/>
        <v>4.5275416154680226</v>
      </c>
    </row>
    <row r="24" spans="1:29">
      <c r="A24" s="63">
        <v>2004</v>
      </c>
      <c r="B24" s="11">
        <f>('1B'!B25/'1B'!L25)*100</f>
        <v>91.175480422925787</v>
      </c>
      <c r="C24" s="11">
        <f>('1B'!C25/'1B'!M25)*100</f>
        <v>109.9824653151629</v>
      </c>
      <c r="D24" s="11">
        <f>('1B'!D25/'1B'!N25)*100</f>
        <v>121.93988674313923</v>
      </c>
      <c r="E24" s="11">
        <f>('1B'!E25/'1B'!O25)*100</f>
        <v>142.62995223377354</v>
      </c>
      <c r="F24" s="11" t="s">
        <v>10</v>
      </c>
      <c r="G24" s="11" t="s">
        <v>10</v>
      </c>
      <c r="H24" s="11" t="s">
        <v>10</v>
      </c>
      <c r="I24" s="11">
        <f>('1B'!I25/'1B'!S25)*100</f>
        <v>93.536149955370433</v>
      </c>
      <c r="J24" s="11">
        <f>('1B'!J25/'1B'!T25)*100</f>
        <v>93.730425374409208</v>
      </c>
      <c r="K24" s="11">
        <f>('1B'!K25/'1B'!U25)*100</f>
        <v>93.575357535753582</v>
      </c>
      <c r="M24" s="68">
        <v>2005</v>
      </c>
      <c r="N24" s="68">
        <f t="shared" si="3"/>
        <v>1.5221087476929629</v>
      </c>
      <c r="O24" s="68" t="e">
        <f t="shared" si="3"/>
        <v>#VALUE!</v>
      </c>
      <c r="P24" s="68">
        <f t="shared" si="3"/>
        <v>-1.3043853167674757</v>
      </c>
      <c r="Q24" s="68">
        <f t="shared" si="3"/>
        <v>-8.7177272165304238</v>
      </c>
      <c r="R24" s="68" t="e">
        <f t="shared" si="1"/>
        <v>#VALUE!</v>
      </c>
      <c r="S24" s="68">
        <f t="shared" si="1"/>
        <v>0.90877124338748505</v>
      </c>
      <c r="T24" s="68">
        <f t="shared" si="1"/>
        <v>3.8225922948366131</v>
      </c>
    </row>
    <row r="25" spans="1:29">
      <c r="A25" s="63">
        <v>2005</v>
      </c>
      <c r="B25" s="11">
        <f>('1B'!B26/'1B'!L26)*100</f>
        <v>92.563270386194233</v>
      </c>
      <c r="C25" s="11" t="s">
        <v>10</v>
      </c>
      <c r="D25" s="11">
        <f>('1B'!D26/'1B'!N26)*100</f>
        <v>120.34932076517883</v>
      </c>
      <c r="E25" s="11">
        <f>('1B'!E26/'1B'!O26)*100</f>
        <v>130.19586206896551</v>
      </c>
      <c r="F25" s="11" t="s">
        <v>10</v>
      </c>
      <c r="G25" s="11" t="s">
        <v>10</v>
      </c>
      <c r="H25" s="11" t="s">
        <v>10</v>
      </c>
      <c r="I25" s="11" t="s">
        <v>10</v>
      </c>
      <c r="J25" s="11">
        <f>('1B'!J26/'1B'!T26)*100</f>
        <v>94.582220526516608</v>
      </c>
      <c r="K25" s="11">
        <f>('1B'!K26/'1B'!U26)*100</f>
        <v>97.152361942781113</v>
      </c>
      <c r="M25" s="68">
        <v>2006</v>
      </c>
      <c r="N25" s="68">
        <f t="shared" si="3"/>
        <v>2.3061407305423609</v>
      </c>
      <c r="O25" s="68" t="e">
        <f t="shared" si="3"/>
        <v>#VALUE!</v>
      </c>
      <c r="P25" s="68">
        <f t="shared" si="3"/>
        <v>-1.5823088833723964</v>
      </c>
      <c r="Q25" s="68">
        <f t="shared" si="3"/>
        <v>-15.73996558951929</v>
      </c>
      <c r="R25" s="68" t="e">
        <f t="shared" si="1"/>
        <v>#VALUE!</v>
      </c>
      <c r="S25" s="68">
        <f t="shared" si="1"/>
        <v>12.78850923302215</v>
      </c>
      <c r="T25" s="68">
        <f t="shared" si="1"/>
        <v>4.0595159058392616</v>
      </c>
    </row>
    <row r="26" spans="1:29" ht="15.75" thickBot="1">
      <c r="A26" s="63">
        <v>2006</v>
      </c>
      <c r="B26" s="75">
        <f>('1B'!B27/'1B'!L27)*100</f>
        <v>94.697909666092315</v>
      </c>
      <c r="C26" s="75" t="s">
        <v>10</v>
      </c>
      <c r="D26" s="75">
        <f>('1B'!D27/'1B'!N27)*100</f>
        <v>118.44502277163306</v>
      </c>
      <c r="E26" s="75">
        <f>('1B'!E27/'1B'!O27)*100</f>
        <v>109.70307818033234</v>
      </c>
      <c r="F26" s="75" t="s">
        <v>10</v>
      </c>
      <c r="G26" s="75" t="s">
        <v>10</v>
      </c>
      <c r="H26" s="75" t="s">
        <v>10</v>
      </c>
      <c r="I26" s="75" t="s">
        <v>10</v>
      </c>
      <c r="J26" s="75">
        <f>('1B'!J27/'1B'!T27)*100</f>
        <v>106.67787653134756</v>
      </c>
      <c r="K26" s="75">
        <f>('1B'!K27/'1B'!U27)*100</f>
        <v>101.09627752874684</v>
      </c>
      <c r="M26" s="68">
        <v>2007</v>
      </c>
      <c r="N26" s="68">
        <f t="shared" si="3"/>
        <v>5.5989518169968333</v>
      </c>
      <c r="O26" s="68" t="e">
        <f t="shared" si="3"/>
        <v>#VALUE!</v>
      </c>
      <c r="P26" s="68">
        <f t="shared" si="3"/>
        <v>-15.572644877780839</v>
      </c>
      <c r="Q26" s="68">
        <f t="shared" si="3"/>
        <v>-8.844854986094564</v>
      </c>
      <c r="R26" s="68" t="e">
        <f t="shared" si="1"/>
        <v>#VALUE!</v>
      </c>
      <c r="S26" s="68">
        <f t="shared" si="1"/>
        <v>-6.2598513848232233</v>
      </c>
      <c r="T26" s="68">
        <f t="shared" si="1"/>
        <v>-1.0843896091377925</v>
      </c>
    </row>
    <row r="27" spans="1:29">
      <c r="A27" s="63">
        <v>2007</v>
      </c>
      <c r="B27" s="235">
        <f>('1B'!B28/'1B'!L28)*100</f>
        <v>100</v>
      </c>
      <c r="C27" s="235">
        <f>('1B'!C28/'1B'!M28)*100</f>
        <v>100</v>
      </c>
      <c r="D27" s="235">
        <f>('1B'!D28/'1B'!N28)*100</f>
        <v>100</v>
      </c>
      <c r="E27" s="235">
        <f>('1B'!E28/'1B'!O28)*100</f>
        <v>100</v>
      </c>
      <c r="F27" s="235">
        <f>('1B'!F28/'1B'!P28)*100</f>
        <v>100</v>
      </c>
      <c r="G27" s="235">
        <f>('1B'!G28/'1B'!Q28)*100</f>
        <v>100</v>
      </c>
      <c r="H27" s="235">
        <f>('1B'!H28/'1B'!R28)*100</f>
        <v>100</v>
      </c>
      <c r="I27" s="235">
        <f>('1B'!I28/'1B'!S28)*100</f>
        <v>100</v>
      </c>
      <c r="J27" s="235">
        <f>('1B'!J28/'1B'!T28)*100</f>
        <v>100</v>
      </c>
      <c r="K27" s="235">
        <f>('1B'!K28/'1B'!U28)*100</f>
        <v>100</v>
      </c>
      <c r="M27" s="68">
        <v>2008</v>
      </c>
      <c r="N27" s="68">
        <f t="shared" si="3"/>
        <v>1.8259720814902236</v>
      </c>
      <c r="O27" s="68">
        <f t="shared" si="3"/>
        <v>-0.8687437103366169</v>
      </c>
      <c r="P27" s="68">
        <f t="shared" si="3"/>
        <v>2.3694779116465892</v>
      </c>
      <c r="Q27" s="68">
        <f t="shared" si="3"/>
        <v>-4.4843049327354283</v>
      </c>
      <c r="R27" s="68">
        <f t="shared" si="1"/>
        <v>0.37308324205915788</v>
      </c>
      <c r="S27" s="68">
        <f t="shared" si="1"/>
        <v>-1.9680621493310291</v>
      </c>
      <c r="T27" s="68">
        <f t="shared" si="1"/>
        <v>1.8940682771917849</v>
      </c>
    </row>
    <row r="28" spans="1:29">
      <c r="A28" s="63">
        <v>2008</v>
      </c>
      <c r="B28" s="11">
        <f>('1B'!B29/'1B'!L29)*100</f>
        <v>101.82597208149022</v>
      </c>
      <c r="C28" s="11">
        <f>('1B'!C29/'1B'!M29)*100</f>
        <v>99.131256289663384</v>
      </c>
      <c r="D28" s="11">
        <f>('1B'!D29/'1B'!N29)*100</f>
        <v>102.36947791164658</v>
      </c>
      <c r="E28" s="11">
        <f>('1B'!E29/'1B'!O29)*100</f>
        <v>95.515695067264573</v>
      </c>
      <c r="F28" s="11">
        <f>('1B'!F29/'1B'!P29)*100</f>
        <v>86.435331230283907</v>
      </c>
      <c r="G28" s="11">
        <f>('1B'!G29/'1B'!Q29)*100</f>
        <v>90.476190476190482</v>
      </c>
      <c r="H28" s="11">
        <f>('1B'!H29/'1B'!R29)*100</f>
        <v>101.99203187250995</v>
      </c>
      <c r="I28" s="11">
        <f>('1B'!I29/'1B'!S29)*100</f>
        <v>100.37308324205915</v>
      </c>
      <c r="J28" s="11">
        <f>('1B'!J29/'1B'!T29)*100</f>
        <v>98.031937850668967</v>
      </c>
      <c r="K28" s="11">
        <f>('1B'!K29/'1B'!U29)*100</f>
        <v>101.89406827719179</v>
      </c>
      <c r="M28" s="68">
        <v>2009</v>
      </c>
      <c r="N28" s="68">
        <f t="shared" si="3"/>
        <v>1.5999870165445795</v>
      </c>
      <c r="O28" s="68">
        <f t="shared" si="3"/>
        <v>9.7741470851792087</v>
      </c>
      <c r="P28" s="68">
        <f t="shared" si="3"/>
        <v>10.993520053563577</v>
      </c>
      <c r="Q28" s="68">
        <f t="shared" si="3"/>
        <v>3.9167320901748459</v>
      </c>
      <c r="R28" s="68">
        <f t="shared" si="1"/>
        <v>11.899100747204239</v>
      </c>
      <c r="S28" s="68">
        <f t="shared" si="1"/>
        <v>23.037409136993105</v>
      </c>
      <c r="T28" s="68">
        <f t="shared" si="1"/>
        <v>5.834616090246425</v>
      </c>
    </row>
    <row r="29" spans="1:29">
      <c r="A29" s="63">
        <v>2009</v>
      </c>
      <c r="B29" s="11">
        <f>('1B'!B30/'1B'!L30)*100</f>
        <v>103.45517441426438</v>
      </c>
      <c r="C29" s="11">
        <f>('1B'!C30/'1B'!M30)*100</f>
        <v>108.82049108680106</v>
      </c>
      <c r="D29" s="11">
        <f>('1B'!D30/'1B'!N30)*100</f>
        <v>113.62348699459179</v>
      </c>
      <c r="E29" s="11">
        <f>('1B'!E30/'1B'!O30)*100</f>
        <v>99.256788947117684</v>
      </c>
      <c r="F29" s="11">
        <f>('1B'!F30/'1B'!P30)*100</f>
        <v>84.285714285714292</v>
      </c>
      <c r="G29" s="11">
        <f>('1B'!G30/'1B'!Q30)*100</f>
        <v>83.4983498349835</v>
      </c>
      <c r="H29" s="11">
        <f>('1B'!H30/'1B'!R30)*100</f>
        <v>113.96648044692736</v>
      </c>
      <c r="I29" s="11">
        <f>('1B'!I30/'1B'!S30)*100</f>
        <v>112.31657754010695</v>
      </c>
      <c r="J29" s="11">
        <f>('1B'!J30/'1B'!T30)*100</f>
        <v>120.61595645825038</v>
      </c>
      <c r="K29" s="11">
        <f>('1B'!K30/'1B'!U30)*100</f>
        <v>107.8391959798995</v>
      </c>
      <c r="M29" s="68">
        <v>2010</v>
      </c>
      <c r="N29" s="68">
        <f t="shared" si="3"/>
        <v>2.2486948094035508</v>
      </c>
      <c r="O29" s="68">
        <f t="shared" si="3"/>
        <v>1.0670749419822378</v>
      </c>
      <c r="P29" s="68">
        <f t="shared" si="3"/>
        <v>-8.5830477319597591</v>
      </c>
      <c r="Q29" s="68">
        <f t="shared" si="3"/>
        <v>1.5971867847597077</v>
      </c>
      <c r="R29" s="68">
        <f t="shared" si="1"/>
        <v>2.3602363565019324</v>
      </c>
      <c r="S29" s="68">
        <f t="shared" si="1"/>
        <v>9.064178350055375</v>
      </c>
      <c r="T29" s="68">
        <f t="shared" si="1"/>
        <v>-1.3607256732929618</v>
      </c>
    </row>
    <row r="30" spans="1:29">
      <c r="A30" s="63">
        <v>2010</v>
      </c>
      <c r="B30" s="11">
        <f>('1B'!B31/'1B'!L31)*100</f>
        <v>105.78156555137733</v>
      </c>
      <c r="C30" s="11">
        <f>('1B'!C31/'1B'!M31)*100</f>
        <v>109.98168727893032</v>
      </c>
      <c r="D30" s="11">
        <f>('1B'!D31/'1B'!N31)*100</f>
        <v>103.87112887112889</v>
      </c>
      <c r="E30" s="11">
        <f>('1B'!E31/'1B'!O31)*100</f>
        <v>100.84210526315789</v>
      </c>
      <c r="F30" s="11">
        <f>('1B'!F31/'1B'!P31)*100</f>
        <v>94.634146341463406</v>
      </c>
      <c r="G30" s="11">
        <f>('1B'!G31/'1B'!Q31)*100</f>
        <v>79.127725856697822</v>
      </c>
      <c r="H30" s="11">
        <f>('1B'!H31/'1B'!R31)*100</f>
        <v>115.75221238938053</v>
      </c>
      <c r="I30" s="11">
        <f>('1B'!I31/'1B'!S31)*100</f>
        <v>114.96751423758722</v>
      </c>
      <c r="J30" s="11">
        <f>('1B'!J31/'1B'!T31)*100</f>
        <v>131.54880187025134</v>
      </c>
      <c r="K30" s="11">
        <f>('1B'!K31/'1B'!U31)*100</f>
        <v>106.3718003543283</v>
      </c>
      <c r="M30" s="68">
        <v>2011</v>
      </c>
      <c r="N30" s="68">
        <f t="shared" si="3"/>
        <v>2.3639154230870485</v>
      </c>
      <c r="O30" s="68">
        <f t="shared" si="3"/>
        <v>-5.8363988767320629</v>
      </c>
      <c r="P30" s="68">
        <f t="shared" si="3"/>
        <v>-2.5754992239155228</v>
      </c>
      <c r="Q30" s="68">
        <f t="shared" si="3"/>
        <v>-5.574080486435296</v>
      </c>
      <c r="R30" s="68">
        <f t="shared" si="1"/>
        <v>-6.4872550620333147</v>
      </c>
      <c r="S30" s="68">
        <f t="shared" si="1"/>
        <v>-10.760511857991052</v>
      </c>
      <c r="T30" s="68">
        <f t="shared" si="1"/>
        <v>-3.8097478456398326</v>
      </c>
    </row>
    <row r="31" spans="1:29">
      <c r="A31" s="63">
        <v>2011</v>
      </c>
      <c r="B31" s="11">
        <f>('1B'!B32/'1B'!L32)*100</f>
        <v>108.28215229422926</v>
      </c>
      <c r="C31" s="11">
        <f>('1B'!C32/'1B'!M32)*100</f>
        <v>103.56271731797186</v>
      </c>
      <c r="D31" s="11">
        <f>('1B'!D32/'1B'!N32)*100</f>
        <v>101.19592875318067</v>
      </c>
      <c r="E31" s="11">
        <f>('1B'!E32/'1B'!O32)*100</f>
        <v>95.221085151573661</v>
      </c>
      <c r="F31" s="11">
        <f>('1B'!F32/'1B'!P32)*100</f>
        <v>91.005291005290999</v>
      </c>
      <c r="G31" s="11">
        <f>('1B'!G32/'1B'!Q32)*100</f>
        <v>71.906354515050168</v>
      </c>
      <c r="H31" s="11">
        <f>('1B'!H32/'1B'!R32)*100</f>
        <v>110.11029411764706</v>
      </c>
      <c r="I31" s="11">
        <f>('1B'!I32/'1B'!S32)*100</f>
        <v>107.50927835051547</v>
      </c>
      <c r="J31" s="11">
        <f>('1B'!J32/'1B'!T32)*100</f>
        <v>117.39347744595779</v>
      </c>
      <c r="K31" s="11">
        <f>('1B'!K32/'1B'!U32)*100</f>
        <v>102.31930298196097</v>
      </c>
      <c r="M31" s="68">
        <v>2012</v>
      </c>
      <c r="N31" s="68" t="e">
        <f t="shared" si="3"/>
        <v>#VALUE!</v>
      </c>
      <c r="O31" s="68" t="e">
        <f t="shared" si="3"/>
        <v>#VALUE!</v>
      </c>
      <c r="P31" s="68" t="e">
        <f t="shared" si="3"/>
        <v>#VALUE!</v>
      </c>
      <c r="Q31" s="68" t="e">
        <f t="shared" si="3"/>
        <v>#VALUE!</v>
      </c>
      <c r="R31" s="68" t="e">
        <f t="shared" si="1"/>
        <v>#VALUE!</v>
      </c>
      <c r="S31" s="68" t="e">
        <f t="shared" si="1"/>
        <v>#VALUE!</v>
      </c>
      <c r="T31" s="68" t="e">
        <f t="shared" si="1"/>
        <v>#VALUE!</v>
      </c>
    </row>
    <row r="32" spans="1:29">
      <c r="A32" s="63">
        <v>2012</v>
      </c>
      <c r="B32" s="11" t="s">
        <v>10</v>
      </c>
      <c r="C32" s="11" t="s">
        <v>10</v>
      </c>
      <c r="D32" s="11" t="s">
        <v>10</v>
      </c>
      <c r="E32" s="11" t="s">
        <v>10</v>
      </c>
      <c r="F32" s="11" t="s">
        <v>10</v>
      </c>
      <c r="G32" s="11" t="s">
        <v>10</v>
      </c>
      <c r="H32" s="11" t="s">
        <v>10</v>
      </c>
      <c r="I32" s="11" t="s">
        <v>10</v>
      </c>
      <c r="J32" s="11" t="s">
        <v>10</v>
      </c>
      <c r="K32" s="11" t="s">
        <v>10</v>
      </c>
      <c r="M32" s="68">
        <v>2013</v>
      </c>
      <c r="N32" s="68" t="e">
        <f t="shared" si="3"/>
        <v>#VALUE!</v>
      </c>
      <c r="O32" s="68" t="e">
        <f t="shared" si="3"/>
        <v>#VALUE!</v>
      </c>
      <c r="P32" s="68" t="e">
        <f t="shared" si="3"/>
        <v>#VALUE!</v>
      </c>
      <c r="Q32" s="68" t="e">
        <f t="shared" si="3"/>
        <v>#VALUE!</v>
      </c>
      <c r="R32" s="68" t="e">
        <f t="shared" si="1"/>
        <v>#VALUE!</v>
      </c>
      <c r="S32" s="68" t="e">
        <f t="shared" si="1"/>
        <v>#VALUE!</v>
      </c>
      <c r="T32" s="68" t="e">
        <f t="shared" si="1"/>
        <v>#VALUE!</v>
      </c>
    </row>
    <row r="33" spans="1:20">
      <c r="A33" s="63">
        <v>2013</v>
      </c>
      <c r="B33" s="11" t="s">
        <v>10</v>
      </c>
      <c r="C33" s="11" t="s">
        <v>10</v>
      </c>
      <c r="D33" s="11" t="s">
        <v>10</v>
      </c>
      <c r="E33" s="11" t="s">
        <v>10</v>
      </c>
      <c r="F33" s="11" t="s">
        <v>10</v>
      </c>
      <c r="G33" s="11" t="s">
        <v>10</v>
      </c>
      <c r="H33" s="11" t="s">
        <v>10</v>
      </c>
      <c r="I33" s="11" t="s">
        <v>10</v>
      </c>
      <c r="J33" s="11" t="s">
        <v>10</v>
      </c>
      <c r="K33" s="11" t="s">
        <v>10</v>
      </c>
    </row>
    <row r="34" spans="1:20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N34" s="68" t="s">
        <v>27</v>
      </c>
    </row>
    <row r="35" spans="1:20">
      <c r="A35" s="454" t="s">
        <v>32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N35" s="68" t="s">
        <v>16</v>
      </c>
      <c r="O35" s="68" t="s">
        <v>8</v>
      </c>
      <c r="P35" s="68" t="s">
        <v>3</v>
      </c>
      <c r="Q35" s="68" t="s">
        <v>4</v>
      </c>
      <c r="R35" s="68" t="s">
        <v>17</v>
      </c>
      <c r="S35" s="68" t="s">
        <v>6</v>
      </c>
      <c r="T35" s="68" t="s">
        <v>7</v>
      </c>
    </row>
    <row r="36" spans="1:20" ht="30">
      <c r="A36" s="63" t="s">
        <v>19</v>
      </c>
      <c r="B36" s="11">
        <f>((B20/B17)^(1/3)-1)*100</f>
        <v>0.86935766075171284</v>
      </c>
      <c r="C36" s="11">
        <f t="shared" ref="C36:K36" si="6">((C20/C17)^(1/3)-1)*100</f>
        <v>4.7100289375281656</v>
      </c>
      <c r="D36" s="11">
        <f t="shared" si="6"/>
        <v>-1.9748784478147097</v>
      </c>
      <c r="E36" s="11">
        <f t="shared" si="6"/>
        <v>5.6957400819202864</v>
      </c>
      <c r="F36" s="11" t="s">
        <v>10</v>
      </c>
      <c r="G36" s="11" t="s">
        <v>10</v>
      </c>
      <c r="H36" s="11" t="s">
        <v>10</v>
      </c>
      <c r="I36" s="11">
        <f t="shared" si="6"/>
        <v>5.1908957533199684</v>
      </c>
      <c r="J36" s="11">
        <f t="shared" si="6"/>
        <v>5.4625563588569737</v>
      </c>
      <c r="K36" s="11">
        <f t="shared" si="6"/>
        <v>4.5924293119297355</v>
      </c>
      <c r="M36" s="68">
        <v>1999</v>
      </c>
      <c r="N36" s="68">
        <f>B19/$B$20</f>
        <v>0.98374478490538042</v>
      </c>
      <c r="O36" s="68">
        <f t="shared" ref="O36:O40" si="7">C19/$C$20</f>
        <v>0.91668071113951821</v>
      </c>
      <c r="P36" s="68">
        <f t="shared" ref="P36:P40" si="8">D19/$D$20</f>
        <v>1.0511564688153066</v>
      </c>
      <c r="Q36" s="68">
        <f t="shared" ref="Q36:Q40" si="9">E19/$E$20</f>
        <v>1.0193920020779352</v>
      </c>
      <c r="R36" s="68">
        <f t="shared" ref="R36:R40" si="10">I19/$I$20</f>
        <v>0.84091862002942463</v>
      </c>
      <c r="S36" s="68">
        <f t="shared" ref="S36:S40" si="11">J19/$J$20</f>
        <v>0.77485727394786441</v>
      </c>
      <c r="T36" s="68">
        <f t="shared" ref="T36:T40" si="12">K19/$K$20</f>
        <v>0.94476200627479423</v>
      </c>
    </row>
    <row r="37" spans="1:20" ht="30">
      <c r="A37" s="325" t="s">
        <v>68</v>
      </c>
      <c r="B37" s="11">
        <f>((B27/B20)^(1/7)-1)*100</f>
        <v>2.4561888195764325</v>
      </c>
      <c r="C37" s="11">
        <f t="shared" ref="C37:K37" si="13">((C27/C20)^(1/7)-1)*100</f>
        <v>-2.6271869527850544</v>
      </c>
      <c r="D37" s="11">
        <f t="shared" si="13"/>
        <v>-1.6487840760438188</v>
      </c>
      <c r="E37" s="11">
        <f t="shared" si="13"/>
        <v>-5.0878320333147098</v>
      </c>
      <c r="F37" s="11" t="s">
        <v>10</v>
      </c>
      <c r="G37" s="11" t="s">
        <v>10</v>
      </c>
      <c r="H37" s="11" t="s">
        <v>10</v>
      </c>
      <c r="I37" s="11">
        <f t="shared" si="13"/>
        <v>-1.6581206873408139</v>
      </c>
      <c r="J37" s="11">
        <f t="shared" si="13"/>
        <v>-5.4479254684168366</v>
      </c>
      <c r="K37" s="11">
        <f t="shared" si="13"/>
        <v>2.1076463572939685</v>
      </c>
      <c r="M37" s="68">
        <v>2000</v>
      </c>
      <c r="N37" s="68">
        <f>B20/$B$20</f>
        <v>1</v>
      </c>
      <c r="O37" s="68">
        <f t="shared" si="7"/>
        <v>1</v>
      </c>
      <c r="P37" s="68">
        <f t="shared" si="8"/>
        <v>1</v>
      </c>
      <c r="Q37" s="68">
        <f t="shared" si="9"/>
        <v>1</v>
      </c>
      <c r="R37" s="68">
        <f t="shared" si="10"/>
        <v>1</v>
      </c>
      <c r="S37" s="68">
        <f t="shared" si="11"/>
        <v>1</v>
      </c>
      <c r="T37" s="68">
        <f t="shared" si="12"/>
        <v>1</v>
      </c>
    </row>
    <row r="38" spans="1:20" ht="30">
      <c r="A38" s="130" t="s">
        <v>28</v>
      </c>
      <c r="B38" s="11">
        <f>((B31/B27)^(1/4)-1)*100</f>
        <v>2.009171397866516</v>
      </c>
      <c r="C38" s="11">
        <f t="shared" ref="C38:K38" si="14">((C31/C27)^(1/4)-1)*100</f>
        <v>0.87902108907718102</v>
      </c>
      <c r="D38" s="11">
        <f t="shared" si="14"/>
        <v>0.29765061097766221</v>
      </c>
      <c r="E38" s="11">
        <f t="shared" si="14"/>
        <v>-1.2167565678662395</v>
      </c>
      <c r="F38" s="11">
        <f t="shared" si="14"/>
        <v>-2.3287691581121428</v>
      </c>
      <c r="G38" s="11">
        <f t="shared" si="14"/>
        <v>-7.9143797018617175</v>
      </c>
      <c r="H38" s="11">
        <f t="shared" si="14"/>
        <v>2.437030560633735</v>
      </c>
      <c r="I38" s="11">
        <f t="shared" si="14"/>
        <v>1.8266571620778604</v>
      </c>
      <c r="J38" s="11">
        <f t="shared" si="14"/>
        <v>4.0904753625080392</v>
      </c>
      <c r="K38" s="11">
        <f t="shared" si="14"/>
        <v>0.57484993541006002</v>
      </c>
      <c r="M38" s="68">
        <v>2001</v>
      </c>
      <c r="N38" s="68">
        <f>B21/$B$20</f>
        <v>1.0138063607261907</v>
      </c>
      <c r="O38" s="68">
        <f t="shared" si="7"/>
        <v>0.98644775444494925</v>
      </c>
      <c r="P38" s="68">
        <f t="shared" si="8"/>
        <v>0.91252791473823214</v>
      </c>
      <c r="Q38" s="68">
        <f t="shared" si="9"/>
        <v>0.9426602765220633</v>
      </c>
      <c r="R38" s="68">
        <f t="shared" si="10"/>
        <v>1.0226356619424264</v>
      </c>
      <c r="S38" s="68">
        <f t="shared" si="11"/>
        <v>0.99565233982817258</v>
      </c>
      <c r="T38" s="68">
        <f t="shared" si="12"/>
        <v>1.0603884206508534</v>
      </c>
    </row>
    <row r="39" spans="1:20" ht="30">
      <c r="A39" s="325" t="s">
        <v>364</v>
      </c>
      <c r="B39" s="11">
        <f>((B31/B20)^(1/11)-1)*100</f>
        <v>2.2934108319171642</v>
      </c>
      <c r="C39" s="11">
        <f t="shared" ref="C39:K39" si="15">((C31/C20)^(1/11)-1)*100</f>
        <v>-1.3665295888886986</v>
      </c>
      <c r="D39" s="11">
        <f t="shared" si="15"/>
        <v>-0.94539914988744922</v>
      </c>
      <c r="E39" s="11">
        <f t="shared" si="15"/>
        <v>-3.6980401468668989</v>
      </c>
      <c r="F39" s="11" t="s">
        <v>10</v>
      </c>
      <c r="G39" s="11" t="s">
        <v>10</v>
      </c>
      <c r="H39" s="11" t="s">
        <v>10</v>
      </c>
      <c r="I39" s="11">
        <f t="shared" si="15"/>
        <v>-0.40494631499048417</v>
      </c>
      <c r="J39" s="11">
        <f t="shared" si="15"/>
        <v>-2.0850022416727398</v>
      </c>
      <c r="K39" s="11">
        <f t="shared" si="15"/>
        <v>1.5475815453968922</v>
      </c>
      <c r="M39" s="68">
        <v>2002</v>
      </c>
      <c r="N39" s="68">
        <f>B22/$B$20</f>
        <v>1.0404578834941463</v>
      </c>
      <c r="O39" s="68">
        <f t="shared" si="7"/>
        <v>0.92191841947906472</v>
      </c>
      <c r="P39" s="68">
        <f t="shared" si="8"/>
        <v>0.98552398213267789</v>
      </c>
      <c r="Q39" s="68">
        <f t="shared" si="9"/>
        <v>0.91321244078949881</v>
      </c>
      <c r="R39" s="68">
        <f t="shared" si="10"/>
        <v>0.90762026393757422</v>
      </c>
      <c r="S39" s="68">
        <f t="shared" si="11"/>
        <v>0.80086037224326889</v>
      </c>
      <c r="T39" s="68">
        <f t="shared" si="12"/>
        <v>1.0449536207143499</v>
      </c>
    </row>
    <row r="40" spans="1:20">
      <c r="M40" s="68">
        <v>2003</v>
      </c>
      <c r="N40" s="68">
        <f>B23/$B$20</f>
        <v>1.0622600156157871</v>
      </c>
      <c r="O40" s="68">
        <f t="shared" si="7"/>
        <v>0.88973913914385594</v>
      </c>
      <c r="P40" s="68">
        <f t="shared" si="8"/>
        <v>0.95845323089274836</v>
      </c>
      <c r="Q40" s="68">
        <f t="shared" si="9"/>
        <v>0.92846076611604667</v>
      </c>
      <c r="R40" s="68">
        <f t="shared" si="10"/>
        <v>0.8486139736364694</v>
      </c>
      <c r="S40" s="68">
        <f t="shared" si="11"/>
        <v>0.6987783227251686</v>
      </c>
      <c r="T40" s="68">
        <f t="shared" si="12"/>
        <v>1.0359495777455703</v>
      </c>
    </row>
    <row r="41" spans="1:20" s="237" customFormat="1">
      <c r="A41" s="231" t="s">
        <v>144</v>
      </c>
    </row>
    <row r="42" spans="1:20">
      <c r="A42" s="237" t="s">
        <v>303</v>
      </c>
      <c r="M42" s="68">
        <v>2007</v>
      </c>
      <c r="N42" s="68">
        <f>B27/$B$20</f>
        <v>1.185133783248884</v>
      </c>
      <c r="O42" s="68">
        <f>C27/$C$20</f>
        <v>0.82997310038085603</v>
      </c>
      <c r="P42" s="68">
        <f>D27/$D$20</f>
        <v>0.89013962550059544</v>
      </c>
      <c r="Q42" s="68">
        <f>E27/$E$20</f>
        <v>0.69383028925980961</v>
      </c>
      <c r="R42" s="68">
        <f>I27/$I$20</f>
        <v>0.88954827899183131</v>
      </c>
      <c r="S42" s="68">
        <f>J27/$J$20</f>
        <v>0.67561212302179763</v>
      </c>
      <c r="T42" s="68">
        <f>K27/$K$20</f>
        <v>1.1571984916857265</v>
      </c>
    </row>
    <row r="43" spans="1:20">
      <c r="M43" s="68">
        <v>2010</v>
      </c>
      <c r="N43" s="68">
        <f>B30/$B$20</f>
        <v>1.2536530697989363</v>
      </c>
      <c r="O43" s="68">
        <f>C30/$C$20</f>
        <v>0.91281841976011557</v>
      </c>
      <c r="P43" s="68">
        <f>D30/$D$20</f>
        <v>0.92459807753670753</v>
      </c>
      <c r="Q43" s="68">
        <f>E30/$E$20</f>
        <v>0.69967307064305007</v>
      </c>
      <c r="R43" s="68">
        <f>I30/$I$20</f>
        <v>1.0226915443001459</v>
      </c>
      <c r="S43" s="68">
        <f>J30/$J$20</f>
        <v>0.88875965312534322</v>
      </c>
      <c r="T43" s="68">
        <f>K30/$K$20</f>
        <v>1.2309328692792394</v>
      </c>
    </row>
    <row r="44" spans="1:20">
      <c r="M44" s="68">
        <v>2011</v>
      </c>
      <c r="N44" s="68">
        <f>B31/$B$20</f>
        <v>1.2832883680679175</v>
      </c>
      <c r="O44" s="68">
        <f>C31/$C$20</f>
        <v>0.85954269576263276</v>
      </c>
      <c r="P44" s="68">
        <f>D31/$D$20</f>
        <v>0.9007850612254118</v>
      </c>
      <c r="Q44" s="68">
        <f>E31/$E$20</f>
        <v>0.66067273054349318</v>
      </c>
      <c r="R44" s="68">
        <f>I31/$I$20</f>
        <v>0.95634693532354798</v>
      </c>
      <c r="S44" s="68">
        <f>J31/$J$20</f>
        <v>0.79312456526175057</v>
      </c>
      <c r="T44" s="68">
        <f>K31/$K$20</f>
        <v>1.184037430810601</v>
      </c>
    </row>
    <row r="45" spans="1:20">
      <c r="M45" s="68">
        <v>2012</v>
      </c>
      <c r="N45" s="68" t="e">
        <f>B32/$B$20</f>
        <v>#VALUE!</v>
      </c>
      <c r="O45" s="68" t="e">
        <f>C32/$C$20</f>
        <v>#VALUE!</v>
      </c>
      <c r="P45" s="68" t="e">
        <f>D32/$D$20</f>
        <v>#VALUE!</v>
      </c>
      <c r="Q45" s="68" t="e">
        <f>E32/$E$20</f>
        <v>#VALUE!</v>
      </c>
      <c r="R45" s="68" t="e">
        <f>I32/$I$20</f>
        <v>#VALUE!</v>
      </c>
      <c r="S45" s="68" t="e">
        <f>J32/$J$20</f>
        <v>#VALUE!</v>
      </c>
      <c r="T45" s="68" t="e">
        <f>K32/$K$20</f>
        <v>#VALUE!</v>
      </c>
    </row>
    <row r="46" spans="1:20">
      <c r="M46" s="68">
        <v>2013</v>
      </c>
      <c r="N46" s="68" t="e">
        <f>B33/$B$20</f>
        <v>#VALUE!</v>
      </c>
      <c r="O46" s="68" t="e">
        <f>C33/$C$20</f>
        <v>#VALUE!</v>
      </c>
      <c r="P46" s="68" t="e">
        <f>D33/$D$20</f>
        <v>#VALUE!</v>
      </c>
      <c r="Q46" s="68" t="e">
        <f>E33/$E$20</f>
        <v>#VALUE!</v>
      </c>
      <c r="R46" s="68" t="e">
        <f>I33/$I$20</f>
        <v>#VALUE!</v>
      </c>
      <c r="S46" s="68" t="e">
        <f>J33/$J$20</f>
        <v>#VALUE!</v>
      </c>
      <c r="T46" s="68" t="e">
        <f>K33/$K$20</f>
        <v>#VALUE!</v>
      </c>
    </row>
  </sheetData>
  <mergeCells count="2">
    <mergeCell ref="A1:K1"/>
    <mergeCell ref="A35:K35"/>
  </mergeCells>
  <printOptions gridLines="1"/>
  <pageMargins left="0.7" right="0.7" top="0.75" bottom="0.75" header="0.3" footer="0.3"/>
  <pageSetup scale="78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9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78"/>
    <col min="12" max="12" width="15.140625" style="165" customWidth="1"/>
    <col min="13" max="16384" width="9.140625" style="165"/>
  </cols>
  <sheetData>
    <row r="1" spans="1:20">
      <c r="A1" s="454" t="s">
        <v>232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510.3</v>
      </c>
      <c r="C5" s="129" t="s">
        <v>9</v>
      </c>
      <c r="D5" s="129">
        <v>1.1000000000000001</v>
      </c>
      <c r="E5" s="129">
        <v>1.4</v>
      </c>
      <c r="F5" s="129" t="s">
        <v>9</v>
      </c>
      <c r="G5" s="129">
        <v>3605</v>
      </c>
      <c r="H5" s="129" t="s">
        <v>9</v>
      </c>
      <c r="I5" s="129">
        <v>7.5</v>
      </c>
      <c r="J5" s="129">
        <v>10.1</v>
      </c>
      <c r="K5" s="129" t="s">
        <v>9</v>
      </c>
      <c r="L5" s="129">
        <v>3600.7</v>
      </c>
      <c r="M5" s="129" t="s">
        <v>9</v>
      </c>
      <c r="N5" s="129">
        <v>7.5</v>
      </c>
      <c r="O5" s="129">
        <v>10</v>
      </c>
      <c r="P5" s="129" t="s">
        <v>9</v>
      </c>
      <c r="Q5" s="249"/>
      <c r="R5" s="249"/>
      <c r="S5" s="249"/>
      <c r="T5" s="249"/>
    </row>
    <row r="6" spans="1:20">
      <c r="A6" s="248">
        <v>1962</v>
      </c>
      <c r="B6" s="129">
        <v>542.5</v>
      </c>
      <c r="C6" s="129" t="s">
        <v>9</v>
      </c>
      <c r="D6" s="129">
        <v>1.1000000000000001</v>
      </c>
      <c r="E6" s="129">
        <v>1.2</v>
      </c>
      <c r="F6" s="129" t="s">
        <v>9</v>
      </c>
      <c r="G6" s="129">
        <v>3847.8</v>
      </c>
      <c r="H6" s="129" t="s">
        <v>9</v>
      </c>
      <c r="I6" s="129">
        <v>7.8</v>
      </c>
      <c r="J6" s="129">
        <v>8.6</v>
      </c>
      <c r="K6" s="129" t="s">
        <v>9</v>
      </c>
      <c r="L6" s="129">
        <v>3847.2</v>
      </c>
      <c r="M6" s="129" t="s">
        <v>9</v>
      </c>
      <c r="N6" s="129">
        <v>7.8</v>
      </c>
      <c r="O6" s="129">
        <v>8.6</v>
      </c>
      <c r="P6" s="129" t="s">
        <v>9</v>
      </c>
      <c r="Q6" s="249"/>
      <c r="R6" s="249"/>
      <c r="S6" s="249"/>
      <c r="T6" s="249"/>
    </row>
    <row r="7" spans="1:20">
      <c r="A7" s="248">
        <v>1963</v>
      </c>
      <c r="B7" s="129">
        <v>530.79999999999995</v>
      </c>
      <c r="C7" s="129" t="s">
        <v>9</v>
      </c>
      <c r="D7" s="129">
        <v>1.1000000000000001</v>
      </c>
      <c r="E7" s="129">
        <v>1.9</v>
      </c>
      <c r="F7" s="129" t="s">
        <v>9</v>
      </c>
      <c r="G7" s="129">
        <v>3692.9</v>
      </c>
      <c r="H7" s="129" t="s">
        <v>9</v>
      </c>
      <c r="I7" s="129">
        <v>7.4</v>
      </c>
      <c r="J7" s="129">
        <v>13.4</v>
      </c>
      <c r="K7" s="129" t="s">
        <v>9</v>
      </c>
      <c r="L7" s="129">
        <v>3696.8</v>
      </c>
      <c r="M7" s="129" t="s">
        <v>9</v>
      </c>
      <c r="N7" s="129">
        <v>7.5</v>
      </c>
      <c r="O7" s="129">
        <v>13.3</v>
      </c>
      <c r="P7" s="129" t="s">
        <v>9</v>
      </c>
      <c r="Q7" s="249"/>
      <c r="R7" s="249"/>
      <c r="S7" s="249"/>
      <c r="T7" s="249"/>
    </row>
    <row r="8" spans="1:20">
      <c r="A8" s="248">
        <v>1964</v>
      </c>
      <c r="B8" s="129">
        <v>620.9</v>
      </c>
      <c r="C8" s="129" t="s">
        <v>9</v>
      </c>
      <c r="D8" s="129">
        <v>1.7</v>
      </c>
      <c r="E8" s="129">
        <v>3.1</v>
      </c>
      <c r="F8" s="129" t="s">
        <v>9</v>
      </c>
      <c r="G8" s="129">
        <v>4244.3</v>
      </c>
      <c r="H8" s="129" t="s">
        <v>9</v>
      </c>
      <c r="I8" s="129">
        <v>11.9</v>
      </c>
      <c r="J8" s="129">
        <v>21.8</v>
      </c>
      <c r="K8" s="129" t="s">
        <v>9</v>
      </c>
      <c r="L8" s="129">
        <v>4253.8999999999996</v>
      </c>
      <c r="M8" s="129" t="s">
        <v>9</v>
      </c>
      <c r="N8" s="129">
        <v>11.7</v>
      </c>
      <c r="O8" s="129">
        <v>21.6</v>
      </c>
      <c r="P8" s="129" t="s">
        <v>9</v>
      </c>
      <c r="Q8" s="249"/>
      <c r="R8" s="249"/>
      <c r="S8" s="249"/>
      <c r="T8" s="249"/>
    </row>
    <row r="9" spans="1:20">
      <c r="A9" s="248">
        <v>1965</v>
      </c>
      <c r="B9" s="129">
        <v>785.3</v>
      </c>
      <c r="C9" s="129" t="s">
        <v>9</v>
      </c>
      <c r="D9" s="129">
        <v>1.8</v>
      </c>
      <c r="E9" s="129">
        <v>2.2999999999999998</v>
      </c>
      <c r="F9" s="129" t="s">
        <v>9</v>
      </c>
      <c r="G9" s="129">
        <v>5115.1000000000004</v>
      </c>
      <c r="H9" s="129" t="s">
        <v>9</v>
      </c>
      <c r="I9" s="129">
        <v>11.7</v>
      </c>
      <c r="J9" s="129">
        <v>15.8</v>
      </c>
      <c r="K9" s="129" t="s">
        <v>9</v>
      </c>
      <c r="L9" s="129">
        <v>5137.7</v>
      </c>
      <c r="M9" s="129" t="s">
        <v>9</v>
      </c>
      <c r="N9" s="129">
        <v>11.6</v>
      </c>
      <c r="O9" s="129">
        <v>15.7</v>
      </c>
      <c r="P9" s="129" t="s">
        <v>9</v>
      </c>
      <c r="Q9" s="249"/>
      <c r="R9" s="249"/>
      <c r="S9" s="249"/>
      <c r="T9" s="249"/>
    </row>
    <row r="10" spans="1:20">
      <c r="A10" s="248">
        <v>1966</v>
      </c>
      <c r="B10" s="129">
        <v>887</v>
      </c>
      <c r="C10" s="129" t="s">
        <v>9</v>
      </c>
      <c r="D10" s="129">
        <v>2</v>
      </c>
      <c r="E10" s="129">
        <v>4.4000000000000004</v>
      </c>
      <c r="F10" s="129" t="s">
        <v>9</v>
      </c>
      <c r="G10" s="129">
        <v>5445.8</v>
      </c>
      <c r="H10" s="129" t="s">
        <v>9</v>
      </c>
      <c r="I10" s="129">
        <v>12.1</v>
      </c>
      <c r="J10" s="129">
        <v>27.8</v>
      </c>
      <c r="K10" s="129" t="s">
        <v>9</v>
      </c>
      <c r="L10" s="129">
        <v>5449.1</v>
      </c>
      <c r="M10" s="129" t="s">
        <v>9</v>
      </c>
      <c r="N10" s="129">
        <v>12</v>
      </c>
      <c r="O10" s="129">
        <v>27.6</v>
      </c>
      <c r="P10" s="129" t="s">
        <v>9</v>
      </c>
      <c r="Q10" s="249"/>
      <c r="R10" s="249"/>
      <c r="S10" s="249"/>
      <c r="T10" s="249"/>
    </row>
    <row r="11" spans="1:20">
      <c r="A11" s="248">
        <v>1967</v>
      </c>
      <c r="B11" s="129">
        <v>712.6</v>
      </c>
      <c r="C11" s="129" t="s">
        <v>9</v>
      </c>
      <c r="D11" s="129">
        <v>2.1</v>
      </c>
      <c r="E11" s="129">
        <v>3.6</v>
      </c>
      <c r="F11" s="129" t="s">
        <v>9</v>
      </c>
      <c r="G11" s="129">
        <v>4205.2</v>
      </c>
      <c r="H11" s="129" t="s">
        <v>9</v>
      </c>
      <c r="I11" s="129">
        <v>12.5</v>
      </c>
      <c r="J11" s="129">
        <v>22</v>
      </c>
      <c r="K11" s="129" t="s">
        <v>9</v>
      </c>
      <c r="L11" s="129">
        <v>4216.2</v>
      </c>
      <c r="M11" s="129" t="s">
        <v>9</v>
      </c>
      <c r="N11" s="129">
        <v>12.4</v>
      </c>
      <c r="O11" s="129">
        <v>21.8</v>
      </c>
      <c r="P11" s="129" t="s">
        <v>9</v>
      </c>
      <c r="Q11" s="249"/>
      <c r="R11" s="249"/>
      <c r="S11" s="249"/>
      <c r="T11" s="249"/>
    </row>
    <row r="12" spans="1:20">
      <c r="A12" s="248">
        <v>1968</v>
      </c>
      <c r="B12" s="129">
        <v>694</v>
      </c>
      <c r="C12" s="129" t="s">
        <v>9</v>
      </c>
      <c r="D12" s="129">
        <v>0.8</v>
      </c>
      <c r="E12" s="129">
        <v>2.2999999999999998</v>
      </c>
      <c r="F12" s="129" t="s">
        <v>9</v>
      </c>
      <c r="G12" s="129">
        <v>4091.1</v>
      </c>
      <c r="H12" s="129" t="s">
        <v>9</v>
      </c>
      <c r="I12" s="129">
        <v>4.4000000000000004</v>
      </c>
      <c r="J12" s="129">
        <v>13.8</v>
      </c>
      <c r="K12" s="129" t="s">
        <v>9</v>
      </c>
      <c r="L12" s="129">
        <v>4106.5</v>
      </c>
      <c r="M12" s="129" t="s">
        <v>9</v>
      </c>
      <c r="N12" s="129">
        <v>4.4000000000000004</v>
      </c>
      <c r="O12" s="129">
        <v>13.7</v>
      </c>
      <c r="P12" s="129" t="s">
        <v>9</v>
      </c>
      <c r="Q12" s="249"/>
      <c r="R12" s="249"/>
      <c r="S12" s="249"/>
      <c r="T12" s="249"/>
    </row>
    <row r="13" spans="1:20">
      <c r="A13" s="248">
        <v>1969</v>
      </c>
      <c r="B13" s="129">
        <v>697.9</v>
      </c>
      <c r="C13" s="129" t="s">
        <v>9</v>
      </c>
      <c r="D13" s="129">
        <v>1.2</v>
      </c>
      <c r="E13" s="129">
        <v>3.6</v>
      </c>
      <c r="F13" s="129" t="s">
        <v>9</v>
      </c>
      <c r="G13" s="129">
        <v>3948.6</v>
      </c>
      <c r="H13" s="129" t="s">
        <v>9</v>
      </c>
      <c r="I13" s="129">
        <v>6.5</v>
      </c>
      <c r="J13" s="129">
        <v>20.8</v>
      </c>
      <c r="K13" s="129" t="s">
        <v>9</v>
      </c>
      <c r="L13" s="129">
        <v>3941.1</v>
      </c>
      <c r="M13" s="129" t="s">
        <v>9</v>
      </c>
      <c r="N13" s="129">
        <v>6.6</v>
      </c>
      <c r="O13" s="129">
        <v>20.6</v>
      </c>
      <c r="P13" s="129" t="s">
        <v>9</v>
      </c>
      <c r="Q13" s="249"/>
      <c r="R13" s="249"/>
      <c r="S13" s="249"/>
      <c r="T13" s="249"/>
    </row>
    <row r="14" spans="1:20">
      <c r="A14" s="248">
        <v>1970</v>
      </c>
      <c r="B14" s="129">
        <v>714.4</v>
      </c>
      <c r="C14" s="129" t="s">
        <v>9</v>
      </c>
      <c r="D14" s="129">
        <v>0.7</v>
      </c>
      <c r="E14" s="129">
        <v>2.8</v>
      </c>
      <c r="F14" s="129" t="s">
        <v>9</v>
      </c>
      <c r="G14" s="129">
        <v>3846.8</v>
      </c>
      <c r="H14" s="129" t="s">
        <v>9</v>
      </c>
      <c r="I14" s="129">
        <v>3.6</v>
      </c>
      <c r="J14" s="129">
        <v>15.7</v>
      </c>
      <c r="K14" s="129" t="s">
        <v>9</v>
      </c>
      <c r="L14" s="129">
        <v>3845.6</v>
      </c>
      <c r="M14" s="129" t="s">
        <v>9</v>
      </c>
      <c r="N14" s="129">
        <v>3.7</v>
      </c>
      <c r="O14" s="129">
        <v>15.6</v>
      </c>
      <c r="P14" s="129" t="s">
        <v>9</v>
      </c>
      <c r="Q14" s="249"/>
      <c r="R14" s="249"/>
      <c r="S14" s="249"/>
      <c r="T14" s="249"/>
    </row>
    <row r="15" spans="1:20">
      <c r="A15" s="248">
        <v>1971</v>
      </c>
      <c r="B15" s="129">
        <v>808.6</v>
      </c>
      <c r="C15" s="129" t="s">
        <v>9</v>
      </c>
      <c r="D15" s="129">
        <v>0.5</v>
      </c>
      <c r="E15" s="129">
        <v>3.5</v>
      </c>
      <c r="F15" s="129" t="s">
        <v>9</v>
      </c>
      <c r="G15" s="129">
        <v>4123.3</v>
      </c>
      <c r="H15" s="129" t="s">
        <v>9</v>
      </c>
      <c r="I15" s="129">
        <v>2.2999999999999998</v>
      </c>
      <c r="J15" s="129">
        <v>18.5</v>
      </c>
      <c r="K15" s="129" t="s">
        <v>9</v>
      </c>
      <c r="L15" s="129">
        <v>4143.8999999999996</v>
      </c>
      <c r="M15" s="129" t="s">
        <v>9</v>
      </c>
      <c r="N15" s="129">
        <v>2.2999999999999998</v>
      </c>
      <c r="O15" s="129">
        <v>18.399999999999999</v>
      </c>
      <c r="P15" s="129" t="s">
        <v>9</v>
      </c>
      <c r="Q15" s="249"/>
      <c r="R15" s="249"/>
      <c r="S15" s="249"/>
      <c r="T15" s="249"/>
    </row>
    <row r="16" spans="1:20">
      <c r="A16" s="248">
        <v>1972</v>
      </c>
      <c r="B16" s="129">
        <v>915.1</v>
      </c>
      <c r="C16" s="129" t="s">
        <v>9</v>
      </c>
      <c r="D16" s="129">
        <v>0.6</v>
      </c>
      <c r="E16" s="129">
        <v>10.1</v>
      </c>
      <c r="F16" s="129" t="s">
        <v>9</v>
      </c>
      <c r="G16" s="129">
        <v>4363.8999999999996</v>
      </c>
      <c r="H16" s="129" t="s">
        <v>9</v>
      </c>
      <c r="I16" s="129">
        <v>2.6</v>
      </c>
      <c r="J16" s="129">
        <v>53</v>
      </c>
      <c r="K16" s="129" t="s">
        <v>9</v>
      </c>
      <c r="L16" s="129">
        <v>4385.7</v>
      </c>
      <c r="M16" s="129" t="s">
        <v>9</v>
      </c>
      <c r="N16" s="129">
        <v>2.6</v>
      </c>
      <c r="O16" s="129">
        <v>52.5</v>
      </c>
      <c r="P16" s="129" t="s">
        <v>9</v>
      </c>
      <c r="Q16" s="249"/>
      <c r="R16" s="249"/>
      <c r="S16" s="249"/>
      <c r="T16" s="249"/>
    </row>
    <row r="17" spans="1:20">
      <c r="A17" s="248">
        <v>1973</v>
      </c>
      <c r="B17" s="129">
        <v>1081.5999999999999</v>
      </c>
      <c r="C17" s="129" t="s">
        <v>9</v>
      </c>
      <c r="D17" s="129">
        <v>2.4</v>
      </c>
      <c r="E17" s="129">
        <v>16.600000000000001</v>
      </c>
      <c r="F17" s="129" t="s">
        <v>9</v>
      </c>
      <c r="G17" s="129">
        <v>4631.3999999999996</v>
      </c>
      <c r="H17" s="129" t="s">
        <v>9</v>
      </c>
      <c r="I17" s="129">
        <v>10.199999999999999</v>
      </c>
      <c r="J17" s="129">
        <v>74.599999999999994</v>
      </c>
      <c r="K17" s="129" t="s">
        <v>9</v>
      </c>
      <c r="L17" s="129">
        <v>4654.8999999999996</v>
      </c>
      <c r="M17" s="129" t="s">
        <v>9</v>
      </c>
      <c r="N17" s="129">
        <v>10.199999999999999</v>
      </c>
      <c r="O17" s="129">
        <v>73.900000000000006</v>
      </c>
      <c r="P17" s="129" t="s">
        <v>9</v>
      </c>
      <c r="Q17" s="249"/>
      <c r="R17" s="249"/>
      <c r="S17" s="249"/>
      <c r="T17" s="249"/>
    </row>
    <row r="18" spans="1:20">
      <c r="A18" s="248">
        <v>1974</v>
      </c>
      <c r="B18" s="129">
        <v>1585.6</v>
      </c>
      <c r="C18" s="129" t="s">
        <v>9</v>
      </c>
      <c r="D18" s="129">
        <v>5.6</v>
      </c>
      <c r="E18" s="129">
        <v>23.4</v>
      </c>
      <c r="F18" s="129" t="s">
        <v>9</v>
      </c>
      <c r="G18" s="129">
        <v>5605.2</v>
      </c>
      <c r="H18" s="129" t="s">
        <v>9</v>
      </c>
      <c r="I18" s="129">
        <v>20.3</v>
      </c>
      <c r="J18" s="129">
        <v>80.2</v>
      </c>
      <c r="K18" s="129" t="s">
        <v>9</v>
      </c>
      <c r="L18" s="129">
        <v>5627.6</v>
      </c>
      <c r="M18" s="129" t="s">
        <v>9</v>
      </c>
      <c r="N18" s="129">
        <v>20.399999999999999</v>
      </c>
      <c r="O18" s="129">
        <v>79.5</v>
      </c>
      <c r="P18" s="129" t="s">
        <v>9</v>
      </c>
      <c r="Q18" s="249"/>
      <c r="R18" s="249"/>
      <c r="S18" s="249"/>
      <c r="T18" s="249"/>
    </row>
    <row r="19" spans="1:20">
      <c r="A19" s="248">
        <v>1975</v>
      </c>
      <c r="B19" s="129">
        <v>2187.1999999999998</v>
      </c>
      <c r="C19" s="129" t="s">
        <v>9</v>
      </c>
      <c r="D19" s="129">
        <v>1.9</v>
      </c>
      <c r="E19" s="129">
        <v>18.3</v>
      </c>
      <c r="F19" s="129" t="s">
        <v>9</v>
      </c>
      <c r="G19" s="129">
        <v>6746.9</v>
      </c>
      <c r="H19" s="129" t="s">
        <v>9</v>
      </c>
      <c r="I19" s="129">
        <v>5.7</v>
      </c>
      <c r="J19" s="129">
        <v>58.3</v>
      </c>
      <c r="K19" s="129" t="s">
        <v>9</v>
      </c>
      <c r="L19" s="129">
        <v>6786</v>
      </c>
      <c r="M19" s="129" t="s">
        <v>9</v>
      </c>
      <c r="N19" s="129">
        <v>5.6</v>
      </c>
      <c r="O19" s="129">
        <v>57.8</v>
      </c>
      <c r="P19" s="129" t="s">
        <v>9</v>
      </c>
      <c r="Q19" s="249"/>
      <c r="R19" s="249"/>
      <c r="S19" s="249"/>
      <c r="T19" s="249"/>
    </row>
    <row r="20" spans="1:20">
      <c r="A20" s="248">
        <v>1976</v>
      </c>
      <c r="B20" s="129">
        <v>1960.4</v>
      </c>
      <c r="C20" s="129" t="s">
        <v>9</v>
      </c>
      <c r="D20" s="129">
        <v>2.7</v>
      </c>
      <c r="E20" s="129">
        <v>10.3</v>
      </c>
      <c r="F20" s="129" t="s">
        <v>9</v>
      </c>
      <c r="G20" s="129">
        <v>5894.5</v>
      </c>
      <c r="H20" s="129" t="s">
        <v>9</v>
      </c>
      <c r="I20" s="129">
        <v>7.9</v>
      </c>
      <c r="J20" s="129">
        <v>31.6</v>
      </c>
      <c r="K20" s="129" t="s">
        <v>9</v>
      </c>
      <c r="L20" s="129">
        <v>5939.3</v>
      </c>
      <c r="M20" s="129" t="s">
        <v>9</v>
      </c>
      <c r="N20" s="129">
        <v>7.9</v>
      </c>
      <c r="O20" s="129">
        <v>31.4</v>
      </c>
      <c r="P20" s="129" t="s">
        <v>9</v>
      </c>
      <c r="Q20" s="249"/>
      <c r="R20" s="249"/>
      <c r="S20" s="249"/>
      <c r="T20" s="249"/>
    </row>
    <row r="21" spans="1:20">
      <c r="A21" s="248">
        <v>1977</v>
      </c>
      <c r="B21" s="129">
        <v>1820.7</v>
      </c>
      <c r="C21" s="129" t="s">
        <v>9</v>
      </c>
      <c r="D21" s="129">
        <v>2.4</v>
      </c>
      <c r="E21" s="129">
        <v>12</v>
      </c>
      <c r="F21" s="129" t="s">
        <v>9</v>
      </c>
      <c r="G21" s="129">
        <v>5321.5</v>
      </c>
      <c r="H21" s="129" t="s">
        <v>9</v>
      </c>
      <c r="I21" s="129">
        <v>7</v>
      </c>
      <c r="J21" s="129">
        <v>35.6</v>
      </c>
      <c r="K21" s="129" t="s">
        <v>9</v>
      </c>
      <c r="L21" s="129">
        <v>5349.1</v>
      </c>
      <c r="M21" s="129" t="s">
        <v>9</v>
      </c>
      <c r="N21" s="129">
        <v>6.9</v>
      </c>
      <c r="O21" s="129">
        <v>35.299999999999997</v>
      </c>
      <c r="P21" s="129" t="s">
        <v>9</v>
      </c>
      <c r="Q21" s="249"/>
      <c r="R21" s="249"/>
      <c r="S21" s="249"/>
      <c r="T21" s="249"/>
    </row>
    <row r="22" spans="1:20">
      <c r="A22" s="248">
        <v>1978</v>
      </c>
      <c r="B22" s="129">
        <v>1540.2</v>
      </c>
      <c r="C22" s="129" t="s">
        <v>9</v>
      </c>
      <c r="D22" s="129">
        <v>2.1</v>
      </c>
      <c r="E22" s="129">
        <v>8.6999999999999993</v>
      </c>
      <c r="F22" s="129" t="s">
        <v>9</v>
      </c>
      <c r="G22" s="129">
        <v>4327.8999999999996</v>
      </c>
      <c r="H22" s="129" t="s">
        <v>9</v>
      </c>
      <c r="I22" s="129">
        <v>5.7</v>
      </c>
      <c r="J22" s="129">
        <v>25.5</v>
      </c>
      <c r="K22" s="129" t="s">
        <v>9</v>
      </c>
      <c r="L22" s="129">
        <v>4335.5</v>
      </c>
      <c r="M22" s="129" t="s">
        <v>9</v>
      </c>
      <c r="N22" s="129">
        <v>5.7</v>
      </c>
      <c r="O22" s="129">
        <v>25.3</v>
      </c>
      <c r="P22" s="129" t="s">
        <v>9</v>
      </c>
      <c r="Q22" s="249"/>
      <c r="R22" s="249"/>
      <c r="S22" s="249"/>
      <c r="T22" s="249"/>
    </row>
    <row r="23" spans="1:20">
      <c r="A23" s="248">
        <v>1979</v>
      </c>
      <c r="B23" s="129">
        <v>1492.1</v>
      </c>
      <c r="C23" s="129" t="s">
        <v>9</v>
      </c>
      <c r="D23" s="129">
        <v>1.2</v>
      </c>
      <c r="E23" s="129">
        <v>13.1</v>
      </c>
      <c r="F23" s="129" t="s">
        <v>9</v>
      </c>
      <c r="G23" s="129">
        <v>3965</v>
      </c>
      <c r="H23" s="129" t="s">
        <v>9</v>
      </c>
      <c r="I23" s="129">
        <v>3.1</v>
      </c>
      <c r="J23" s="129">
        <v>36.700000000000003</v>
      </c>
      <c r="K23" s="129" t="s">
        <v>9</v>
      </c>
      <c r="L23" s="129">
        <v>3957.9</v>
      </c>
      <c r="M23" s="129" t="s">
        <v>9</v>
      </c>
      <c r="N23" s="129">
        <v>3.1</v>
      </c>
      <c r="O23" s="129">
        <v>36.4</v>
      </c>
      <c r="P23" s="129" t="s">
        <v>9</v>
      </c>
      <c r="Q23" s="249"/>
      <c r="R23" s="249"/>
      <c r="S23" s="249"/>
      <c r="T23" s="249"/>
    </row>
    <row r="24" spans="1:20">
      <c r="A24" s="248">
        <v>1980</v>
      </c>
      <c r="B24" s="129">
        <v>1711.7</v>
      </c>
      <c r="C24" s="129" t="s">
        <v>9</v>
      </c>
      <c r="D24" s="129">
        <v>5</v>
      </c>
      <c r="E24" s="129">
        <v>19.8</v>
      </c>
      <c r="F24" s="129" t="s">
        <v>9</v>
      </c>
      <c r="G24" s="129">
        <v>4154.5</v>
      </c>
      <c r="H24" s="129" t="s">
        <v>9</v>
      </c>
      <c r="I24" s="129">
        <v>11.9</v>
      </c>
      <c r="J24" s="129">
        <v>48.9</v>
      </c>
      <c r="K24" s="129" t="s">
        <v>9</v>
      </c>
      <c r="L24" s="129">
        <v>4129.2</v>
      </c>
      <c r="M24" s="129" t="s">
        <v>9</v>
      </c>
      <c r="N24" s="129">
        <v>12.1</v>
      </c>
      <c r="O24" s="129">
        <v>48.5</v>
      </c>
      <c r="P24" s="129" t="s">
        <v>9</v>
      </c>
      <c r="Q24" s="249"/>
      <c r="R24" s="249"/>
      <c r="S24" s="249"/>
      <c r="T24" s="249"/>
    </row>
    <row r="25" spans="1:20">
      <c r="A25" s="248">
        <v>1981</v>
      </c>
      <c r="B25" s="129">
        <v>1993.4</v>
      </c>
      <c r="C25" s="129" t="s">
        <v>9</v>
      </c>
      <c r="D25" s="129">
        <v>3.1</v>
      </c>
      <c r="E25" s="129">
        <v>15.2</v>
      </c>
      <c r="F25" s="129" t="s">
        <v>9</v>
      </c>
      <c r="G25" s="129">
        <v>4321</v>
      </c>
      <c r="H25" s="129" t="s">
        <v>9</v>
      </c>
      <c r="I25" s="129">
        <v>6.3</v>
      </c>
      <c r="J25" s="129">
        <v>34.299999999999997</v>
      </c>
      <c r="K25" s="129" t="s">
        <v>9</v>
      </c>
      <c r="L25" s="129">
        <v>4289.3999999999996</v>
      </c>
      <c r="M25" s="129" t="s">
        <v>9</v>
      </c>
      <c r="N25" s="129">
        <v>6.4</v>
      </c>
      <c r="O25" s="129">
        <v>34</v>
      </c>
      <c r="P25" s="129" t="s">
        <v>9</v>
      </c>
      <c r="Q25" s="249"/>
      <c r="R25" s="249"/>
      <c r="S25" s="249"/>
      <c r="T25" s="249"/>
    </row>
    <row r="26" spans="1:20">
      <c r="A26" s="248">
        <v>1982</v>
      </c>
      <c r="B26" s="129">
        <v>2038.5</v>
      </c>
      <c r="C26" s="129" t="s">
        <v>9</v>
      </c>
      <c r="D26" s="129">
        <v>2.8</v>
      </c>
      <c r="E26" s="129">
        <v>37.200000000000003</v>
      </c>
      <c r="F26" s="129" t="s">
        <v>9</v>
      </c>
      <c r="G26" s="129">
        <v>4053.4</v>
      </c>
      <c r="H26" s="129" t="s">
        <v>9</v>
      </c>
      <c r="I26" s="129">
        <v>5.2</v>
      </c>
      <c r="J26" s="129">
        <v>77.2</v>
      </c>
      <c r="K26" s="129" t="s">
        <v>9</v>
      </c>
      <c r="L26" s="129">
        <v>4018.3</v>
      </c>
      <c r="M26" s="129" t="s">
        <v>9</v>
      </c>
      <c r="N26" s="129">
        <v>5.2</v>
      </c>
      <c r="O26" s="129">
        <v>76.599999999999994</v>
      </c>
      <c r="P26" s="129" t="s">
        <v>9</v>
      </c>
      <c r="Q26" s="249"/>
      <c r="R26" s="249"/>
      <c r="S26" s="249"/>
      <c r="T26" s="249"/>
    </row>
    <row r="27" spans="1:20">
      <c r="A27" s="248">
        <v>1983</v>
      </c>
      <c r="B27" s="129">
        <v>1929.4</v>
      </c>
      <c r="C27" s="129" t="s">
        <v>9</v>
      </c>
      <c r="D27" s="129">
        <v>1.2</v>
      </c>
      <c r="E27" s="129">
        <v>23.1</v>
      </c>
      <c r="F27" s="129" t="s">
        <v>9</v>
      </c>
      <c r="G27" s="129">
        <v>3737.6</v>
      </c>
      <c r="H27" s="129" t="s">
        <v>9</v>
      </c>
      <c r="I27" s="129">
        <v>2.1</v>
      </c>
      <c r="J27" s="129">
        <v>47.9</v>
      </c>
      <c r="K27" s="129" t="s">
        <v>9</v>
      </c>
      <c r="L27" s="129">
        <v>3722</v>
      </c>
      <c r="M27" s="129" t="s">
        <v>9</v>
      </c>
      <c r="N27" s="129">
        <v>2.1</v>
      </c>
      <c r="O27" s="129">
        <v>47.5</v>
      </c>
      <c r="P27" s="129" t="s">
        <v>9</v>
      </c>
      <c r="Q27" s="249"/>
      <c r="R27" s="249"/>
      <c r="S27" s="249"/>
      <c r="T27" s="249"/>
    </row>
    <row r="28" spans="1:20">
      <c r="A28" s="248">
        <v>1984</v>
      </c>
      <c r="B28" s="129">
        <v>2362.8000000000002</v>
      </c>
      <c r="C28" s="129" t="s">
        <v>9</v>
      </c>
      <c r="D28" s="129">
        <v>3.4</v>
      </c>
      <c r="E28" s="129">
        <v>17</v>
      </c>
      <c r="F28" s="129" t="s">
        <v>9</v>
      </c>
      <c r="G28" s="129">
        <v>4465.3</v>
      </c>
      <c r="H28" s="129" t="s">
        <v>9</v>
      </c>
      <c r="I28" s="129">
        <v>6.2</v>
      </c>
      <c r="J28" s="129">
        <v>34.299999999999997</v>
      </c>
      <c r="K28" s="129" t="s">
        <v>9</v>
      </c>
      <c r="L28" s="129">
        <v>4441.3</v>
      </c>
      <c r="M28" s="129" t="s">
        <v>9</v>
      </c>
      <c r="N28" s="129">
        <v>6.3</v>
      </c>
      <c r="O28" s="129">
        <v>34</v>
      </c>
      <c r="P28" s="129" t="s">
        <v>9</v>
      </c>
      <c r="Q28" s="249"/>
      <c r="R28" s="249"/>
      <c r="S28" s="249"/>
      <c r="T28" s="249"/>
    </row>
    <row r="29" spans="1:20">
      <c r="A29" s="248">
        <v>1985</v>
      </c>
      <c r="B29" s="129">
        <v>3223.5</v>
      </c>
      <c r="C29" s="129" t="s">
        <v>9</v>
      </c>
      <c r="D29" s="129">
        <v>4.5</v>
      </c>
      <c r="E29" s="129">
        <v>20.6</v>
      </c>
      <c r="F29" s="129" t="s">
        <v>9</v>
      </c>
      <c r="G29" s="129">
        <v>5857</v>
      </c>
      <c r="H29" s="129" t="s">
        <v>9</v>
      </c>
      <c r="I29" s="129">
        <v>7.9</v>
      </c>
      <c r="J29" s="129">
        <v>39.5</v>
      </c>
      <c r="K29" s="129" t="s">
        <v>9</v>
      </c>
      <c r="L29" s="129">
        <v>5819.3</v>
      </c>
      <c r="M29" s="129" t="s">
        <v>9</v>
      </c>
      <c r="N29" s="129">
        <v>8</v>
      </c>
      <c r="O29" s="129">
        <v>39.200000000000003</v>
      </c>
      <c r="P29" s="129" t="s">
        <v>9</v>
      </c>
      <c r="Q29" s="249"/>
      <c r="R29" s="249"/>
      <c r="S29" s="249"/>
      <c r="T29" s="249"/>
    </row>
    <row r="30" spans="1:20">
      <c r="A30" s="248">
        <v>1986</v>
      </c>
      <c r="B30" s="129">
        <v>3439.9</v>
      </c>
      <c r="C30" s="129" t="s">
        <v>9</v>
      </c>
      <c r="D30" s="129">
        <v>1.3</v>
      </c>
      <c r="E30" s="129">
        <v>23.4</v>
      </c>
      <c r="F30" s="129" t="s">
        <v>9</v>
      </c>
      <c r="G30" s="129">
        <v>5868.7</v>
      </c>
      <c r="H30" s="129" t="s">
        <v>9</v>
      </c>
      <c r="I30" s="129">
        <v>2.2000000000000002</v>
      </c>
      <c r="J30" s="129">
        <v>42.4</v>
      </c>
      <c r="K30" s="129" t="s">
        <v>9</v>
      </c>
      <c r="L30" s="129">
        <v>5884.3</v>
      </c>
      <c r="M30" s="129" t="s">
        <v>9</v>
      </c>
      <c r="N30" s="129">
        <v>2.2000000000000002</v>
      </c>
      <c r="O30" s="129">
        <v>42.1</v>
      </c>
      <c r="P30" s="129" t="s">
        <v>9</v>
      </c>
      <c r="Q30" s="249"/>
      <c r="R30" s="249"/>
      <c r="S30" s="249"/>
      <c r="T30" s="249"/>
    </row>
    <row r="31" spans="1:20">
      <c r="A31" s="248">
        <v>1987</v>
      </c>
      <c r="B31" s="129">
        <v>3990.1</v>
      </c>
      <c r="C31" s="129" t="s">
        <v>9</v>
      </c>
      <c r="D31" s="129">
        <v>0.8</v>
      </c>
      <c r="E31" s="129">
        <v>23.1</v>
      </c>
      <c r="F31" s="129" t="s">
        <v>9</v>
      </c>
      <c r="G31" s="129">
        <v>6420.1</v>
      </c>
      <c r="H31" s="129" t="s">
        <v>9</v>
      </c>
      <c r="I31" s="129">
        <v>1.2</v>
      </c>
      <c r="J31" s="129">
        <v>39.700000000000003</v>
      </c>
      <c r="K31" s="129" t="s">
        <v>9</v>
      </c>
      <c r="L31" s="129">
        <v>6451.9</v>
      </c>
      <c r="M31" s="129" t="s">
        <v>9</v>
      </c>
      <c r="N31" s="129">
        <v>1.3</v>
      </c>
      <c r="O31" s="129">
        <v>39.4</v>
      </c>
      <c r="P31" s="129" t="s">
        <v>9</v>
      </c>
      <c r="Q31" s="249"/>
      <c r="R31" s="249"/>
      <c r="S31" s="249"/>
      <c r="T31" s="249"/>
    </row>
    <row r="32" spans="1:20">
      <c r="A32" s="248">
        <v>1988</v>
      </c>
      <c r="B32" s="129">
        <v>4462.3999999999996</v>
      </c>
      <c r="C32" s="129" t="s">
        <v>9</v>
      </c>
      <c r="D32" s="129">
        <v>2.5</v>
      </c>
      <c r="E32" s="129">
        <v>35.5</v>
      </c>
      <c r="F32" s="129" t="s">
        <v>9</v>
      </c>
      <c r="G32" s="129">
        <v>6821.1</v>
      </c>
      <c r="H32" s="129" t="s">
        <v>9</v>
      </c>
      <c r="I32" s="129">
        <v>3.9</v>
      </c>
      <c r="J32" s="129">
        <v>57.6</v>
      </c>
      <c r="K32" s="129" t="s">
        <v>9</v>
      </c>
      <c r="L32" s="129">
        <v>6849.9</v>
      </c>
      <c r="M32" s="129" t="s">
        <v>9</v>
      </c>
      <c r="N32" s="129">
        <v>3.8</v>
      </c>
      <c r="O32" s="129">
        <v>57.3</v>
      </c>
      <c r="P32" s="129" t="s">
        <v>9</v>
      </c>
      <c r="Q32" s="249"/>
      <c r="R32" s="249"/>
      <c r="S32" s="249"/>
      <c r="T32" s="249"/>
    </row>
    <row r="33" spans="1:20">
      <c r="A33" s="248">
        <v>1989</v>
      </c>
      <c r="B33" s="129">
        <v>5068.5</v>
      </c>
      <c r="C33" s="129" t="s">
        <v>9</v>
      </c>
      <c r="D33" s="129">
        <v>0.1</v>
      </c>
      <c r="E33" s="129">
        <v>35.200000000000003</v>
      </c>
      <c r="F33" s="129" t="s">
        <v>9</v>
      </c>
      <c r="G33" s="129">
        <v>7435.8</v>
      </c>
      <c r="H33" s="129" t="s">
        <v>9</v>
      </c>
      <c r="I33" s="129">
        <v>0.1</v>
      </c>
      <c r="J33" s="129">
        <v>54.7</v>
      </c>
      <c r="K33" s="129" t="s">
        <v>9</v>
      </c>
      <c r="L33" s="129">
        <v>7460.6</v>
      </c>
      <c r="M33" s="129" t="s">
        <v>9</v>
      </c>
      <c r="N33" s="129">
        <v>0.1</v>
      </c>
      <c r="O33" s="129">
        <v>54.4</v>
      </c>
      <c r="P33" s="129" t="s">
        <v>9</v>
      </c>
      <c r="Q33" s="249"/>
      <c r="R33" s="249"/>
      <c r="S33" s="249"/>
      <c r="T33" s="249"/>
    </row>
    <row r="34" spans="1:20">
      <c r="A34" s="248">
        <v>1990</v>
      </c>
      <c r="B34" s="129">
        <v>5563.6</v>
      </c>
      <c r="C34" s="129" t="s">
        <v>9</v>
      </c>
      <c r="D34" s="129">
        <v>1</v>
      </c>
      <c r="E34" s="129">
        <v>27.1</v>
      </c>
      <c r="F34" s="129" t="s">
        <v>9</v>
      </c>
      <c r="G34" s="129">
        <v>8003.8</v>
      </c>
      <c r="H34" s="129" t="s">
        <v>9</v>
      </c>
      <c r="I34" s="129">
        <v>1.4</v>
      </c>
      <c r="J34" s="129">
        <v>41</v>
      </c>
      <c r="K34" s="129" t="s">
        <v>9</v>
      </c>
      <c r="L34" s="129">
        <v>7977.6</v>
      </c>
      <c r="M34" s="129" t="s">
        <v>9</v>
      </c>
      <c r="N34" s="129">
        <v>1.4</v>
      </c>
      <c r="O34" s="129">
        <v>40.799999999999997</v>
      </c>
      <c r="P34" s="129" t="s">
        <v>9</v>
      </c>
      <c r="Q34" s="249"/>
      <c r="R34" s="249"/>
      <c r="S34" s="249"/>
      <c r="T34" s="249"/>
    </row>
    <row r="35" spans="1:20">
      <c r="A35" s="248">
        <v>1991</v>
      </c>
      <c r="B35" s="129">
        <v>4219.8</v>
      </c>
      <c r="C35" s="129" t="s">
        <v>9</v>
      </c>
      <c r="D35" s="129">
        <v>1.8</v>
      </c>
      <c r="E35" s="129">
        <v>24.5</v>
      </c>
      <c r="F35" s="129" t="s">
        <v>9</v>
      </c>
      <c r="G35" s="129">
        <v>6243.5</v>
      </c>
      <c r="H35" s="129" t="s">
        <v>9</v>
      </c>
      <c r="I35" s="129">
        <v>2.6</v>
      </c>
      <c r="J35" s="129">
        <v>38.1</v>
      </c>
      <c r="K35" s="129" t="s">
        <v>9</v>
      </c>
      <c r="L35" s="129">
        <v>6253.8</v>
      </c>
      <c r="M35" s="129" t="s">
        <v>9</v>
      </c>
      <c r="N35" s="129">
        <v>2.6</v>
      </c>
      <c r="O35" s="129">
        <v>37.9</v>
      </c>
      <c r="P35" s="129" t="s">
        <v>9</v>
      </c>
      <c r="Q35" s="249"/>
      <c r="R35" s="249"/>
      <c r="S35" s="249"/>
      <c r="T35" s="249"/>
    </row>
    <row r="36" spans="1:20">
      <c r="A36" s="248">
        <v>1992</v>
      </c>
      <c r="B36" s="129">
        <v>3596.4</v>
      </c>
      <c r="C36" s="129" t="s">
        <v>9</v>
      </c>
      <c r="D36" s="129">
        <v>1</v>
      </c>
      <c r="E36" s="129">
        <v>20.3</v>
      </c>
      <c r="F36" s="129" t="s">
        <v>9</v>
      </c>
      <c r="G36" s="129">
        <v>5311</v>
      </c>
      <c r="H36" s="129" t="s">
        <v>9</v>
      </c>
      <c r="I36" s="129">
        <v>1.4</v>
      </c>
      <c r="J36" s="129">
        <v>31.1</v>
      </c>
      <c r="K36" s="129" t="s">
        <v>9</v>
      </c>
      <c r="L36" s="129">
        <v>5348.2</v>
      </c>
      <c r="M36" s="129" t="s">
        <v>9</v>
      </c>
      <c r="N36" s="129">
        <v>1.4</v>
      </c>
      <c r="O36" s="129">
        <v>31.3</v>
      </c>
      <c r="P36" s="129" t="s">
        <v>9</v>
      </c>
      <c r="Q36" s="249"/>
      <c r="R36" s="249"/>
      <c r="S36" s="249"/>
      <c r="T36" s="249"/>
    </row>
    <row r="37" spans="1:20">
      <c r="A37" s="248">
        <v>1993</v>
      </c>
      <c r="B37" s="129">
        <v>4625.8</v>
      </c>
      <c r="C37" s="129" t="s">
        <v>9</v>
      </c>
      <c r="D37" s="129">
        <v>0.1</v>
      </c>
      <c r="E37" s="129">
        <v>13.8</v>
      </c>
      <c r="F37" s="129" t="s">
        <v>9</v>
      </c>
      <c r="G37" s="129">
        <v>6903.2</v>
      </c>
      <c r="H37" s="129" t="s">
        <v>9</v>
      </c>
      <c r="I37" s="129">
        <v>0.1</v>
      </c>
      <c r="J37" s="129">
        <v>21.7</v>
      </c>
      <c r="K37" s="129" t="s">
        <v>9</v>
      </c>
      <c r="L37" s="129">
        <v>6961.1</v>
      </c>
      <c r="M37" s="129" t="s">
        <v>9</v>
      </c>
      <c r="N37" s="129">
        <v>0.1</v>
      </c>
      <c r="O37" s="129">
        <v>21.6</v>
      </c>
      <c r="P37" s="129" t="s">
        <v>9</v>
      </c>
      <c r="Q37" s="249"/>
      <c r="R37" s="249"/>
      <c r="S37" s="249"/>
      <c r="T37" s="249"/>
    </row>
    <row r="38" spans="1:20">
      <c r="A38" s="248">
        <v>1994</v>
      </c>
      <c r="B38" s="129">
        <v>4345.8999999999996</v>
      </c>
      <c r="C38" s="129" t="s">
        <v>9</v>
      </c>
      <c r="D38" s="129">
        <v>1.9</v>
      </c>
      <c r="E38" s="129">
        <v>47.2</v>
      </c>
      <c r="F38" s="129" t="s">
        <v>9</v>
      </c>
      <c r="G38" s="129">
        <v>6410</v>
      </c>
      <c r="H38" s="129" t="s">
        <v>9</v>
      </c>
      <c r="I38" s="129">
        <v>2.8</v>
      </c>
      <c r="J38" s="129">
        <v>73.099999999999994</v>
      </c>
      <c r="K38" s="129" t="s">
        <v>9</v>
      </c>
      <c r="L38" s="129">
        <v>6441.3</v>
      </c>
      <c r="M38" s="129" t="s">
        <v>9</v>
      </c>
      <c r="N38" s="129">
        <v>2.8</v>
      </c>
      <c r="O38" s="129">
        <v>72.599999999999994</v>
      </c>
      <c r="P38" s="129" t="s">
        <v>9</v>
      </c>
      <c r="Q38" s="249"/>
      <c r="R38" s="249"/>
      <c r="S38" s="249"/>
      <c r="T38" s="249"/>
    </row>
    <row r="39" spans="1:20">
      <c r="A39" s="248">
        <v>1995</v>
      </c>
      <c r="B39" s="129">
        <v>4108</v>
      </c>
      <c r="C39" s="129" t="s">
        <v>9</v>
      </c>
      <c r="D39" s="129">
        <v>0.1</v>
      </c>
      <c r="E39" s="129">
        <v>47.8</v>
      </c>
      <c r="F39" s="129" t="s">
        <v>9</v>
      </c>
      <c r="G39" s="129">
        <v>5881.4</v>
      </c>
      <c r="H39" s="129" t="s">
        <v>9</v>
      </c>
      <c r="I39" s="129">
        <v>0.1</v>
      </c>
      <c r="J39" s="129">
        <v>71.3</v>
      </c>
      <c r="K39" s="129" t="s">
        <v>9</v>
      </c>
      <c r="L39" s="129">
        <v>5896.8</v>
      </c>
      <c r="M39" s="129" t="s">
        <v>9</v>
      </c>
      <c r="N39" s="129">
        <v>0.1</v>
      </c>
      <c r="O39" s="129">
        <v>70.8</v>
      </c>
      <c r="P39" s="129" t="s">
        <v>9</v>
      </c>
      <c r="Q39" s="249"/>
      <c r="R39" s="249"/>
      <c r="S39" s="249"/>
      <c r="T39" s="249"/>
    </row>
    <row r="40" spans="1:20">
      <c r="A40" s="248">
        <v>1996</v>
      </c>
      <c r="B40" s="129">
        <v>4440</v>
      </c>
      <c r="C40" s="129" t="s">
        <v>9</v>
      </c>
      <c r="D40" s="129">
        <v>0.1</v>
      </c>
      <c r="E40" s="129">
        <v>60.2</v>
      </c>
      <c r="F40" s="129" t="s">
        <v>9</v>
      </c>
      <c r="G40" s="129">
        <v>6278.2</v>
      </c>
      <c r="H40" s="129" t="s">
        <v>9</v>
      </c>
      <c r="I40" s="129">
        <v>0.2</v>
      </c>
      <c r="J40" s="129">
        <v>88.4</v>
      </c>
      <c r="K40" s="129" t="s">
        <v>9</v>
      </c>
      <c r="L40" s="129">
        <v>6276.3</v>
      </c>
      <c r="M40" s="129" t="s">
        <v>9</v>
      </c>
      <c r="N40" s="129">
        <v>0.2</v>
      </c>
      <c r="O40" s="129">
        <v>87.9</v>
      </c>
      <c r="P40" s="129" t="s">
        <v>9</v>
      </c>
      <c r="Q40" s="249"/>
      <c r="R40" s="249"/>
      <c r="S40" s="249"/>
      <c r="T40" s="249"/>
    </row>
    <row r="41" spans="1:20">
      <c r="A41" s="248">
        <v>1997</v>
      </c>
      <c r="B41" s="129">
        <v>4683.2</v>
      </c>
      <c r="C41" s="129" t="s">
        <v>9</v>
      </c>
      <c r="D41" s="129">
        <v>0.1</v>
      </c>
      <c r="E41" s="129">
        <v>99.3</v>
      </c>
      <c r="F41" s="129" t="s">
        <v>9</v>
      </c>
      <c r="G41" s="129">
        <v>6446.2</v>
      </c>
      <c r="H41" s="129" t="s">
        <v>9</v>
      </c>
      <c r="I41" s="129">
        <v>0.1</v>
      </c>
      <c r="J41" s="129">
        <v>141.30000000000001</v>
      </c>
      <c r="K41" s="129" t="s">
        <v>9</v>
      </c>
      <c r="L41" s="129">
        <v>6442.5</v>
      </c>
      <c r="M41" s="129" t="s">
        <v>9</v>
      </c>
      <c r="N41" s="129">
        <v>0.1</v>
      </c>
      <c r="O41" s="129">
        <v>140.6</v>
      </c>
      <c r="P41" s="129" t="s">
        <v>9</v>
      </c>
      <c r="Q41" s="249"/>
      <c r="R41" s="249"/>
      <c r="S41" s="249"/>
      <c r="T41" s="249"/>
    </row>
    <row r="42" spans="1:20">
      <c r="A42" s="248">
        <v>1998</v>
      </c>
      <c r="B42" s="129">
        <v>5001.1000000000004</v>
      </c>
      <c r="C42" s="129" t="s">
        <v>9</v>
      </c>
      <c r="D42" s="129">
        <v>0.2</v>
      </c>
      <c r="E42" s="129">
        <v>58.3</v>
      </c>
      <c r="F42" s="129" t="s">
        <v>9</v>
      </c>
      <c r="G42" s="129">
        <v>6724</v>
      </c>
      <c r="H42" s="129" t="s">
        <v>9</v>
      </c>
      <c r="I42" s="129">
        <v>0.2</v>
      </c>
      <c r="J42" s="129">
        <v>81</v>
      </c>
      <c r="K42" s="129" t="s">
        <v>9</v>
      </c>
      <c r="L42" s="129">
        <v>6732.6</v>
      </c>
      <c r="M42" s="129" t="s">
        <v>9</v>
      </c>
      <c r="N42" s="129">
        <v>0.2</v>
      </c>
      <c r="O42" s="129">
        <v>80.5</v>
      </c>
      <c r="P42" s="129" t="s">
        <v>9</v>
      </c>
      <c r="Q42" s="249"/>
      <c r="R42" s="249"/>
      <c r="S42" s="249"/>
      <c r="T42" s="249"/>
    </row>
    <row r="43" spans="1:20">
      <c r="A43" s="248">
        <v>1999</v>
      </c>
      <c r="B43" s="129">
        <v>5022.1000000000004</v>
      </c>
      <c r="C43" s="129" t="s">
        <v>9</v>
      </c>
      <c r="D43" s="129">
        <v>1.1000000000000001</v>
      </c>
      <c r="E43" s="129">
        <v>112.3</v>
      </c>
      <c r="F43" s="129" t="s">
        <v>9</v>
      </c>
      <c r="G43" s="129">
        <v>6620.5</v>
      </c>
      <c r="H43" s="129" t="s">
        <v>9</v>
      </c>
      <c r="I43" s="129">
        <v>1.4</v>
      </c>
      <c r="J43" s="129">
        <v>153.1</v>
      </c>
      <c r="K43" s="129" t="s">
        <v>9</v>
      </c>
      <c r="L43" s="129">
        <v>6624.6</v>
      </c>
      <c r="M43" s="129" t="s">
        <v>9</v>
      </c>
      <c r="N43" s="129">
        <v>1.4</v>
      </c>
      <c r="O43" s="129">
        <v>152.1</v>
      </c>
      <c r="P43" s="129" t="s">
        <v>9</v>
      </c>
      <c r="Q43" s="249"/>
      <c r="R43" s="249"/>
      <c r="S43" s="249"/>
      <c r="T43" s="249"/>
    </row>
    <row r="44" spans="1:20">
      <c r="A44" s="248">
        <v>2000</v>
      </c>
      <c r="B44" s="129">
        <v>4901.7</v>
      </c>
      <c r="C44" s="129" t="s">
        <v>9</v>
      </c>
      <c r="D44" s="129" t="s">
        <v>9</v>
      </c>
      <c r="E44" s="129">
        <v>55.5</v>
      </c>
      <c r="F44" s="129" t="s">
        <v>9</v>
      </c>
      <c r="G44" s="129">
        <v>6207.3</v>
      </c>
      <c r="H44" s="129" t="s">
        <v>9</v>
      </c>
      <c r="I44" s="129" t="s">
        <v>9</v>
      </c>
      <c r="J44" s="129">
        <v>71.900000000000006</v>
      </c>
      <c r="K44" s="129" t="s">
        <v>9</v>
      </c>
      <c r="L44" s="129">
        <v>6192.4</v>
      </c>
      <c r="M44" s="129" t="s">
        <v>9</v>
      </c>
      <c r="N44" s="129" t="s">
        <v>9</v>
      </c>
      <c r="O44" s="129">
        <v>71.5</v>
      </c>
      <c r="P44" s="129" t="s">
        <v>9</v>
      </c>
      <c r="Q44" s="249"/>
      <c r="R44" s="249"/>
      <c r="S44" s="249"/>
      <c r="T44" s="249"/>
    </row>
    <row r="45" spans="1:20">
      <c r="A45" s="248">
        <v>2001</v>
      </c>
      <c r="B45" s="129">
        <v>5556.4</v>
      </c>
      <c r="C45" s="129" t="s">
        <v>9</v>
      </c>
      <c r="D45" s="129" t="s">
        <v>9</v>
      </c>
      <c r="E45" s="129">
        <v>22.5</v>
      </c>
      <c r="F45" s="129" t="s">
        <v>9</v>
      </c>
      <c r="G45" s="129">
        <v>6913.8</v>
      </c>
      <c r="H45" s="129" t="s">
        <v>9</v>
      </c>
      <c r="I45" s="129" t="s">
        <v>9</v>
      </c>
      <c r="J45" s="129">
        <v>28.5</v>
      </c>
      <c r="K45" s="129" t="s">
        <v>9</v>
      </c>
      <c r="L45" s="129">
        <v>6905.3</v>
      </c>
      <c r="M45" s="129" t="s">
        <v>9</v>
      </c>
      <c r="N45" s="129" t="s">
        <v>9</v>
      </c>
      <c r="O45" s="129">
        <v>28.4</v>
      </c>
      <c r="P45" s="129" t="s">
        <v>9</v>
      </c>
      <c r="Q45" s="249"/>
      <c r="R45" s="249"/>
      <c r="S45" s="249"/>
      <c r="T45" s="249"/>
    </row>
    <row r="46" spans="1:20">
      <c r="A46" s="248">
        <v>2002</v>
      </c>
      <c r="B46" s="129">
        <v>5793.4</v>
      </c>
      <c r="C46" s="129" t="s">
        <v>9</v>
      </c>
      <c r="D46" s="129" t="s">
        <v>9</v>
      </c>
      <c r="E46" s="129">
        <v>22.5</v>
      </c>
      <c r="F46" s="129" t="s">
        <v>9</v>
      </c>
      <c r="G46" s="129">
        <v>7030.8</v>
      </c>
      <c r="H46" s="129" t="s">
        <v>9</v>
      </c>
      <c r="I46" s="129" t="s">
        <v>9</v>
      </c>
      <c r="J46" s="129">
        <v>27.8</v>
      </c>
      <c r="K46" s="129" t="s">
        <v>9</v>
      </c>
      <c r="L46" s="129">
        <v>7033.1</v>
      </c>
      <c r="M46" s="129" t="s">
        <v>9</v>
      </c>
      <c r="N46" s="129" t="s">
        <v>9</v>
      </c>
      <c r="O46" s="129">
        <v>27.7</v>
      </c>
      <c r="P46" s="129" t="s">
        <v>9</v>
      </c>
      <c r="Q46" s="249"/>
      <c r="R46" s="249"/>
      <c r="S46" s="249"/>
      <c r="T46" s="249"/>
    </row>
    <row r="47" spans="1:20">
      <c r="A47" s="248">
        <v>2003</v>
      </c>
      <c r="B47" s="129">
        <v>5790.7</v>
      </c>
      <c r="C47" s="129" t="s">
        <v>9</v>
      </c>
      <c r="D47" s="129" t="s">
        <v>9</v>
      </c>
      <c r="E47" s="129">
        <v>27.9</v>
      </c>
      <c r="F47" s="129" t="s">
        <v>9</v>
      </c>
      <c r="G47" s="129">
        <v>6861.6</v>
      </c>
      <c r="H47" s="129" t="s">
        <v>9</v>
      </c>
      <c r="I47" s="129" t="s">
        <v>9</v>
      </c>
      <c r="J47" s="129">
        <v>33.5</v>
      </c>
      <c r="K47" s="129" t="s">
        <v>9</v>
      </c>
      <c r="L47" s="129">
        <v>6856.5</v>
      </c>
      <c r="M47" s="129" t="s">
        <v>9</v>
      </c>
      <c r="N47" s="129" t="s">
        <v>9</v>
      </c>
      <c r="O47" s="129">
        <v>33.5</v>
      </c>
      <c r="P47" s="129" t="s">
        <v>9</v>
      </c>
      <c r="Q47" s="249"/>
      <c r="R47" s="249"/>
      <c r="S47" s="249"/>
      <c r="T47" s="249"/>
    </row>
    <row r="48" spans="1:20">
      <c r="A48" s="248">
        <v>2004</v>
      </c>
      <c r="B48" s="129">
        <v>6324.1</v>
      </c>
      <c r="C48" s="129" t="s">
        <v>9</v>
      </c>
      <c r="D48" s="129" t="s">
        <v>9</v>
      </c>
      <c r="E48" s="129">
        <v>41.1</v>
      </c>
      <c r="F48" s="129" t="s">
        <v>9</v>
      </c>
      <c r="G48" s="129">
        <v>7123.4</v>
      </c>
      <c r="H48" s="129" t="s">
        <v>9</v>
      </c>
      <c r="I48" s="129" t="s">
        <v>9</v>
      </c>
      <c r="J48" s="129">
        <v>46.5</v>
      </c>
      <c r="K48" s="129" t="s">
        <v>9</v>
      </c>
      <c r="L48" s="129">
        <v>7122.1</v>
      </c>
      <c r="M48" s="129" t="s">
        <v>9</v>
      </c>
      <c r="N48" s="129" t="s">
        <v>9</v>
      </c>
      <c r="O48" s="129">
        <v>46.4</v>
      </c>
      <c r="P48" s="129" t="s">
        <v>9</v>
      </c>
      <c r="Q48" s="249"/>
      <c r="R48" s="249"/>
      <c r="S48" s="249"/>
      <c r="T48" s="249"/>
    </row>
    <row r="49" spans="1:20">
      <c r="A49" s="248">
        <v>2005</v>
      </c>
      <c r="B49" s="129">
        <v>6243</v>
      </c>
      <c r="C49" s="129" t="s">
        <v>9</v>
      </c>
      <c r="D49" s="129" t="s">
        <v>9</v>
      </c>
      <c r="E49" s="129">
        <v>56.1</v>
      </c>
      <c r="F49" s="129" t="s">
        <v>9</v>
      </c>
      <c r="G49" s="129">
        <v>6722.2</v>
      </c>
      <c r="H49" s="129" t="s">
        <v>9</v>
      </c>
      <c r="I49" s="129" t="s">
        <v>9</v>
      </c>
      <c r="J49" s="129">
        <v>60.4</v>
      </c>
      <c r="K49" s="129" t="s">
        <v>9</v>
      </c>
      <c r="L49" s="129">
        <v>6718.9</v>
      </c>
      <c r="M49" s="129" t="s">
        <v>9</v>
      </c>
      <c r="N49" s="129" t="s">
        <v>9</v>
      </c>
      <c r="O49" s="129">
        <v>60.3</v>
      </c>
      <c r="P49" s="129" t="s">
        <v>9</v>
      </c>
      <c r="Q49" s="249"/>
      <c r="R49" s="249"/>
      <c r="S49" s="249"/>
      <c r="T49" s="249"/>
    </row>
    <row r="50" spans="1:20">
      <c r="A50" s="248">
        <v>2006</v>
      </c>
      <c r="B50" s="129">
        <v>6576.9</v>
      </c>
      <c r="C50" s="129" t="s">
        <v>9</v>
      </c>
      <c r="D50" s="129" t="s">
        <v>9</v>
      </c>
      <c r="E50" s="129">
        <v>24.6</v>
      </c>
      <c r="F50" s="129" t="s">
        <v>9</v>
      </c>
      <c r="G50" s="129">
        <v>6821.7</v>
      </c>
      <c r="H50" s="129" t="s">
        <v>9</v>
      </c>
      <c r="I50" s="129" t="s">
        <v>9</v>
      </c>
      <c r="J50" s="129">
        <v>25.5</v>
      </c>
      <c r="K50" s="129" t="s">
        <v>9</v>
      </c>
      <c r="L50" s="129">
        <v>6820.9</v>
      </c>
      <c r="M50" s="129" t="s">
        <v>9</v>
      </c>
      <c r="N50" s="129" t="s">
        <v>9</v>
      </c>
      <c r="O50" s="129">
        <v>25.5</v>
      </c>
      <c r="P50" s="129" t="s">
        <v>9</v>
      </c>
      <c r="Q50" s="249"/>
      <c r="R50" s="249"/>
      <c r="S50" s="249"/>
      <c r="T50" s="249"/>
    </row>
    <row r="51" spans="1:20">
      <c r="A51" s="248">
        <v>2007</v>
      </c>
      <c r="B51" s="129">
        <v>6865.5</v>
      </c>
      <c r="C51" s="129" t="s">
        <v>9</v>
      </c>
      <c r="D51" s="129" t="s">
        <v>9</v>
      </c>
      <c r="E51" s="129">
        <v>55.3</v>
      </c>
      <c r="F51" s="129" t="s">
        <v>9</v>
      </c>
      <c r="G51" s="129">
        <v>6865.5</v>
      </c>
      <c r="H51" s="129" t="s">
        <v>9</v>
      </c>
      <c r="I51" s="129" t="s">
        <v>9</v>
      </c>
      <c r="J51" s="129">
        <v>55.3</v>
      </c>
      <c r="K51" s="129" t="s">
        <v>9</v>
      </c>
      <c r="L51" s="129">
        <v>6865.5</v>
      </c>
      <c r="M51" s="129" t="s">
        <v>9</v>
      </c>
      <c r="N51" s="129" t="s">
        <v>9</v>
      </c>
      <c r="O51" s="129">
        <v>55.3</v>
      </c>
      <c r="P51" s="129" t="s">
        <v>9</v>
      </c>
      <c r="Q51" s="249"/>
      <c r="R51" s="249"/>
      <c r="S51" s="249"/>
      <c r="T51" s="249"/>
    </row>
    <row r="52" spans="1:20">
      <c r="A52" s="248">
        <v>2008</v>
      </c>
      <c r="B52" s="129">
        <v>7370.1</v>
      </c>
      <c r="C52" s="129" t="s">
        <v>9</v>
      </c>
      <c r="D52" s="129" t="s">
        <v>9</v>
      </c>
      <c r="E52" s="129">
        <v>24.8</v>
      </c>
      <c r="F52" s="129" t="s">
        <v>9</v>
      </c>
      <c r="G52" s="129">
        <v>6881.6</v>
      </c>
      <c r="H52" s="129" t="s">
        <v>9</v>
      </c>
      <c r="I52" s="129" t="s">
        <v>9</v>
      </c>
      <c r="J52" s="129">
        <v>23.1</v>
      </c>
      <c r="K52" s="129" t="s">
        <v>9</v>
      </c>
      <c r="L52" s="129">
        <v>6881.2</v>
      </c>
      <c r="M52" s="129" t="s">
        <v>9</v>
      </c>
      <c r="N52" s="129" t="s">
        <v>9</v>
      </c>
      <c r="O52" s="129">
        <v>23.1</v>
      </c>
      <c r="P52" s="129" t="s">
        <v>9</v>
      </c>
      <c r="Q52" s="249"/>
      <c r="R52" s="249"/>
      <c r="S52" s="249"/>
      <c r="T52" s="249"/>
    </row>
    <row r="53" spans="1:20">
      <c r="A53" s="248">
        <v>2009</v>
      </c>
      <c r="B53" s="129">
        <v>7051.8</v>
      </c>
      <c r="C53" s="129" t="s">
        <v>9</v>
      </c>
      <c r="D53" s="129" t="s">
        <v>9</v>
      </c>
      <c r="E53" s="129">
        <v>60.1</v>
      </c>
      <c r="F53" s="129" t="s">
        <v>9</v>
      </c>
      <c r="G53" s="129">
        <v>6407.7</v>
      </c>
      <c r="H53" s="129" t="s">
        <v>9</v>
      </c>
      <c r="I53" s="129" t="s">
        <v>9</v>
      </c>
      <c r="J53" s="129">
        <v>53.8</v>
      </c>
      <c r="K53" s="129" t="s">
        <v>9</v>
      </c>
      <c r="L53" s="129">
        <v>6404.9</v>
      </c>
      <c r="M53" s="129" t="s">
        <v>9</v>
      </c>
      <c r="N53" s="129" t="s">
        <v>9</v>
      </c>
      <c r="O53" s="129">
        <v>53.8</v>
      </c>
      <c r="P53" s="129" t="s">
        <v>9</v>
      </c>
      <c r="Q53" s="249"/>
      <c r="R53" s="249"/>
      <c r="S53" s="249"/>
      <c r="T53" s="249"/>
    </row>
    <row r="54" spans="1:20">
      <c r="A54" s="248">
        <v>2010</v>
      </c>
      <c r="B54" s="129">
        <v>7580.4</v>
      </c>
      <c r="C54" s="129" t="s">
        <v>9</v>
      </c>
      <c r="D54" s="129" t="s">
        <v>9</v>
      </c>
      <c r="E54" s="129">
        <v>31.9</v>
      </c>
      <c r="F54" s="129" t="s">
        <v>9</v>
      </c>
      <c r="G54" s="129">
        <v>6816</v>
      </c>
      <c r="H54" s="129" t="s">
        <v>9</v>
      </c>
      <c r="I54" s="129" t="s">
        <v>9</v>
      </c>
      <c r="J54" s="129">
        <v>28.3</v>
      </c>
      <c r="K54" s="129" t="s">
        <v>9</v>
      </c>
      <c r="L54" s="129">
        <v>6806.1</v>
      </c>
      <c r="M54" s="129" t="s">
        <v>9</v>
      </c>
      <c r="N54" s="129" t="s">
        <v>9</v>
      </c>
      <c r="O54" s="129">
        <v>28.3</v>
      </c>
      <c r="P54" s="129" t="s">
        <v>9</v>
      </c>
      <c r="Q54" s="249"/>
      <c r="R54" s="249"/>
      <c r="S54" s="249"/>
      <c r="T54" s="249"/>
    </row>
    <row r="55" spans="1:20">
      <c r="A55" s="248">
        <v>2011</v>
      </c>
      <c r="B55" s="129">
        <v>8759.9</v>
      </c>
      <c r="C55" s="129" t="s">
        <v>9</v>
      </c>
      <c r="D55" s="129" t="s">
        <v>9</v>
      </c>
      <c r="E55" s="129">
        <v>13.9</v>
      </c>
      <c r="F55" s="129" t="s">
        <v>9</v>
      </c>
      <c r="G55" s="129">
        <v>7619.4</v>
      </c>
      <c r="H55" s="129" t="s">
        <v>9</v>
      </c>
      <c r="I55" s="129" t="s">
        <v>9</v>
      </c>
      <c r="J55" s="129">
        <v>11.9</v>
      </c>
      <c r="K55" s="129" t="s">
        <v>9</v>
      </c>
      <c r="L55" s="129">
        <v>7614.6</v>
      </c>
      <c r="M55" s="129" t="s">
        <v>9</v>
      </c>
      <c r="N55" s="129" t="s">
        <v>9</v>
      </c>
      <c r="O55" s="129">
        <v>11.9</v>
      </c>
      <c r="P55" s="129" t="s">
        <v>9</v>
      </c>
      <c r="Q55" s="249"/>
      <c r="R55" s="249"/>
      <c r="S55" s="249"/>
      <c r="T55" s="249"/>
    </row>
    <row r="56" spans="1:20">
      <c r="A56" s="248">
        <v>2012</v>
      </c>
      <c r="B56" s="129">
        <v>9845.5</v>
      </c>
      <c r="C56" s="129" t="s">
        <v>9</v>
      </c>
      <c r="D56" s="129" t="s">
        <v>9</v>
      </c>
      <c r="E56" s="129">
        <v>40.200000000000003</v>
      </c>
      <c r="F56" s="129" t="s">
        <v>9</v>
      </c>
      <c r="G56" s="129">
        <v>8404.7000000000007</v>
      </c>
      <c r="H56" s="129" t="s">
        <v>9</v>
      </c>
      <c r="I56" s="129" t="s">
        <v>9</v>
      </c>
      <c r="J56" s="129">
        <v>34</v>
      </c>
      <c r="K56" s="129" t="s">
        <v>9</v>
      </c>
      <c r="L56" s="129">
        <v>8401.7999999999993</v>
      </c>
      <c r="M56" s="129" t="s">
        <v>9</v>
      </c>
      <c r="N56" s="129" t="s">
        <v>9</v>
      </c>
      <c r="O56" s="129">
        <v>34</v>
      </c>
      <c r="P56" s="129" t="s">
        <v>9</v>
      </c>
      <c r="Q56" s="249"/>
      <c r="R56" s="249"/>
      <c r="S56" s="249"/>
      <c r="T56" s="249"/>
    </row>
    <row r="57" spans="1:20">
      <c r="A57" s="248">
        <v>2013</v>
      </c>
      <c r="B57" s="129">
        <v>9776.2000000000007</v>
      </c>
      <c r="C57" s="129" t="s">
        <v>9</v>
      </c>
      <c r="D57" s="129" t="s">
        <v>9</v>
      </c>
      <c r="E57" s="129">
        <v>11.6</v>
      </c>
      <c r="F57" s="129" t="s">
        <v>9</v>
      </c>
      <c r="G57" s="129">
        <v>8296.6</v>
      </c>
      <c r="H57" s="129" t="s">
        <v>9</v>
      </c>
      <c r="I57" s="129" t="s">
        <v>9</v>
      </c>
      <c r="J57" s="129">
        <v>9.6999999999999993</v>
      </c>
      <c r="K57" s="129" t="s">
        <v>9</v>
      </c>
      <c r="L57" s="129">
        <v>8293.5</v>
      </c>
      <c r="M57" s="129" t="s">
        <v>9</v>
      </c>
      <c r="N57" s="129" t="s">
        <v>9</v>
      </c>
      <c r="O57" s="129">
        <v>9.8000000000000007</v>
      </c>
      <c r="P57" s="129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J60" si="0">((B57/B28)^(1/29)-1)*100</f>
        <v>5.0187885093306184</v>
      </c>
      <c r="C60" s="11" t="s">
        <v>10</v>
      </c>
      <c r="D60" s="11" t="s">
        <v>10</v>
      </c>
      <c r="E60" s="11">
        <f t="shared" si="0"/>
        <v>-1.3093124128818134</v>
      </c>
      <c r="F60" s="11" t="s">
        <v>10</v>
      </c>
      <c r="G60" s="11">
        <f t="shared" si="0"/>
        <v>2.1592202215186873</v>
      </c>
      <c r="H60" s="11" t="s">
        <v>10</v>
      </c>
      <c r="I60" s="11" t="s">
        <v>10</v>
      </c>
      <c r="J60" s="11">
        <f t="shared" si="0"/>
        <v>-4.261760972458295</v>
      </c>
      <c r="K60" s="11" t="s">
        <v>10</v>
      </c>
      <c r="L60" s="11">
        <f>((L57/L28)^(1/29)-1)*100</f>
        <v>2.1768902150908653</v>
      </c>
      <c r="M60" s="11" t="s">
        <v>10</v>
      </c>
      <c r="N60" s="11" t="s">
        <v>10</v>
      </c>
      <c r="O60" s="11">
        <f t="shared" ref="O60" si="1">((O57/O28)^(1/29)-1)*100</f>
        <v>-4.1988788348494062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J61" si="2">((B33/B28)^(1/5)-1)*100</f>
        <v>16.490496883828865</v>
      </c>
      <c r="C61" s="11" t="s">
        <v>10</v>
      </c>
      <c r="D61" s="11">
        <f t="shared" si="2"/>
        <v>-50.602585682901527</v>
      </c>
      <c r="E61" s="11">
        <f t="shared" si="2"/>
        <v>15.669470740442426</v>
      </c>
      <c r="F61" s="11" t="s">
        <v>10</v>
      </c>
      <c r="G61" s="11">
        <f t="shared" si="2"/>
        <v>10.737677694969271</v>
      </c>
      <c r="H61" s="11" t="s">
        <v>10</v>
      </c>
      <c r="I61" s="11">
        <f t="shared" si="2"/>
        <v>-56.195204005509993</v>
      </c>
      <c r="J61" s="11">
        <f t="shared" si="2"/>
        <v>9.7838965914216036</v>
      </c>
      <c r="K61" s="11" t="s">
        <v>10</v>
      </c>
      <c r="L61" s="11">
        <f>((L33/L28)^(1/5)-1)*100</f>
        <v>10.930949226347074</v>
      </c>
      <c r="M61" s="11" t="s">
        <v>10</v>
      </c>
      <c r="N61" s="11">
        <f t="shared" ref="N61:O61" si="3">((N33/N28)^(1/5)-1)*100</f>
        <v>-56.335158292145962</v>
      </c>
      <c r="O61" s="11">
        <f t="shared" si="3"/>
        <v>9.8560543306117623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J62" si="4">((B44/B33)^(1/11)-1)*100</f>
        <v>-0.3037453223372566</v>
      </c>
      <c r="C62" s="11" t="s">
        <v>10</v>
      </c>
      <c r="D62" s="11" t="s">
        <v>10</v>
      </c>
      <c r="E62" s="11">
        <f t="shared" si="4"/>
        <v>4.226295454514073</v>
      </c>
      <c r="F62" s="11" t="s">
        <v>10</v>
      </c>
      <c r="G62" s="11">
        <f t="shared" si="4"/>
        <v>-1.6282363301704961</v>
      </c>
      <c r="H62" s="11" t="s">
        <v>10</v>
      </c>
      <c r="I62" s="11" t="s">
        <v>10</v>
      </c>
      <c r="J62" s="11">
        <f t="shared" si="4"/>
        <v>2.5167164741135339</v>
      </c>
      <c r="K62" s="11" t="s">
        <v>10</v>
      </c>
      <c r="L62" s="11">
        <f>((L44/L33)^(1/11)-1)*100</f>
        <v>-1.6794921152717412</v>
      </c>
      <c r="M62" s="11" t="s">
        <v>10</v>
      </c>
      <c r="N62" s="11" t="s">
        <v>10</v>
      </c>
      <c r="O62" s="11">
        <f t="shared" ref="O62" si="5">((O44/O33)^(1/11)-1)*100</f>
        <v>2.5159778022573631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4.9309572625409359</v>
      </c>
      <c r="C63" s="11" t="s">
        <v>10</v>
      </c>
      <c r="D63" s="11" t="s">
        <v>10</v>
      </c>
      <c r="E63" s="11">
        <f t="shared" ref="E63:O63" si="6">((E51/E44)^(1/7)-1)*100</f>
        <v>-5.155973517073642E-2</v>
      </c>
      <c r="F63" s="11" t="s">
        <v>10</v>
      </c>
      <c r="G63" s="11">
        <f t="shared" si="6"/>
        <v>1.4501694071806792</v>
      </c>
      <c r="H63" s="11" t="s">
        <v>10</v>
      </c>
      <c r="I63" s="11" t="s">
        <v>10</v>
      </c>
      <c r="J63" s="11">
        <f t="shared" si="6"/>
        <v>-3.6806044089333856</v>
      </c>
      <c r="K63" s="11" t="s">
        <v>10</v>
      </c>
      <c r="L63" s="11">
        <f t="shared" si="6"/>
        <v>1.4850059128788118</v>
      </c>
      <c r="M63" s="11" t="s">
        <v>10</v>
      </c>
      <c r="N63" s="11" t="s">
        <v>10</v>
      </c>
      <c r="O63" s="11">
        <f t="shared" si="6"/>
        <v>-3.6038097982863504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6.0676591586863893</v>
      </c>
      <c r="C64" s="11" t="s">
        <v>10</v>
      </c>
      <c r="D64" s="11" t="s">
        <v>10</v>
      </c>
      <c r="E64" s="11">
        <f t="shared" ref="E64:O64" si="7">((E57/E51)^(1/6)-1)*100</f>
        <v>-22.917555956973313</v>
      </c>
      <c r="F64" s="11" t="s">
        <v>10</v>
      </c>
      <c r="G64" s="11">
        <f t="shared" si="7"/>
        <v>3.205932797754385</v>
      </c>
      <c r="H64" s="11" t="s">
        <v>10</v>
      </c>
      <c r="I64" s="11" t="s">
        <v>10</v>
      </c>
      <c r="J64" s="11">
        <f t="shared" si="7"/>
        <v>-25.181711869627787</v>
      </c>
      <c r="K64" s="11" t="s">
        <v>10</v>
      </c>
      <c r="L64" s="11">
        <f t="shared" si="7"/>
        <v>3.1995046984313102</v>
      </c>
      <c r="M64" s="11" t="s">
        <v>10</v>
      </c>
      <c r="N64" s="11" t="s">
        <v>10</v>
      </c>
      <c r="O64" s="11">
        <f t="shared" si="7"/>
        <v>-25.053706863064196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J65" si="8">((B57/B44)^(1/13)-1)*100</f>
        <v>5.4540672410143376</v>
      </c>
      <c r="C65" s="11" t="s">
        <v>10</v>
      </c>
      <c r="D65" s="11" t="s">
        <v>10</v>
      </c>
      <c r="E65" s="11">
        <f t="shared" si="8"/>
        <v>-11.344639428547133</v>
      </c>
      <c r="F65" s="11" t="s">
        <v>10</v>
      </c>
      <c r="G65" s="11">
        <f t="shared" si="8"/>
        <v>2.2567790644862251</v>
      </c>
      <c r="H65" s="11" t="s">
        <v>10</v>
      </c>
      <c r="I65" s="11" t="s">
        <v>10</v>
      </c>
      <c r="J65" s="11">
        <f t="shared" si="8"/>
        <v>-14.2803836241151</v>
      </c>
      <c r="K65" s="11" t="s">
        <v>10</v>
      </c>
      <c r="L65" s="11">
        <f>((L57/L44)^(1/13)-1)*100</f>
        <v>2.2727447039588622</v>
      </c>
      <c r="M65" s="11" t="s">
        <v>10</v>
      </c>
      <c r="N65" s="11" t="s">
        <v>10</v>
      </c>
      <c r="O65" s="11">
        <f t="shared" ref="O65" si="9">((O57/O44)^(1/13)-1)*100</f>
        <v>-14.175904839273256</v>
      </c>
      <c r="P65" s="11" t="s">
        <v>10</v>
      </c>
      <c r="Q65" s="249"/>
      <c r="R65" s="249"/>
      <c r="S65" s="249"/>
      <c r="T65" s="249"/>
    </row>
    <row r="67" spans="1:20" s="180" customFormat="1">
      <c r="A67" s="174" t="s">
        <v>55</v>
      </c>
    </row>
    <row r="68" spans="1:20" s="180" customFormat="1">
      <c r="A68" s="168" t="s">
        <v>56</v>
      </c>
      <c r="B68" s="174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</row>
  </sheetData>
  <mergeCells count="5">
    <mergeCell ref="A1:P1"/>
    <mergeCell ref="L2:P2"/>
    <mergeCell ref="A59:P59"/>
    <mergeCell ref="G2:K2"/>
    <mergeCell ref="B2:F2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80"/>
    <col min="12" max="12" width="16.140625" style="165" customWidth="1"/>
    <col min="13" max="16384" width="9.140625" style="165"/>
  </cols>
  <sheetData>
    <row r="1" spans="1:20">
      <c r="A1" s="454" t="s">
        <v>233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644</v>
      </c>
      <c r="C5" s="129" t="s">
        <v>9</v>
      </c>
      <c r="D5" s="129" t="s">
        <v>9</v>
      </c>
      <c r="E5" s="129">
        <v>1.8</v>
      </c>
      <c r="F5" s="129">
        <v>2.9</v>
      </c>
      <c r="G5" s="129">
        <v>5608.7</v>
      </c>
      <c r="H5" s="129" t="s">
        <v>9</v>
      </c>
      <c r="I5" s="129" t="s">
        <v>9</v>
      </c>
      <c r="J5" s="129">
        <v>17.100000000000001</v>
      </c>
      <c r="K5" s="129">
        <v>28.1</v>
      </c>
      <c r="L5" s="129">
        <v>5632.5</v>
      </c>
      <c r="M5" s="129" t="s">
        <v>9</v>
      </c>
      <c r="N5" s="129" t="s">
        <v>9</v>
      </c>
      <c r="O5" s="129">
        <v>16.8</v>
      </c>
      <c r="P5" s="129">
        <v>28.2</v>
      </c>
      <c r="Q5" s="249"/>
      <c r="R5" s="249"/>
      <c r="S5" s="249"/>
      <c r="T5" s="249"/>
    </row>
    <row r="6" spans="1:20">
      <c r="A6" s="248">
        <v>1962</v>
      </c>
      <c r="B6" s="129">
        <v>742.2</v>
      </c>
      <c r="C6" s="129" t="s">
        <v>9</v>
      </c>
      <c r="D6" s="129" t="s">
        <v>9</v>
      </c>
      <c r="E6" s="129">
        <v>2.7</v>
      </c>
      <c r="F6" s="129">
        <v>5</v>
      </c>
      <c r="G6" s="129">
        <v>6492.3</v>
      </c>
      <c r="H6" s="129" t="s">
        <v>9</v>
      </c>
      <c r="I6" s="129" t="s">
        <v>9</v>
      </c>
      <c r="J6" s="129">
        <v>25.6</v>
      </c>
      <c r="K6" s="129">
        <v>47.6</v>
      </c>
      <c r="L6" s="129">
        <v>6516.8</v>
      </c>
      <c r="M6" s="129" t="s">
        <v>9</v>
      </c>
      <c r="N6" s="129" t="s">
        <v>9</v>
      </c>
      <c r="O6" s="129">
        <v>25.2</v>
      </c>
      <c r="P6" s="129">
        <v>47.7</v>
      </c>
      <c r="Q6" s="249"/>
      <c r="R6" s="249"/>
      <c r="S6" s="249"/>
      <c r="T6" s="249"/>
    </row>
    <row r="7" spans="1:20">
      <c r="A7" s="248">
        <v>1963</v>
      </c>
      <c r="B7" s="129">
        <v>810.1</v>
      </c>
      <c r="C7" s="129" t="s">
        <v>9</v>
      </c>
      <c r="D7" s="129" t="s">
        <v>9</v>
      </c>
      <c r="E7" s="129">
        <v>2.1</v>
      </c>
      <c r="F7" s="129">
        <v>6.2</v>
      </c>
      <c r="G7" s="129">
        <v>6920.8</v>
      </c>
      <c r="H7" s="129" t="s">
        <v>9</v>
      </c>
      <c r="I7" s="129" t="s">
        <v>9</v>
      </c>
      <c r="J7" s="129">
        <v>20.100000000000001</v>
      </c>
      <c r="K7" s="129">
        <v>58.9</v>
      </c>
      <c r="L7" s="129">
        <v>6976.1</v>
      </c>
      <c r="M7" s="129" t="s">
        <v>9</v>
      </c>
      <c r="N7" s="129" t="s">
        <v>9</v>
      </c>
      <c r="O7" s="129">
        <v>19.8</v>
      </c>
      <c r="P7" s="129">
        <v>59.1</v>
      </c>
      <c r="Q7" s="249"/>
      <c r="R7" s="249"/>
      <c r="S7" s="249"/>
      <c r="T7" s="249"/>
    </row>
    <row r="8" spans="1:20">
      <c r="A8" s="248">
        <v>1964</v>
      </c>
      <c r="B8" s="129">
        <v>807.4</v>
      </c>
      <c r="C8" s="129" t="s">
        <v>9</v>
      </c>
      <c r="D8" s="129" t="s">
        <v>9</v>
      </c>
      <c r="E8" s="129">
        <v>2.9</v>
      </c>
      <c r="F8" s="129">
        <v>7.8</v>
      </c>
      <c r="G8" s="129">
        <v>6868.4</v>
      </c>
      <c r="H8" s="129" t="s">
        <v>9</v>
      </c>
      <c r="I8" s="129" t="s">
        <v>9</v>
      </c>
      <c r="J8" s="129">
        <v>27.5</v>
      </c>
      <c r="K8" s="129">
        <v>72.900000000000006</v>
      </c>
      <c r="L8" s="129">
        <v>6875.4</v>
      </c>
      <c r="M8" s="129" t="s">
        <v>9</v>
      </c>
      <c r="N8" s="129" t="s">
        <v>9</v>
      </c>
      <c r="O8" s="129">
        <v>27</v>
      </c>
      <c r="P8" s="129">
        <v>73</v>
      </c>
      <c r="Q8" s="249"/>
      <c r="R8" s="249"/>
      <c r="S8" s="249"/>
      <c r="T8" s="249"/>
    </row>
    <row r="9" spans="1:20">
      <c r="A9" s="248">
        <v>1965</v>
      </c>
      <c r="B9" s="129">
        <v>1043.3</v>
      </c>
      <c r="C9" s="129" t="s">
        <v>9</v>
      </c>
      <c r="D9" s="129" t="s">
        <v>9</v>
      </c>
      <c r="E9" s="129">
        <v>4.8</v>
      </c>
      <c r="F9" s="129">
        <v>19.7</v>
      </c>
      <c r="G9" s="129">
        <v>8441.2999999999993</v>
      </c>
      <c r="H9" s="129" t="s">
        <v>9</v>
      </c>
      <c r="I9" s="129" t="s">
        <v>9</v>
      </c>
      <c r="J9" s="129">
        <v>42.4</v>
      </c>
      <c r="K9" s="129">
        <v>174.9</v>
      </c>
      <c r="L9" s="129">
        <v>8483.2000000000007</v>
      </c>
      <c r="M9" s="129" t="s">
        <v>9</v>
      </c>
      <c r="N9" s="129" t="s">
        <v>9</v>
      </c>
      <c r="O9" s="129">
        <v>41.7</v>
      </c>
      <c r="P9" s="129">
        <v>175.1</v>
      </c>
      <c r="Q9" s="249"/>
      <c r="R9" s="249"/>
      <c r="S9" s="249"/>
      <c r="T9" s="249"/>
    </row>
    <row r="10" spans="1:20">
      <c r="A10" s="248">
        <v>1966</v>
      </c>
      <c r="B10" s="129">
        <v>1308.7</v>
      </c>
      <c r="C10" s="129" t="s">
        <v>9</v>
      </c>
      <c r="D10" s="129" t="s">
        <v>9</v>
      </c>
      <c r="E10" s="129">
        <v>4</v>
      </c>
      <c r="F10" s="129">
        <v>15.1</v>
      </c>
      <c r="G10" s="129">
        <v>10012</v>
      </c>
      <c r="H10" s="129" t="s">
        <v>9</v>
      </c>
      <c r="I10" s="129" t="s">
        <v>9</v>
      </c>
      <c r="J10" s="129">
        <v>33.700000000000003</v>
      </c>
      <c r="K10" s="129">
        <v>125.7</v>
      </c>
      <c r="L10" s="129">
        <v>9993.6</v>
      </c>
      <c r="M10" s="129" t="s">
        <v>9</v>
      </c>
      <c r="N10" s="129" t="s">
        <v>9</v>
      </c>
      <c r="O10" s="129">
        <v>33.1</v>
      </c>
      <c r="P10" s="129">
        <v>126.1</v>
      </c>
      <c r="Q10" s="249"/>
      <c r="R10" s="249"/>
      <c r="S10" s="249"/>
      <c r="T10" s="249"/>
    </row>
    <row r="11" spans="1:20">
      <c r="A11" s="248">
        <v>1967</v>
      </c>
      <c r="B11" s="129">
        <v>1331.9</v>
      </c>
      <c r="C11" s="129" t="s">
        <v>9</v>
      </c>
      <c r="D11" s="129" t="s">
        <v>9</v>
      </c>
      <c r="E11" s="129">
        <v>2.9</v>
      </c>
      <c r="F11" s="129">
        <v>9.1</v>
      </c>
      <c r="G11" s="129">
        <v>9714</v>
      </c>
      <c r="H11" s="129" t="s">
        <v>9</v>
      </c>
      <c r="I11" s="129" t="s">
        <v>9</v>
      </c>
      <c r="J11" s="129">
        <v>23.5</v>
      </c>
      <c r="K11" s="129">
        <v>72.400000000000006</v>
      </c>
      <c r="L11" s="129">
        <v>9798.1</v>
      </c>
      <c r="M11" s="129" t="s">
        <v>9</v>
      </c>
      <c r="N11" s="129" t="s">
        <v>9</v>
      </c>
      <c r="O11" s="129">
        <v>23.1</v>
      </c>
      <c r="P11" s="129">
        <v>72.7</v>
      </c>
      <c r="Q11" s="249"/>
      <c r="R11" s="249"/>
      <c r="S11" s="249"/>
      <c r="T11" s="249"/>
    </row>
    <row r="12" spans="1:20">
      <c r="A12" s="248">
        <v>1968</v>
      </c>
      <c r="B12" s="129">
        <v>1289.5999999999999</v>
      </c>
      <c r="C12" s="129" t="s">
        <v>9</v>
      </c>
      <c r="D12" s="129" t="s">
        <v>9</v>
      </c>
      <c r="E12" s="129">
        <v>2.5</v>
      </c>
      <c r="F12" s="129">
        <v>7.6</v>
      </c>
      <c r="G12" s="129">
        <v>9361.5</v>
      </c>
      <c r="H12" s="129" t="s">
        <v>9</v>
      </c>
      <c r="I12" s="129" t="s">
        <v>9</v>
      </c>
      <c r="J12" s="129">
        <v>20.2</v>
      </c>
      <c r="K12" s="129">
        <v>60.8</v>
      </c>
      <c r="L12" s="129">
        <v>9485.5</v>
      </c>
      <c r="M12" s="129" t="s">
        <v>9</v>
      </c>
      <c r="N12" s="129" t="s">
        <v>9</v>
      </c>
      <c r="O12" s="129">
        <v>19.8</v>
      </c>
      <c r="P12" s="129">
        <v>60.9</v>
      </c>
      <c r="Q12" s="249"/>
      <c r="R12" s="249"/>
      <c r="S12" s="249"/>
      <c r="T12" s="249"/>
    </row>
    <row r="13" spans="1:20">
      <c r="A13" s="248">
        <v>1969</v>
      </c>
      <c r="B13" s="129">
        <v>1289.8</v>
      </c>
      <c r="C13" s="129" t="s">
        <v>9</v>
      </c>
      <c r="D13" s="129" t="s">
        <v>9</v>
      </c>
      <c r="E13" s="129">
        <v>5.5</v>
      </c>
      <c r="F13" s="129">
        <v>9.6</v>
      </c>
      <c r="G13" s="129">
        <v>8958.9</v>
      </c>
      <c r="H13" s="129" t="s">
        <v>9</v>
      </c>
      <c r="I13" s="129" t="s">
        <v>9</v>
      </c>
      <c r="J13" s="129">
        <v>42.2</v>
      </c>
      <c r="K13" s="129">
        <v>73.3</v>
      </c>
      <c r="L13" s="129">
        <v>9031.1</v>
      </c>
      <c r="M13" s="129" t="s">
        <v>9</v>
      </c>
      <c r="N13" s="129" t="s">
        <v>9</v>
      </c>
      <c r="O13" s="129">
        <v>41.5</v>
      </c>
      <c r="P13" s="129">
        <v>73.599999999999994</v>
      </c>
      <c r="Q13" s="249"/>
      <c r="R13" s="249"/>
      <c r="S13" s="249"/>
      <c r="T13" s="249"/>
    </row>
    <row r="14" spans="1:20">
      <c r="A14" s="248">
        <v>1970</v>
      </c>
      <c r="B14" s="129">
        <v>1578.8</v>
      </c>
      <c r="C14" s="129" t="s">
        <v>9</v>
      </c>
      <c r="D14" s="129" t="s">
        <v>9</v>
      </c>
      <c r="E14" s="129">
        <v>2.8</v>
      </c>
      <c r="F14" s="129">
        <v>13.6</v>
      </c>
      <c r="G14" s="129">
        <v>10518.7</v>
      </c>
      <c r="H14" s="129" t="s">
        <v>9</v>
      </c>
      <c r="I14" s="129" t="s">
        <v>9</v>
      </c>
      <c r="J14" s="129">
        <v>20.100000000000001</v>
      </c>
      <c r="K14" s="129">
        <v>98.8</v>
      </c>
      <c r="L14" s="129">
        <v>10527.5</v>
      </c>
      <c r="M14" s="129" t="s">
        <v>9</v>
      </c>
      <c r="N14" s="129" t="s">
        <v>9</v>
      </c>
      <c r="O14" s="129">
        <v>19.8</v>
      </c>
      <c r="P14" s="129">
        <v>99.2</v>
      </c>
      <c r="Q14" s="249"/>
      <c r="R14" s="249"/>
      <c r="S14" s="249"/>
      <c r="T14" s="249"/>
    </row>
    <row r="15" spans="1:20">
      <c r="A15" s="248">
        <v>1971</v>
      </c>
      <c r="B15" s="129">
        <v>1544</v>
      </c>
      <c r="C15" s="129" t="s">
        <v>9</v>
      </c>
      <c r="D15" s="129" t="s">
        <v>9</v>
      </c>
      <c r="E15" s="129">
        <v>2.8</v>
      </c>
      <c r="F15" s="129">
        <v>13.6</v>
      </c>
      <c r="G15" s="129">
        <v>9645.5</v>
      </c>
      <c r="H15" s="129" t="s">
        <v>9</v>
      </c>
      <c r="I15" s="129" t="s">
        <v>9</v>
      </c>
      <c r="J15" s="129">
        <v>19.3</v>
      </c>
      <c r="K15" s="129">
        <v>93.7</v>
      </c>
      <c r="L15" s="129">
        <v>9788.6</v>
      </c>
      <c r="M15" s="129" t="s">
        <v>9</v>
      </c>
      <c r="N15" s="129" t="s">
        <v>9</v>
      </c>
      <c r="O15" s="129">
        <v>19</v>
      </c>
      <c r="P15" s="129">
        <v>94.3</v>
      </c>
      <c r="Q15" s="249"/>
      <c r="R15" s="249"/>
      <c r="S15" s="249"/>
      <c r="T15" s="249"/>
    </row>
    <row r="16" spans="1:20">
      <c r="A16" s="248">
        <v>1972</v>
      </c>
      <c r="B16" s="129">
        <v>1554.2</v>
      </c>
      <c r="C16" s="129" t="s">
        <v>9</v>
      </c>
      <c r="D16" s="129" t="s">
        <v>9</v>
      </c>
      <c r="E16" s="129">
        <v>5.3</v>
      </c>
      <c r="F16" s="129">
        <v>7.9</v>
      </c>
      <c r="G16" s="129">
        <v>9174.9</v>
      </c>
      <c r="H16" s="129" t="s">
        <v>9</v>
      </c>
      <c r="I16" s="129" t="s">
        <v>9</v>
      </c>
      <c r="J16" s="129">
        <v>35.9</v>
      </c>
      <c r="K16" s="129">
        <v>52.5</v>
      </c>
      <c r="L16" s="129">
        <v>9313.4</v>
      </c>
      <c r="M16" s="129" t="s">
        <v>9</v>
      </c>
      <c r="N16" s="129" t="s">
        <v>9</v>
      </c>
      <c r="O16" s="129">
        <v>35.200000000000003</v>
      </c>
      <c r="P16" s="129">
        <v>52.6</v>
      </c>
      <c r="Q16" s="249"/>
      <c r="R16" s="249"/>
      <c r="S16" s="249"/>
      <c r="T16" s="249"/>
    </row>
    <row r="17" spans="1:20">
      <c r="A17" s="248">
        <v>1973</v>
      </c>
      <c r="B17" s="129">
        <v>1755.9</v>
      </c>
      <c r="C17" s="129" t="s">
        <v>9</v>
      </c>
      <c r="D17" s="129" t="s">
        <v>9</v>
      </c>
      <c r="E17" s="129">
        <v>12.4</v>
      </c>
      <c r="F17" s="129">
        <v>10.1</v>
      </c>
      <c r="G17" s="129">
        <v>9103</v>
      </c>
      <c r="H17" s="129" t="s">
        <v>9</v>
      </c>
      <c r="I17" s="129" t="s">
        <v>9</v>
      </c>
      <c r="J17" s="129">
        <v>70.3</v>
      </c>
      <c r="K17" s="129">
        <v>57</v>
      </c>
      <c r="L17" s="129">
        <v>9229</v>
      </c>
      <c r="M17" s="129" t="s">
        <v>9</v>
      </c>
      <c r="N17" s="129" t="s">
        <v>9</v>
      </c>
      <c r="O17" s="129">
        <v>69</v>
      </c>
      <c r="P17" s="129">
        <v>57</v>
      </c>
      <c r="Q17" s="249"/>
      <c r="R17" s="249"/>
      <c r="S17" s="249"/>
      <c r="T17" s="249"/>
    </row>
    <row r="18" spans="1:20">
      <c r="A18" s="248">
        <v>1974</v>
      </c>
      <c r="B18" s="129">
        <v>2128.3000000000002</v>
      </c>
      <c r="C18" s="129" t="s">
        <v>9</v>
      </c>
      <c r="D18" s="129" t="s">
        <v>9</v>
      </c>
      <c r="E18" s="129">
        <v>17.5</v>
      </c>
      <c r="F18" s="129">
        <v>18.5</v>
      </c>
      <c r="G18" s="129">
        <v>9271.7000000000007</v>
      </c>
      <c r="H18" s="129" t="s">
        <v>9</v>
      </c>
      <c r="I18" s="129" t="s">
        <v>9</v>
      </c>
      <c r="J18" s="129">
        <v>83.4</v>
      </c>
      <c r="K18" s="129">
        <v>88.2</v>
      </c>
      <c r="L18" s="129">
        <v>9363</v>
      </c>
      <c r="M18" s="129" t="s">
        <v>9</v>
      </c>
      <c r="N18" s="129" t="s">
        <v>9</v>
      </c>
      <c r="O18" s="129">
        <v>81.900000000000006</v>
      </c>
      <c r="P18" s="129">
        <v>88.2</v>
      </c>
      <c r="Q18" s="249"/>
      <c r="R18" s="249"/>
      <c r="S18" s="249"/>
      <c r="T18" s="249"/>
    </row>
    <row r="19" spans="1:20">
      <c r="A19" s="248">
        <v>1975</v>
      </c>
      <c r="B19" s="129">
        <v>2269.8000000000002</v>
      </c>
      <c r="C19" s="129" t="s">
        <v>9</v>
      </c>
      <c r="D19" s="129" t="s">
        <v>9</v>
      </c>
      <c r="E19" s="129">
        <v>17.399999999999999</v>
      </c>
      <c r="F19" s="129">
        <v>28.4</v>
      </c>
      <c r="G19" s="129">
        <v>9194.1</v>
      </c>
      <c r="H19" s="129" t="s">
        <v>9</v>
      </c>
      <c r="I19" s="129" t="s">
        <v>9</v>
      </c>
      <c r="J19" s="129">
        <v>80.900000000000006</v>
      </c>
      <c r="K19" s="129">
        <v>131.19999999999999</v>
      </c>
      <c r="L19" s="129">
        <v>9315.4</v>
      </c>
      <c r="M19" s="129" t="s">
        <v>9</v>
      </c>
      <c r="N19" s="129" t="s">
        <v>9</v>
      </c>
      <c r="O19" s="129">
        <v>79.400000000000006</v>
      </c>
      <c r="P19" s="129">
        <v>131.1</v>
      </c>
      <c r="Q19" s="249"/>
      <c r="R19" s="249"/>
      <c r="S19" s="249"/>
      <c r="T19" s="249"/>
    </row>
    <row r="20" spans="1:20">
      <c r="A20" s="248">
        <v>1976</v>
      </c>
      <c r="B20" s="129">
        <v>2130.5</v>
      </c>
      <c r="C20" s="129" t="s">
        <v>9</v>
      </c>
      <c r="D20" s="129" t="s">
        <v>9</v>
      </c>
      <c r="E20" s="129">
        <v>6.8</v>
      </c>
      <c r="F20" s="129">
        <v>49.2</v>
      </c>
      <c r="G20" s="129">
        <v>8441.2000000000007</v>
      </c>
      <c r="H20" s="129" t="s">
        <v>9</v>
      </c>
      <c r="I20" s="129" t="s">
        <v>9</v>
      </c>
      <c r="J20" s="129">
        <v>31.1</v>
      </c>
      <c r="K20" s="129">
        <v>222.8</v>
      </c>
      <c r="L20" s="129">
        <v>8544.2000000000007</v>
      </c>
      <c r="M20" s="129" t="s">
        <v>9</v>
      </c>
      <c r="N20" s="129" t="s">
        <v>9</v>
      </c>
      <c r="O20" s="129">
        <v>30.5</v>
      </c>
      <c r="P20" s="129">
        <v>222.6</v>
      </c>
      <c r="Q20" s="249"/>
      <c r="R20" s="249"/>
      <c r="S20" s="249"/>
      <c r="T20" s="249"/>
    </row>
    <row r="21" spans="1:20">
      <c r="A21" s="248">
        <v>1977</v>
      </c>
      <c r="B21" s="129">
        <v>2214.6</v>
      </c>
      <c r="C21" s="129" t="s">
        <v>9</v>
      </c>
      <c r="D21" s="129" t="s">
        <v>9</v>
      </c>
      <c r="E21" s="129">
        <v>9.8000000000000007</v>
      </c>
      <c r="F21" s="129">
        <v>44.5</v>
      </c>
      <c r="G21" s="129">
        <v>8646.7999999999993</v>
      </c>
      <c r="H21" s="129" t="s">
        <v>9</v>
      </c>
      <c r="I21" s="129" t="s">
        <v>9</v>
      </c>
      <c r="J21" s="129">
        <v>44.2</v>
      </c>
      <c r="K21" s="129">
        <v>199.4</v>
      </c>
      <c r="L21" s="129">
        <v>8688.6</v>
      </c>
      <c r="M21" s="129" t="s">
        <v>9</v>
      </c>
      <c r="N21" s="129" t="s">
        <v>9</v>
      </c>
      <c r="O21" s="129">
        <v>43.4</v>
      </c>
      <c r="P21" s="129">
        <v>199.3</v>
      </c>
      <c r="Q21" s="249"/>
      <c r="R21" s="249"/>
      <c r="S21" s="249"/>
      <c r="T21" s="249"/>
    </row>
    <row r="22" spans="1:20">
      <c r="A22" s="248">
        <v>1978</v>
      </c>
      <c r="B22" s="129">
        <v>2275.8000000000002</v>
      </c>
      <c r="C22" s="129" t="s">
        <v>9</v>
      </c>
      <c r="D22" s="129" t="s">
        <v>9</v>
      </c>
      <c r="E22" s="129">
        <v>8.6999999999999993</v>
      </c>
      <c r="F22" s="129">
        <v>10.3</v>
      </c>
      <c r="G22" s="129">
        <v>8418.6</v>
      </c>
      <c r="H22" s="129" t="s">
        <v>9</v>
      </c>
      <c r="I22" s="129" t="s">
        <v>9</v>
      </c>
      <c r="J22" s="129">
        <v>36.700000000000003</v>
      </c>
      <c r="K22" s="129">
        <v>43</v>
      </c>
      <c r="L22" s="129">
        <v>8509.7000000000007</v>
      </c>
      <c r="M22" s="129" t="s">
        <v>9</v>
      </c>
      <c r="N22" s="129" t="s">
        <v>9</v>
      </c>
      <c r="O22" s="129">
        <v>36</v>
      </c>
      <c r="P22" s="129">
        <v>43</v>
      </c>
      <c r="Q22" s="249"/>
      <c r="R22" s="249"/>
      <c r="S22" s="249"/>
      <c r="T22" s="249"/>
    </row>
    <row r="23" spans="1:20">
      <c r="A23" s="248">
        <v>1979</v>
      </c>
      <c r="B23" s="129">
        <v>2826.2</v>
      </c>
      <c r="C23" s="129" t="s">
        <v>9</v>
      </c>
      <c r="D23" s="129" t="s">
        <v>9</v>
      </c>
      <c r="E23" s="129">
        <v>7.3</v>
      </c>
      <c r="F23" s="129">
        <v>11.6</v>
      </c>
      <c r="G23" s="129">
        <v>9633.2999999999993</v>
      </c>
      <c r="H23" s="129" t="s">
        <v>9</v>
      </c>
      <c r="I23" s="129" t="s">
        <v>9</v>
      </c>
      <c r="J23" s="129">
        <v>27.8</v>
      </c>
      <c r="K23" s="129">
        <v>43.6</v>
      </c>
      <c r="L23" s="129">
        <v>9666</v>
      </c>
      <c r="M23" s="129" t="s">
        <v>9</v>
      </c>
      <c r="N23" s="129" t="s">
        <v>9</v>
      </c>
      <c r="O23" s="129">
        <v>27.2</v>
      </c>
      <c r="P23" s="129">
        <v>43.6</v>
      </c>
      <c r="Q23" s="249"/>
      <c r="R23" s="249"/>
      <c r="S23" s="249"/>
      <c r="T23" s="249"/>
    </row>
    <row r="24" spans="1:20">
      <c r="A24" s="248">
        <v>1980</v>
      </c>
      <c r="B24" s="129">
        <v>3576.4</v>
      </c>
      <c r="C24" s="129" t="s">
        <v>9</v>
      </c>
      <c r="D24" s="129" t="s">
        <v>9</v>
      </c>
      <c r="E24" s="129">
        <v>8.5</v>
      </c>
      <c r="F24" s="129">
        <v>46</v>
      </c>
      <c r="G24" s="129">
        <v>10906.6</v>
      </c>
      <c r="H24" s="129" t="s">
        <v>9</v>
      </c>
      <c r="I24" s="129" t="s">
        <v>9</v>
      </c>
      <c r="J24" s="129">
        <v>28</v>
      </c>
      <c r="K24" s="129">
        <v>151.30000000000001</v>
      </c>
      <c r="L24" s="129">
        <v>10945.4</v>
      </c>
      <c r="M24" s="129" t="s">
        <v>9</v>
      </c>
      <c r="N24" s="129" t="s">
        <v>9</v>
      </c>
      <c r="O24" s="129">
        <v>27.5</v>
      </c>
      <c r="P24" s="129">
        <v>151.19999999999999</v>
      </c>
      <c r="Q24" s="249"/>
      <c r="R24" s="249"/>
      <c r="S24" s="249"/>
      <c r="T24" s="249"/>
    </row>
    <row r="25" spans="1:20">
      <c r="A25" s="248">
        <v>1981</v>
      </c>
      <c r="B25" s="129">
        <v>3681.8</v>
      </c>
      <c r="C25" s="129" t="s">
        <v>9</v>
      </c>
      <c r="D25" s="129" t="s">
        <v>9</v>
      </c>
      <c r="E25" s="129">
        <v>16.8</v>
      </c>
      <c r="F25" s="129">
        <v>119.9</v>
      </c>
      <c r="G25" s="129">
        <v>10174.799999999999</v>
      </c>
      <c r="H25" s="129" t="s">
        <v>9</v>
      </c>
      <c r="I25" s="129" t="s">
        <v>9</v>
      </c>
      <c r="J25" s="129">
        <v>52.1</v>
      </c>
      <c r="K25" s="129">
        <v>369.7</v>
      </c>
      <c r="L25" s="129">
        <v>10194.6</v>
      </c>
      <c r="M25" s="129" t="s">
        <v>9</v>
      </c>
      <c r="N25" s="129" t="s">
        <v>9</v>
      </c>
      <c r="O25" s="129">
        <v>51.2</v>
      </c>
      <c r="P25" s="129">
        <v>369.5</v>
      </c>
      <c r="Q25" s="249"/>
      <c r="R25" s="249"/>
      <c r="S25" s="249"/>
      <c r="T25" s="249"/>
    </row>
    <row r="26" spans="1:20">
      <c r="A26" s="248">
        <v>1982</v>
      </c>
      <c r="B26" s="129">
        <v>3388.6</v>
      </c>
      <c r="C26" s="129" t="s">
        <v>9</v>
      </c>
      <c r="D26" s="129" t="s">
        <v>9</v>
      </c>
      <c r="E26" s="129">
        <v>8</v>
      </c>
      <c r="F26" s="129">
        <v>77.400000000000006</v>
      </c>
      <c r="G26" s="129">
        <v>8512.2999999999993</v>
      </c>
      <c r="H26" s="129" t="s">
        <v>9</v>
      </c>
      <c r="I26" s="129" t="s">
        <v>9</v>
      </c>
      <c r="J26" s="129">
        <v>22.8</v>
      </c>
      <c r="K26" s="129">
        <v>218.4</v>
      </c>
      <c r="L26" s="129">
        <v>8600.1</v>
      </c>
      <c r="M26" s="129" t="s">
        <v>9</v>
      </c>
      <c r="N26" s="129" t="s">
        <v>9</v>
      </c>
      <c r="O26" s="129">
        <v>22.4</v>
      </c>
      <c r="P26" s="129">
        <v>218.7</v>
      </c>
      <c r="Q26" s="249"/>
      <c r="R26" s="249"/>
      <c r="S26" s="249"/>
      <c r="T26" s="249"/>
    </row>
    <row r="27" spans="1:20">
      <c r="A27" s="248">
        <v>1983</v>
      </c>
      <c r="B27" s="129">
        <v>3478.2</v>
      </c>
      <c r="C27" s="129" t="s">
        <v>9</v>
      </c>
      <c r="D27" s="129" t="s">
        <v>9</v>
      </c>
      <c r="E27" s="129">
        <v>5.9</v>
      </c>
      <c r="F27" s="129">
        <v>27.9</v>
      </c>
      <c r="G27" s="129">
        <v>8325.9</v>
      </c>
      <c r="H27" s="129" t="s">
        <v>9</v>
      </c>
      <c r="I27" s="129" t="s">
        <v>9</v>
      </c>
      <c r="J27" s="129">
        <v>16.2</v>
      </c>
      <c r="K27" s="129">
        <v>76</v>
      </c>
      <c r="L27" s="129">
        <v>8479.6</v>
      </c>
      <c r="M27" s="129" t="s">
        <v>9</v>
      </c>
      <c r="N27" s="129" t="s">
        <v>9</v>
      </c>
      <c r="O27" s="129">
        <v>15.9</v>
      </c>
      <c r="P27" s="129">
        <v>76.2</v>
      </c>
      <c r="Q27" s="249"/>
      <c r="R27" s="249"/>
      <c r="S27" s="249"/>
      <c r="T27" s="249"/>
    </row>
    <row r="28" spans="1:20">
      <c r="A28" s="248">
        <v>1984</v>
      </c>
      <c r="B28" s="129">
        <v>4195.2</v>
      </c>
      <c r="C28" s="129" t="s">
        <v>9</v>
      </c>
      <c r="D28" s="129" t="s">
        <v>9</v>
      </c>
      <c r="E28" s="129">
        <v>13.6</v>
      </c>
      <c r="F28" s="129">
        <v>38.799999999999997</v>
      </c>
      <c r="G28" s="129">
        <v>9752.7999999999993</v>
      </c>
      <c r="H28" s="129" t="s">
        <v>9</v>
      </c>
      <c r="I28" s="129" t="s">
        <v>9</v>
      </c>
      <c r="J28" s="129">
        <v>36.1</v>
      </c>
      <c r="K28" s="129">
        <v>102.1</v>
      </c>
      <c r="L28" s="129">
        <v>9916.6</v>
      </c>
      <c r="M28" s="129" t="s">
        <v>9</v>
      </c>
      <c r="N28" s="129" t="s">
        <v>9</v>
      </c>
      <c r="O28" s="129">
        <v>35.4</v>
      </c>
      <c r="P28" s="129">
        <v>102.1</v>
      </c>
      <c r="Q28" s="249"/>
      <c r="R28" s="249"/>
      <c r="S28" s="249"/>
      <c r="T28" s="249"/>
    </row>
    <row r="29" spans="1:20">
      <c r="A29" s="248">
        <v>1985</v>
      </c>
      <c r="B29" s="129">
        <v>5174.3999999999996</v>
      </c>
      <c r="C29" s="129" t="s">
        <v>9</v>
      </c>
      <c r="D29" s="129" t="s">
        <v>9</v>
      </c>
      <c r="E29" s="129">
        <v>10.1</v>
      </c>
      <c r="F29" s="129">
        <v>82.7</v>
      </c>
      <c r="G29" s="129">
        <v>11623</v>
      </c>
      <c r="H29" s="129" t="s">
        <v>9</v>
      </c>
      <c r="I29" s="129" t="s">
        <v>9</v>
      </c>
      <c r="J29" s="129">
        <v>25.2</v>
      </c>
      <c r="K29" s="129">
        <v>206.3</v>
      </c>
      <c r="L29" s="129">
        <v>11662</v>
      </c>
      <c r="M29" s="129" t="s">
        <v>9</v>
      </c>
      <c r="N29" s="129" t="s">
        <v>9</v>
      </c>
      <c r="O29" s="129">
        <v>24.7</v>
      </c>
      <c r="P29" s="129">
        <v>205.4</v>
      </c>
      <c r="Q29" s="249"/>
      <c r="R29" s="249"/>
      <c r="S29" s="249"/>
      <c r="T29" s="249"/>
    </row>
    <row r="30" spans="1:20">
      <c r="A30" s="248">
        <v>1986</v>
      </c>
      <c r="B30" s="129">
        <v>6243.3</v>
      </c>
      <c r="C30" s="129" t="s">
        <v>9</v>
      </c>
      <c r="D30" s="129" t="s">
        <v>9</v>
      </c>
      <c r="E30" s="129">
        <v>9.1</v>
      </c>
      <c r="F30" s="129">
        <v>38.1</v>
      </c>
      <c r="G30" s="129">
        <v>13230.4</v>
      </c>
      <c r="H30" s="129" t="s">
        <v>9</v>
      </c>
      <c r="I30" s="129" t="s">
        <v>9</v>
      </c>
      <c r="J30" s="129">
        <v>21.5</v>
      </c>
      <c r="K30" s="129">
        <v>89.1</v>
      </c>
      <c r="L30" s="129">
        <v>13349.7</v>
      </c>
      <c r="M30" s="129" t="s">
        <v>9</v>
      </c>
      <c r="N30" s="129" t="s">
        <v>9</v>
      </c>
      <c r="O30" s="129">
        <v>21.1</v>
      </c>
      <c r="P30" s="129">
        <v>89.2</v>
      </c>
      <c r="Q30" s="249"/>
      <c r="R30" s="249"/>
      <c r="S30" s="249"/>
      <c r="T30" s="249"/>
    </row>
    <row r="31" spans="1:20">
      <c r="A31" s="248">
        <v>1987</v>
      </c>
      <c r="B31" s="129">
        <v>7891</v>
      </c>
      <c r="C31" s="129" t="s">
        <v>9</v>
      </c>
      <c r="D31" s="129" t="s">
        <v>9</v>
      </c>
      <c r="E31" s="129">
        <v>17</v>
      </c>
      <c r="F31" s="129">
        <v>26</v>
      </c>
      <c r="G31" s="129">
        <v>15344.9</v>
      </c>
      <c r="H31" s="129" t="s">
        <v>9</v>
      </c>
      <c r="I31" s="129" t="s">
        <v>9</v>
      </c>
      <c r="J31" s="129">
        <v>36.799999999999997</v>
      </c>
      <c r="K31" s="129">
        <v>55.9</v>
      </c>
      <c r="L31" s="129">
        <v>15552.5</v>
      </c>
      <c r="M31" s="129" t="s">
        <v>9</v>
      </c>
      <c r="N31" s="129" t="s">
        <v>9</v>
      </c>
      <c r="O31" s="129">
        <v>36.200000000000003</v>
      </c>
      <c r="P31" s="129">
        <v>56.1</v>
      </c>
      <c r="Q31" s="249"/>
      <c r="R31" s="249"/>
      <c r="S31" s="249"/>
      <c r="T31" s="249"/>
    </row>
    <row r="32" spans="1:20">
      <c r="A32" s="248">
        <v>1988</v>
      </c>
      <c r="B32" s="129">
        <v>9136.7999999999993</v>
      </c>
      <c r="C32" s="129" t="s">
        <v>9</v>
      </c>
      <c r="D32" s="129" t="s">
        <v>9</v>
      </c>
      <c r="E32" s="129">
        <v>27.5</v>
      </c>
      <c r="F32" s="129">
        <v>55.4</v>
      </c>
      <c r="G32" s="129">
        <v>16482.3</v>
      </c>
      <c r="H32" s="129" t="s">
        <v>9</v>
      </c>
      <c r="I32" s="129" t="s">
        <v>9</v>
      </c>
      <c r="J32" s="129">
        <v>55.2</v>
      </c>
      <c r="K32" s="129">
        <v>110.2</v>
      </c>
      <c r="L32" s="129">
        <v>16787.7</v>
      </c>
      <c r="M32" s="129" t="s">
        <v>9</v>
      </c>
      <c r="N32" s="129" t="s">
        <v>9</v>
      </c>
      <c r="O32" s="129">
        <v>54.2</v>
      </c>
      <c r="P32" s="129">
        <v>110.2</v>
      </c>
      <c r="Q32" s="249"/>
      <c r="R32" s="249"/>
      <c r="S32" s="249"/>
      <c r="T32" s="249"/>
    </row>
    <row r="33" spans="1:20">
      <c r="A33" s="248">
        <v>1989</v>
      </c>
      <c r="B33" s="129">
        <v>10329.1</v>
      </c>
      <c r="C33" s="129" t="s">
        <v>9</v>
      </c>
      <c r="D33" s="129" t="s">
        <v>9</v>
      </c>
      <c r="E33" s="129">
        <v>32.6</v>
      </c>
      <c r="F33" s="129">
        <v>104.6</v>
      </c>
      <c r="G33" s="129">
        <v>17402.7</v>
      </c>
      <c r="H33" s="129" t="s">
        <v>9</v>
      </c>
      <c r="I33" s="129" t="s">
        <v>9</v>
      </c>
      <c r="J33" s="129">
        <v>60.9</v>
      </c>
      <c r="K33" s="129">
        <v>191.8</v>
      </c>
      <c r="L33" s="129">
        <v>17749.599999999999</v>
      </c>
      <c r="M33" s="129" t="s">
        <v>9</v>
      </c>
      <c r="N33" s="129" t="s">
        <v>9</v>
      </c>
      <c r="O33" s="129">
        <v>60</v>
      </c>
      <c r="P33" s="129">
        <v>193.8</v>
      </c>
      <c r="Q33" s="249"/>
      <c r="R33" s="249"/>
      <c r="S33" s="249"/>
      <c r="T33" s="249"/>
    </row>
    <row r="34" spans="1:20">
      <c r="A34" s="248">
        <v>1990</v>
      </c>
      <c r="B34" s="129">
        <v>10098</v>
      </c>
      <c r="C34" s="129" t="s">
        <v>9</v>
      </c>
      <c r="D34" s="129" t="s">
        <v>9</v>
      </c>
      <c r="E34" s="129">
        <v>15.6</v>
      </c>
      <c r="F34" s="129">
        <v>73.400000000000006</v>
      </c>
      <c r="G34" s="129">
        <v>16489</v>
      </c>
      <c r="H34" s="129" t="s">
        <v>9</v>
      </c>
      <c r="I34" s="129" t="s">
        <v>9</v>
      </c>
      <c r="J34" s="129">
        <v>28.2</v>
      </c>
      <c r="K34" s="129">
        <v>132.6</v>
      </c>
      <c r="L34" s="129">
        <v>16830.099999999999</v>
      </c>
      <c r="M34" s="129" t="s">
        <v>9</v>
      </c>
      <c r="N34" s="129" t="s">
        <v>9</v>
      </c>
      <c r="O34" s="129">
        <v>27.8</v>
      </c>
      <c r="P34" s="129">
        <v>132</v>
      </c>
      <c r="Q34" s="249"/>
      <c r="R34" s="249"/>
      <c r="S34" s="249"/>
      <c r="T34" s="249"/>
    </row>
    <row r="35" spans="1:20">
      <c r="A35" s="248">
        <v>1991</v>
      </c>
      <c r="B35" s="129">
        <v>8711.4</v>
      </c>
      <c r="C35" s="129" t="s">
        <v>9</v>
      </c>
      <c r="D35" s="129" t="s">
        <v>9</v>
      </c>
      <c r="E35" s="129">
        <v>5.8</v>
      </c>
      <c r="F35" s="129">
        <v>39.200000000000003</v>
      </c>
      <c r="G35" s="129">
        <v>14734.3</v>
      </c>
      <c r="H35" s="129" t="s">
        <v>9</v>
      </c>
      <c r="I35" s="129" t="s">
        <v>9</v>
      </c>
      <c r="J35" s="129">
        <v>10.7</v>
      </c>
      <c r="K35" s="129">
        <v>72.3</v>
      </c>
      <c r="L35" s="129">
        <v>15043.7</v>
      </c>
      <c r="M35" s="129" t="s">
        <v>9</v>
      </c>
      <c r="N35" s="129" t="s">
        <v>9</v>
      </c>
      <c r="O35" s="129">
        <v>10.6</v>
      </c>
      <c r="P35" s="129">
        <v>72.5</v>
      </c>
      <c r="Q35" s="249"/>
      <c r="R35" s="249"/>
      <c r="S35" s="249"/>
      <c r="T35" s="249"/>
    </row>
    <row r="36" spans="1:20">
      <c r="A36" s="248">
        <v>1992</v>
      </c>
      <c r="B36" s="129">
        <v>6679.6</v>
      </c>
      <c r="C36" s="129" t="s">
        <v>9</v>
      </c>
      <c r="D36" s="129" t="s">
        <v>9</v>
      </c>
      <c r="E36" s="129">
        <v>2.4</v>
      </c>
      <c r="F36" s="129">
        <v>50.5</v>
      </c>
      <c r="G36" s="129">
        <v>11360.2</v>
      </c>
      <c r="H36" s="129" t="s">
        <v>9</v>
      </c>
      <c r="I36" s="129" t="s">
        <v>9</v>
      </c>
      <c r="J36" s="129">
        <v>4.4000000000000004</v>
      </c>
      <c r="K36" s="129">
        <v>93</v>
      </c>
      <c r="L36" s="129">
        <v>11586.1</v>
      </c>
      <c r="M36" s="129" t="s">
        <v>9</v>
      </c>
      <c r="N36" s="129" t="s">
        <v>9</v>
      </c>
      <c r="O36" s="129">
        <v>4.5</v>
      </c>
      <c r="P36" s="129">
        <v>93.6</v>
      </c>
      <c r="Q36" s="249"/>
      <c r="R36" s="249"/>
      <c r="S36" s="249"/>
      <c r="T36" s="249"/>
    </row>
    <row r="37" spans="1:20">
      <c r="A37" s="248">
        <v>1993</v>
      </c>
      <c r="B37" s="129">
        <v>5703.5</v>
      </c>
      <c r="C37" s="129" t="s">
        <v>9</v>
      </c>
      <c r="D37" s="129" t="s">
        <v>9</v>
      </c>
      <c r="E37" s="129">
        <v>5.8</v>
      </c>
      <c r="F37" s="129">
        <v>39.6</v>
      </c>
      <c r="G37" s="129">
        <v>9628.2000000000007</v>
      </c>
      <c r="H37" s="129" t="s">
        <v>9</v>
      </c>
      <c r="I37" s="129" t="s">
        <v>9</v>
      </c>
      <c r="J37" s="129">
        <v>10.6</v>
      </c>
      <c r="K37" s="129">
        <v>72.099999999999994</v>
      </c>
      <c r="L37" s="129">
        <v>9789.2000000000007</v>
      </c>
      <c r="M37" s="129" t="s">
        <v>9</v>
      </c>
      <c r="N37" s="129" t="s">
        <v>9</v>
      </c>
      <c r="O37" s="129">
        <v>10.5</v>
      </c>
      <c r="P37" s="129">
        <v>72.599999999999994</v>
      </c>
      <c r="Q37" s="249"/>
      <c r="R37" s="249"/>
      <c r="S37" s="249"/>
      <c r="T37" s="249"/>
    </row>
    <row r="38" spans="1:20">
      <c r="A38" s="248">
        <v>1994</v>
      </c>
      <c r="B38" s="129">
        <v>6786</v>
      </c>
      <c r="C38" s="129" t="s">
        <v>9</v>
      </c>
      <c r="D38" s="129" t="s">
        <v>9</v>
      </c>
      <c r="E38" s="129">
        <v>28.8</v>
      </c>
      <c r="F38" s="129">
        <v>37.299999999999997</v>
      </c>
      <c r="G38" s="129">
        <v>11208.5</v>
      </c>
      <c r="H38" s="129" t="s">
        <v>9</v>
      </c>
      <c r="I38" s="129" t="s">
        <v>9</v>
      </c>
      <c r="J38" s="129">
        <v>51.6</v>
      </c>
      <c r="K38" s="129">
        <v>66.099999999999994</v>
      </c>
      <c r="L38" s="129">
        <v>11347.7</v>
      </c>
      <c r="M38" s="129" t="s">
        <v>9</v>
      </c>
      <c r="N38" s="129" t="s">
        <v>9</v>
      </c>
      <c r="O38" s="129">
        <v>50.8</v>
      </c>
      <c r="P38" s="129">
        <v>66.400000000000006</v>
      </c>
      <c r="Q38" s="249"/>
      <c r="R38" s="249"/>
      <c r="S38" s="249"/>
      <c r="T38" s="249"/>
    </row>
    <row r="39" spans="1:20">
      <c r="A39" s="248">
        <v>1995</v>
      </c>
      <c r="B39" s="129">
        <v>6544.3</v>
      </c>
      <c r="C39" s="129" t="s">
        <v>9</v>
      </c>
      <c r="D39" s="129" t="s">
        <v>9</v>
      </c>
      <c r="E39" s="129">
        <v>22.7</v>
      </c>
      <c r="F39" s="129">
        <v>193.2</v>
      </c>
      <c r="G39" s="129">
        <v>10528.2</v>
      </c>
      <c r="H39" s="129" t="s">
        <v>9</v>
      </c>
      <c r="I39" s="129" t="s">
        <v>9</v>
      </c>
      <c r="J39" s="129">
        <v>39.4</v>
      </c>
      <c r="K39" s="129">
        <v>334.6</v>
      </c>
      <c r="L39" s="129">
        <v>10515.8</v>
      </c>
      <c r="M39" s="129" t="s">
        <v>9</v>
      </c>
      <c r="N39" s="129" t="s">
        <v>9</v>
      </c>
      <c r="O39" s="129">
        <v>39</v>
      </c>
      <c r="P39" s="129">
        <v>334.8</v>
      </c>
      <c r="Q39" s="249"/>
      <c r="R39" s="249"/>
      <c r="S39" s="249"/>
      <c r="T39" s="249"/>
    </row>
    <row r="40" spans="1:20">
      <c r="A40" s="248">
        <v>1996</v>
      </c>
      <c r="B40" s="129">
        <v>7407.7</v>
      </c>
      <c r="C40" s="129" t="s">
        <v>9</v>
      </c>
      <c r="D40" s="129" t="s">
        <v>9</v>
      </c>
      <c r="E40" s="129">
        <v>22</v>
      </c>
      <c r="F40" s="129">
        <v>85.5</v>
      </c>
      <c r="G40" s="129">
        <v>11740</v>
      </c>
      <c r="H40" s="129" t="s">
        <v>9</v>
      </c>
      <c r="I40" s="129" t="s">
        <v>9</v>
      </c>
      <c r="J40" s="129">
        <v>37.4</v>
      </c>
      <c r="K40" s="129">
        <v>144.5</v>
      </c>
      <c r="L40" s="129">
        <v>11671.7</v>
      </c>
      <c r="M40" s="129" t="s">
        <v>9</v>
      </c>
      <c r="N40" s="129" t="s">
        <v>9</v>
      </c>
      <c r="O40" s="129">
        <v>36.9</v>
      </c>
      <c r="P40" s="129">
        <v>145</v>
      </c>
      <c r="Q40" s="249"/>
      <c r="R40" s="249"/>
      <c r="S40" s="249"/>
      <c r="T40" s="249"/>
    </row>
    <row r="41" spans="1:20">
      <c r="A41" s="248">
        <v>1997</v>
      </c>
      <c r="B41" s="129">
        <v>8491.7999999999993</v>
      </c>
      <c r="C41" s="129" t="s">
        <v>9</v>
      </c>
      <c r="D41" s="129" t="s">
        <v>9</v>
      </c>
      <c r="E41" s="129">
        <v>44.8</v>
      </c>
      <c r="F41" s="129">
        <v>69.599999999999994</v>
      </c>
      <c r="G41" s="129">
        <v>13143.7</v>
      </c>
      <c r="H41" s="129" t="s">
        <v>9</v>
      </c>
      <c r="I41" s="129" t="s">
        <v>9</v>
      </c>
      <c r="J41" s="129">
        <v>74.5</v>
      </c>
      <c r="K41" s="129">
        <v>115.7</v>
      </c>
      <c r="L41" s="129">
        <v>13104.5</v>
      </c>
      <c r="M41" s="129" t="s">
        <v>9</v>
      </c>
      <c r="N41" s="129" t="s">
        <v>9</v>
      </c>
      <c r="O41" s="129">
        <v>73.400000000000006</v>
      </c>
      <c r="P41" s="129">
        <v>115.3</v>
      </c>
      <c r="Q41" s="249"/>
      <c r="R41" s="249"/>
      <c r="S41" s="249"/>
      <c r="T41" s="249"/>
    </row>
    <row r="42" spans="1:20">
      <c r="A42" s="248">
        <v>1998</v>
      </c>
      <c r="B42" s="129">
        <v>8461.9</v>
      </c>
      <c r="C42" s="129" t="s">
        <v>9</v>
      </c>
      <c r="D42" s="129" t="s">
        <v>9</v>
      </c>
      <c r="E42" s="129">
        <v>16.7</v>
      </c>
      <c r="F42" s="129">
        <v>35.299999999999997</v>
      </c>
      <c r="G42" s="129">
        <v>12836.1</v>
      </c>
      <c r="H42" s="129" t="s">
        <v>9</v>
      </c>
      <c r="I42" s="129" t="s">
        <v>9</v>
      </c>
      <c r="J42" s="129">
        <v>27.1</v>
      </c>
      <c r="K42" s="129">
        <v>57.3</v>
      </c>
      <c r="L42" s="129">
        <v>12850.1</v>
      </c>
      <c r="M42" s="129" t="s">
        <v>9</v>
      </c>
      <c r="N42" s="129" t="s">
        <v>9</v>
      </c>
      <c r="O42" s="129">
        <v>26.8</v>
      </c>
      <c r="P42" s="129">
        <v>57.3</v>
      </c>
      <c r="Q42" s="249"/>
      <c r="R42" s="249"/>
      <c r="S42" s="249"/>
      <c r="T42" s="249"/>
    </row>
    <row r="43" spans="1:20">
      <c r="A43" s="248">
        <v>1999</v>
      </c>
      <c r="B43" s="129">
        <v>9769.4</v>
      </c>
      <c r="C43" s="129" t="s">
        <v>9</v>
      </c>
      <c r="D43" s="129" t="s">
        <v>9</v>
      </c>
      <c r="E43" s="129">
        <v>29.7</v>
      </c>
      <c r="F43" s="129">
        <v>44.9</v>
      </c>
      <c r="G43" s="129">
        <v>14473.4</v>
      </c>
      <c r="H43" s="129" t="s">
        <v>9</v>
      </c>
      <c r="I43" s="129" t="s">
        <v>9</v>
      </c>
      <c r="J43" s="129">
        <v>47</v>
      </c>
      <c r="K43" s="129">
        <v>71.2</v>
      </c>
      <c r="L43" s="129">
        <v>14482.2</v>
      </c>
      <c r="M43" s="129" t="s">
        <v>9</v>
      </c>
      <c r="N43" s="129" t="s">
        <v>9</v>
      </c>
      <c r="O43" s="129">
        <v>46.5</v>
      </c>
      <c r="P43" s="129">
        <v>71</v>
      </c>
      <c r="Q43" s="249"/>
      <c r="R43" s="249"/>
      <c r="S43" s="249"/>
      <c r="T43" s="249"/>
    </row>
    <row r="44" spans="1:20">
      <c r="A44" s="248">
        <v>2000</v>
      </c>
      <c r="B44" s="129">
        <v>9778.1</v>
      </c>
      <c r="C44" s="129" t="s">
        <v>9</v>
      </c>
      <c r="D44" s="129" t="s">
        <v>9</v>
      </c>
      <c r="E44" s="129">
        <v>24.1</v>
      </c>
      <c r="F44" s="129">
        <v>108.1</v>
      </c>
      <c r="G44" s="129">
        <v>13559.9</v>
      </c>
      <c r="H44" s="129" t="s">
        <v>9</v>
      </c>
      <c r="I44" s="129" t="s">
        <v>9</v>
      </c>
      <c r="J44" s="129">
        <v>35</v>
      </c>
      <c r="K44" s="129">
        <v>158.4</v>
      </c>
      <c r="L44" s="129">
        <v>13558.7</v>
      </c>
      <c r="M44" s="129" t="s">
        <v>9</v>
      </c>
      <c r="N44" s="129" t="s">
        <v>9</v>
      </c>
      <c r="O44" s="129">
        <v>34.799999999999997</v>
      </c>
      <c r="P44" s="129">
        <v>157.69999999999999</v>
      </c>
      <c r="Q44" s="249"/>
      <c r="R44" s="249"/>
      <c r="S44" s="249"/>
      <c r="T44" s="249"/>
    </row>
    <row r="45" spans="1:20">
      <c r="A45" s="248">
        <v>2001</v>
      </c>
      <c r="B45" s="129">
        <v>10698</v>
      </c>
      <c r="C45" s="129" t="s">
        <v>9</v>
      </c>
      <c r="D45" s="129" t="s">
        <v>9</v>
      </c>
      <c r="E45" s="129">
        <v>11.4</v>
      </c>
      <c r="F45" s="129">
        <v>80.599999999999994</v>
      </c>
      <c r="G45" s="129">
        <v>14276</v>
      </c>
      <c r="H45" s="129" t="s">
        <v>9</v>
      </c>
      <c r="I45" s="129" t="s">
        <v>9</v>
      </c>
      <c r="J45" s="129">
        <v>15.9</v>
      </c>
      <c r="K45" s="129">
        <v>112</v>
      </c>
      <c r="L45" s="129">
        <v>14279.5</v>
      </c>
      <c r="M45" s="129" t="s">
        <v>9</v>
      </c>
      <c r="N45" s="129" t="s">
        <v>9</v>
      </c>
      <c r="O45" s="129">
        <v>15.7</v>
      </c>
      <c r="P45" s="129">
        <v>112</v>
      </c>
      <c r="Q45" s="249"/>
      <c r="R45" s="249"/>
      <c r="S45" s="249"/>
      <c r="T45" s="249"/>
    </row>
    <row r="46" spans="1:20">
      <c r="A46" s="248">
        <v>2002</v>
      </c>
      <c r="B46" s="129">
        <v>11689.3</v>
      </c>
      <c r="C46" s="129" t="s">
        <v>9</v>
      </c>
      <c r="D46" s="129" t="s">
        <v>9</v>
      </c>
      <c r="E46" s="129">
        <v>13.9</v>
      </c>
      <c r="F46" s="129">
        <v>18.5</v>
      </c>
      <c r="G46" s="129">
        <v>15345.1</v>
      </c>
      <c r="H46" s="129" t="s">
        <v>9</v>
      </c>
      <c r="I46" s="129" t="s">
        <v>9</v>
      </c>
      <c r="J46" s="129">
        <v>18.600000000000001</v>
      </c>
      <c r="K46" s="129">
        <v>25.1</v>
      </c>
      <c r="L46" s="129">
        <v>15350.2</v>
      </c>
      <c r="M46" s="129" t="s">
        <v>9</v>
      </c>
      <c r="N46" s="129" t="s">
        <v>9</v>
      </c>
      <c r="O46" s="129">
        <v>18.7</v>
      </c>
      <c r="P46" s="129">
        <v>25.2</v>
      </c>
      <c r="Q46" s="249"/>
      <c r="R46" s="249"/>
      <c r="S46" s="249"/>
      <c r="T46" s="249"/>
    </row>
    <row r="47" spans="1:20">
      <c r="A47" s="248">
        <v>2003</v>
      </c>
      <c r="B47" s="129">
        <v>12061.1</v>
      </c>
      <c r="C47" s="129" t="s">
        <v>9</v>
      </c>
      <c r="D47" s="129" t="s">
        <v>9</v>
      </c>
      <c r="E47" s="129">
        <v>7</v>
      </c>
      <c r="F47" s="129">
        <v>13.5</v>
      </c>
      <c r="G47" s="129">
        <v>15245.4</v>
      </c>
      <c r="H47" s="129" t="s">
        <v>9</v>
      </c>
      <c r="I47" s="129" t="s">
        <v>9</v>
      </c>
      <c r="J47" s="129">
        <v>9</v>
      </c>
      <c r="K47" s="129">
        <v>17.600000000000001</v>
      </c>
      <c r="L47" s="129">
        <v>15247.6</v>
      </c>
      <c r="M47" s="129" t="s">
        <v>9</v>
      </c>
      <c r="N47" s="129" t="s">
        <v>9</v>
      </c>
      <c r="O47" s="129">
        <v>9</v>
      </c>
      <c r="P47" s="129">
        <v>17.7</v>
      </c>
      <c r="Q47" s="249"/>
      <c r="R47" s="249"/>
      <c r="S47" s="249"/>
      <c r="T47" s="249"/>
    </row>
    <row r="48" spans="1:20">
      <c r="A48" s="248">
        <v>2004</v>
      </c>
      <c r="B48" s="129">
        <v>12855.3</v>
      </c>
      <c r="C48" s="129" t="s">
        <v>9</v>
      </c>
      <c r="D48" s="129" t="s">
        <v>9</v>
      </c>
      <c r="E48" s="129">
        <v>37.200000000000003</v>
      </c>
      <c r="F48" s="129">
        <v>7.1</v>
      </c>
      <c r="G48" s="129">
        <v>15302.4</v>
      </c>
      <c r="H48" s="129" t="s">
        <v>9</v>
      </c>
      <c r="I48" s="129" t="s">
        <v>9</v>
      </c>
      <c r="J48" s="129">
        <v>45</v>
      </c>
      <c r="K48" s="129">
        <v>8.6999999999999993</v>
      </c>
      <c r="L48" s="129">
        <v>15308</v>
      </c>
      <c r="M48" s="129" t="s">
        <v>9</v>
      </c>
      <c r="N48" s="129" t="s">
        <v>9</v>
      </c>
      <c r="O48" s="129">
        <v>45.2</v>
      </c>
      <c r="P48" s="129">
        <v>8.6999999999999993</v>
      </c>
      <c r="Q48" s="249"/>
      <c r="R48" s="249"/>
      <c r="S48" s="249"/>
      <c r="T48" s="249"/>
    </row>
    <row r="49" spans="1:20">
      <c r="A49" s="248">
        <v>2005</v>
      </c>
      <c r="B49" s="129">
        <v>12957.7</v>
      </c>
      <c r="C49" s="129" t="s">
        <v>9</v>
      </c>
      <c r="D49" s="129" t="s">
        <v>9</v>
      </c>
      <c r="E49" s="129">
        <v>71.8</v>
      </c>
      <c r="F49" s="129">
        <v>7.4</v>
      </c>
      <c r="G49" s="129">
        <v>14687.4</v>
      </c>
      <c r="H49" s="129" t="s">
        <v>9</v>
      </c>
      <c r="I49" s="129" t="s">
        <v>9</v>
      </c>
      <c r="J49" s="129">
        <v>82.6</v>
      </c>
      <c r="K49" s="129">
        <v>8.5</v>
      </c>
      <c r="L49" s="129">
        <v>14685.9</v>
      </c>
      <c r="M49" s="129" t="s">
        <v>9</v>
      </c>
      <c r="N49" s="129" t="s">
        <v>9</v>
      </c>
      <c r="O49" s="129">
        <v>82.7</v>
      </c>
      <c r="P49" s="129">
        <v>8.5</v>
      </c>
      <c r="Q49" s="249"/>
      <c r="R49" s="249"/>
      <c r="S49" s="249"/>
      <c r="T49" s="249"/>
    </row>
    <row r="50" spans="1:20">
      <c r="A50" s="248">
        <v>2006</v>
      </c>
      <c r="B50" s="129">
        <v>13990.7</v>
      </c>
      <c r="C50" s="129" t="s">
        <v>9</v>
      </c>
      <c r="D50" s="129" t="s">
        <v>9</v>
      </c>
      <c r="E50" s="129">
        <v>70.2</v>
      </c>
      <c r="F50" s="129">
        <v>5</v>
      </c>
      <c r="G50" s="129">
        <v>14909.8</v>
      </c>
      <c r="H50" s="129" t="s">
        <v>9</v>
      </c>
      <c r="I50" s="129" t="s">
        <v>9</v>
      </c>
      <c r="J50" s="129">
        <v>75.5</v>
      </c>
      <c r="K50" s="129">
        <v>5.3</v>
      </c>
      <c r="L50" s="129">
        <v>14904.8</v>
      </c>
      <c r="M50" s="129" t="s">
        <v>9</v>
      </c>
      <c r="N50" s="129" t="s">
        <v>9</v>
      </c>
      <c r="O50" s="129">
        <v>75.5</v>
      </c>
      <c r="P50" s="129">
        <v>5.3</v>
      </c>
      <c r="Q50" s="249"/>
      <c r="R50" s="249"/>
      <c r="S50" s="249"/>
      <c r="T50" s="249"/>
    </row>
    <row r="51" spans="1:20">
      <c r="A51" s="248">
        <v>2007</v>
      </c>
      <c r="B51" s="129">
        <v>14868.1</v>
      </c>
      <c r="C51" s="129" t="s">
        <v>9</v>
      </c>
      <c r="D51" s="129" t="s">
        <v>9</v>
      </c>
      <c r="E51" s="129">
        <v>28.2</v>
      </c>
      <c r="F51" s="129">
        <v>14.7</v>
      </c>
      <c r="G51" s="129">
        <v>14868.1</v>
      </c>
      <c r="H51" s="129" t="s">
        <v>9</v>
      </c>
      <c r="I51" s="129" t="s">
        <v>9</v>
      </c>
      <c r="J51" s="129">
        <v>28.2</v>
      </c>
      <c r="K51" s="129">
        <v>14.7</v>
      </c>
      <c r="L51" s="129">
        <v>14868.1</v>
      </c>
      <c r="M51" s="129" t="s">
        <v>9</v>
      </c>
      <c r="N51" s="129" t="s">
        <v>9</v>
      </c>
      <c r="O51" s="129">
        <v>28.2</v>
      </c>
      <c r="P51" s="129">
        <v>14.7</v>
      </c>
      <c r="Q51" s="249"/>
      <c r="R51" s="249"/>
      <c r="S51" s="249"/>
      <c r="T51" s="249"/>
    </row>
    <row r="52" spans="1:20">
      <c r="A52" s="248">
        <v>2008</v>
      </c>
      <c r="B52" s="129">
        <v>16032</v>
      </c>
      <c r="C52" s="129" t="s">
        <v>9</v>
      </c>
      <c r="D52" s="129" t="s">
        <v>9</v>
      </c>
      <c r="E52" s="129">
        <v>27.9</v>
      </c>
      <c r="F52" s="129">
        <v>41.7</v>
      </c>
      <c r="G52" s="129">
        <v>14674.3</v>
      </c>
      <c r="H52" s="129" t="s">
        <v>9</v>
      </c>
      <c r="I52" s="129" t="s">
        <v>9</v>
      </c>
      <c r="J52" s="129">
        <v>25.2</v>
      </c>
      <c r="K52" s="129">
        <v>37.6</v>
      </c>
      <c r="L52" s="129">
        <v>14670.4</v>
      </c>
      <c r="M52" s="129" t="s">
        <v>9</v>
      </c>
      <c r="N52" s="129" t="s">
        <v>9</v>
      </c>
      <c r="O52" s="129">
        <v>25.1</v>
      </c>
      <c r="P52" s="129">
        <v>37.6</v>
      </c>
      <c r="Q52" s="249"/>
      <c r="R52" s="249"/>
      <c r="S52" s="249"/>
      <c r="T52" s="249"/>
    </row>
    <row r="53" spans="1:20">
      <c r="A53" s="248">
        <v>2009</v>
      </c>
      <c r="B53" s="129">
        <v>15537</v>
      </c>
      <c r="C53" s="129" t="s">
        <v>9</v>
      </c>
      <c r="D53" s="129" t="s">
        <v>9</v>
      </c>
      <c r="E53" s="129">
        <v>5.7</v>
      </c>
      <c r="F53" s="129">
        <v>5.8</v>
      </c>
      <c r="G53" s="129">
        <v>14477.6</v>
      </c>
      <c r="H53" s="129" t="s">
        <v>9</v>
      </c>
      <c r="I53" s="129" t="s">
        <v>9</v>
      </c>
      <c r="J53" s="129">
        <v>5.2</v>
      </c>
      <c r="K53" s="129">
        <v>5.4</v>
      </c>
      <c r="L53" s="129">
        <v>14463.4</v>
      </c>
      <c r="M53" s="129" t="s">
        <v>9</v>
      </c>
      <c r="N53" s="129" t="s">
        <v>9</v>
      </c>
      <c r="O53" s="129">
        <v>5.2</v>
      </c>
      <c r="P53" s="129">
        <v>5.3</v>
      </c>
      <c r="Q53" s="249"/>
      <c r="R53" s="249"/>
      <c r="S53" s="249"/>
      <c r="T53" s="249"/>
    </row>
    <row r="54" spans="1:20">
      <c r="A54" s="248">
        <v>2010</v>
      </c>
      <c r="B54" s="129">
        <v>18707.099999999999</v>
      </c>
      <c r="C54" s="129" t="s">
        <v>9</v>
      </c>
      <c r="D54" s="129" t="s">
        <v>9</v>
      </c>
      <c r="E54" s="129" t="s">
        <v>9</v>
      </c>
      <c r="F54" s="129">
        <v>0.6</v>
      </c>
      <c r="G54" s="129">
        <v>17329</v>
      </c>
      <c r="H54" s="129" t="s">
        <v>9</v>
      </c>
      <c r="I54" s="129" t="s">
        <v>9</v>
      </c>
      <c r="J54" s="129" t="s">
        <v>9</v>
      </c>
      <c r="K54" s="129">
        <v>0.6</v>
      </c>
      <c r="L54" s="129">
        <v>17329.7</v>
      </c>
      <c r="M54" s="129" t="s">
        <v>9</v>
      </c>
      <c r="N54" s="129" t="s">
        <v>9</v>
      </c>
      <c r="O54" s="129" t="s">
        <v>9</v>
      </c>
      <c r="P54" s="129">
        <v>0.6</v>
      </c>
      <c r="Q54" s="249"/>
      <c r="R54" s="249"/>
      <c r="S54" s="249"/>
      <c r="T54" s="249"/>
    </row>
    <row r="55" spans="1:20">
      <c r="A55" s="248">
        <v>2011</v>
      </c>
      <c r="B55" s="129">
        <v>19061.3</v>
      </c>
      <c r="C55" s="129" t="s">
        <v>9</v>
      </c>
      <c r="D55" s="129" t="s">
        <v>9</v>
      </c>
      <c r="E55" s="129" t="s">
        <v>9</v>
      </c>
      <c r="F55" s="129">
        <v>6.8</v>
      </c>
      <c r="G55" s="129">
        <v>16947.7</v>
      </c>
      <c r="H55" s="129" t="s">
        <v>9</v>
      </c>
      <c r="I55" s="129" t="s">
        <v>9</v>
      </c>
      <c r="J55" s="129" t="s">
        <v>9</v>
      </c>
      <c r="K55" s="129">
        <v>6</v>
      </c>
      <c r="L55" s="129">
        <v>16943.2</v>
      </c>
      <c r="M55" s="129" t="s">
        <v>9</v>
      </c>
      <c r="N55" s="129" t="s">
        <v>9</v>
      </c>
      <c r="O55" s="129" t="s">
        <v>9</v>
      </c>
      <c r="P55" s="129">
        <v>6.1</v>
      </c>
      <c r="Q55" s="249"/>
      <c r="R55" s="249"/>
      <c r="S55" s="249"/>
      <c r="T55" s="249"/>
    </row>
    <row r="56" spans="1:20">
      <c r="A56" s="248">
        <v>2012</v>
      </c>
      <c r="B56" s="129">
        <v>19309.599999999999</v>
      </c>
      <c r="C56" s="129" t="s">
        <v>9</v>
      </c>
      <c r="D56" s="129" t="s">
        <v>9</v>
      </c>
      <c r="E56" s="129" t="s">
        <v>9</v>
      </c>
      <c r="F56" s="129">
        <v>5.8</v>
      </c>
      <c r="G56" s="129">
        <v>16805.2</v>
      </c>
      <c r="H56" s="129" t="s">
        <v>9</v>
      </c>
      <c r="I56" s="129" t="s">
        <v>9</v>
      </c>
      <c r="J56" s="129" t="s">
        <v>9</v>
      </c>
      <c r="K56" s="129">
        <v>5.0999999999999996</v>
      </c>
      <c r="L56" s="129">
        <v>16798.599999999999</v>
      </c>
      <c r="M56" s="129" t="s">
        <v>9</v>
      </c>
      <c r="N56" s="129" t="s">
        <v>9</v>
      </c>
      <c r="O56" s="129" t="s">
        <v>9</v>
      </c>
      <c r="P56" s="129">
        <v>5.0999999999999996</v>
      </c>
      <c r="Q56" s="249"/>
      <c r="R56" s="249"/>
      <c r="S56" s="249"/>
      <c r="T56" s="249"/>
    </row>
    <row r="57" spans="1:20">
      <c r="A57" s="248">
        <v>2013</v>
      </c>
      <c r="B57" s="129">
        <v>19469.8</v>
      </c>
      <c r="C57" s="129" t="s">
        <v>9</v>
      </c>
      <c r="D57" s="129" t="s">
        <v>9</v>
      </c>
      <c r="E57" s="129" t="s">
        <v>9</v>
      </c>
      <c r="F57" s="129">
        <v>4.5999999999999996</v>
      </c>
      <c r="G57" s="129">
        <v>16907.8</v>
      </c>
      <c r="H57" s="129" t="s">
        <v>9</v>
      </c>
      <c r="I57" s="129" t="s">
        <v>9</v>
      </c>
      <c r="J57" s="129" t="s">
        <v>9</v>
      </c>
      <c r="K57" s="129">
        <v>3.9</v>
      </c>
      <c r="L57" s="129">
        <v>16900.400000000001</v>
      </c>
      <c r="M57" s="129" t="s">
        <v>9</v>
      </c>
      <c r="N57" s="129" t="s">
        <v>9</v>
      </c>
      <c r="O57" s="129" t="s">
        <v>9</v>
      </c>
      <c r="P57" s="129">
        <v>3.9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K60" si="0">((B57/B28)^(1/29)-1)*100</f>
        <v>5.435414820650597</v>
      </c>
      <c r="C60" s="11" t="s">
        <v>10</v>
      </c>
      <c r="D60" s="11" t="s">
        <v>10</v>
      </c>
      <c r="E60" s="11" t="s">
        <v>10</v>
      </c>
      <c r="F60" s="11">
        <f t="shared" si="0"/>
        <v>-7.0891533823549953</v>
      </c>
      <c r="G60" s="11">
        <f t="shared" si="0"/>
        <v>1.9154258677064551</v>
      </c>
      <c r="H60" s="11" t="s">
        <v>10</v>
      </c>
      <c r="I60" s="11" t="s">
        <v>10</v>
      </c>
      <c r="J60" s="11" t="s">
        <v>10</v>
      </c>
      <c r="K60" s="11">
        <f t="shared" si="0"/>
        <v>-10.647894966038674</v>
      </c>
      <c r="L60" s="11">
        <f>((L57/L28)^(1/29)-1)*100</f>
        <v>1.8553715905989199</v>
      </c>
      <c r="M60" s="11" t="s">
        <v>10</v>
      </c>
      <c r="N60" s="11" t="s">
        <v>10</v>
      </c>
      <c r="O60" s="11" t="s">
        <v>10</v>
      </c>
      <c r="P60" s="11">
        <f t="shared" ref="P60" si="1">((P57/P28)^(1/29)-1)*100</f>
        <v>-10.647894966038674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K61" si="2">((B33/B28)^(1/5)-1)*100</f>
        <v>19.746261184471049</v>
      </c>
      <c r="C61" s="11" t="s">
        <v>10</v>
      </c>
      <c r="D61" s="11" t="s">
        <v>10</v>
      </c>
      <c r="E61" s="11">
        <f t="shared" si="2"/>
        <v>19.106575543990623</v>
      </c>
      <c r="F61" s="11">
        <f t="shared" si="2"/>
        <v>21.938259502897317</v>
      </c>
      <c r="G61" s="11">
        <f t="shared" si="2"/>
        <v>12.278722615660588</v>
      </c>
      <c r="H61" s="11" t="s">
        <v>10</v>
      </c>
      <c r="I61" s="11" t="s">
        <v>10</v>
      </c>
      <c r="J61" s="11">
        <f t="shared" si="2"/>
        <v>11.02531605368846</v>
      </c>
      <c r="K61" s="11">
        <f t="shared" si="2"/>
        <v>13.439570138086854</v>
      </c>
      <c r="L61" s="11">
        <f>((L33/L28)^(1/5)-1)*100</f>
        <v>12.347950678924979</v>
      </c>
      <c r="M61" s="11" t="s">
        <v>10</v>
      </c>
      <c r="N61" s="11" t="s">
        <v>10</v>
      </c>
      <c r="O61" s="11">
        <f t="shared" ref="O61:P61" si="3">((O33/O28)^(1/5)-1)*100</f>
        <v>11.129560726983279</v>
      </c>
      <c r="P61" s="11">
        <f t="shared" si="3"/>
        <v>13.675168368057866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K62" si="4">((B44/B33)^(1/11)-1)*100</f>
        <v>-0.49712353330673142</v>
      </c>
      <c r="C62" s="11" t="s">
        <v>10</v>
      </c>
      <c r="D62" s="11" t="s">
        <v>10</v>
      </c>
      <c r="E62" s="11">
        <f t="shared" si="4"/>
        <v>-2.7089979155141442</v>
      </c>
      <c r="F62" s="11">
        <f t="shared" si="4"/>
        <v>0.29965874566477702</v>
      </c>
      <c r="G62" s="11">
        <f t="shared" si="4"/>
        <v>-2.2427271329515386</v>
      </c>
      <c r="H62" s="11" t="s">
        <v>10</v>
      </c>
      <c r="I62" s="11" t="s">
        <v>10</v>
      </c>
      <c r="J62" s="11">
        <f t="shared" si="4"/>
        <v>-4.9106482904826105</v>
      </c>
      <c r="K62" s="11">
        <f t="shared" si="4"/>
        <v>-1.7243211996083807</v>
      </c>
      <c r="L62" s="11">
        <f>((L44/L33)^(1/11)-1)*100</f>
        <v>-2.4187636104715859</v>
      </c>
      <c r="M62" s="11" t="s">
        <v>10</v>
      </c>
      <c r="N62" s="11" t="s">
        <v>10</v>
      </c>
      <c r="O62" s="11">
        <f t="shared" ref="O62:P62" si="5">((O44/O33)^(1/11)-1)*100</f>
        <v>-4.831449657327413</v>
      </c>
      <c r="P62" s="11">
        <f t="shared" si="5"/>
        <v>-1.8564802519361767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6.1695906071517648</v>
      </c>
      <c r="C63" s="11" t="s">
        <v>10</v>
      </c>
      <c r="D63" s="11" t="s">
        <v>10</v>
      </c>
      <c r="E63" s="11">
        <f t="shared" ref="E63:P63" si="6">((E51/E44)^(1/7)-1)*100</f>
        <v>2.2698073766620475</v>
      </c>
      <c r="F63" s="11">
        <f t="shared" si="6"/>
        <v>-24.800822314319127</v>
      </c>
      <c r="G63" s="11">
        <f t="shared" si="6"/>
        <v>1.3244233860902899</v>
      </c>
      <c r="H63" s="11" t="s">
        <v>10</v>
      </c>
      <c r="I63" s="11" t="s">
        <v>10</v>
      </c>
      <c r="J63" s="11">
        <f t="shared" si="6"/>
        <v>-3.0389533509839972</v>
      </c>
      <c r="K63" s="11">
        <f t="shared" si="6"/>
        <v>-28.795264153568269</v>
      </c>
      <c r="L63" s="11">
        <f t="shared" si="6"/>
        <v>1.3257044264807671</v>
      </c>
      <c r="M63" s="11" t="s">
        <v>10</v>
      </c>
      <c r="N63" s="11" t="s">
        <v>10</v>
      </c>
      <c r="O63" s="11">
        <f t="shared" si="6"/>
        <v>-2.9595419613893448</v>
      </c>
      <c r="P63" s="11">
        <f t="shared" si="6"/>
        <v>-28.750197792870459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4.5966245252064386</v>
      </c>
      <c r="C64" s="11" t="s">
        <v>10</v>
      </c>
      <c r="D64" s="11" t="s">
        <v>10</v>
      </c>
      <c r="E64" s="11" t="s">
        <v>10</v>
      </c>
      <c r="F64" s="11">
        <f t="shared" ref="F64:P64" si="7">((F57/F51)^(1/6)-1)*100</f>
        <v>-17.603882264931048</v>
      </c>
      <c r="G64" s="11">
        <f t="shared" si="7"/>
        <v>2.165736806557983</v>
      </c>
      <c r="H64" s="11" t="s">
        <v>10</v>
      </c>
      <c r="I64" s="11" t="s">
        <v>10</v>
      </c>
      <c r="J64" s="11" t="s">
        <v>10</v>
      </c>
      <c r="K64" s="11">
        <f t="shared" si="7"/>
        <v>-19.839968587158495</v>
      </c>
      <c r="L64" s="11">
        <f t="shared" si="7"/>
        <v>2.1582830045707047</v>
      </c>
      <c r="M64" s="11" t="s">
        <v>10</v>
      </c>
      <c r="N64" s="11" t="s">
        <v>10</v>
      </c>
      <c r="O64" s="11" t="s">
        <v>10</v>
      </c>
      <c r="P64" s="11">
        <f t="shared" si="7"/>
        <v>-19.839968587158495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K65" si="8">((B57/B44)^(1/13)-1)*100</f>
        <v>5.4406882335708451</v>
      </c>
      <c r="C65" s="11" t="s">
        <v>10</v>
      </c>
      <c r="D65" s="11" t="s">
        <v>10</v>
      </c>
      <c r="E65" s="11" t="s">
        <v>10</v>
      </c>
      <c r="F65" s="11">
        <f t="shared" si="8"/>
        <v>-21.560784520197917</v>
      </c>
      <c r="G65" s="11">
        <f t="shared" si="8"/>
        <v>1.7118575358816335</v>
      </c>
      <c r="H65" s="11" t="s">
        <v>10</v>
      </c>
      <c r="I65" s="11" t="s">
        <v>10</v>
      </c>
      <c r="J65" s="11" t="s">
        <v>10</v>
      </c>
      <c r="K65" s="11">
        <f t="shared" si="8"/>
        <v>-24.793639609037566</v>
      </c>
      <c r="L65" s="11">
        <f>((L57/L44)^(1/13)-1)*100</f>
        <v>1.7091249389290075</v>
      </c>
      <c r="M65" s="11" t="s">
        <v>10</v>
      </c>
      <c r="N65" s="11" t="s">
        <v>10</v>
      </c>
      <c r="O65" s="11" t="s">
        <v>10</v>
      </c>
      <c r="P65" s="11">
        <f t="shared" ref="P65" si="9">((P57/P44)^(1/13)-1)*100</f>
        <v>-24.768013099844765</v>
      </c>
      <c r="Q65" s="249"/>
      <c r="R65" s="249"/>
      <c r="S65" s="249"/>
      <c r="T65" s="249"/>
    </row>
    <row r="66" spans="1:20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</row>
    <row r="67" spans="1:20" s="180" customFormat="1">
      <c r="A67" s="174" t="s">
        <v>55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</row>
    <row r="68" spans="1:20" s="180" customFormat="1">
      <c r="A68" s="168" t="s">
        <v>56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74"/>
      <c r="M68" s="128"/>
      <c r="N68" s="128"/>
      <c r="O68" s="128"/>
      <c r="P68" s="128"/>
    </row>
    <row r="69" spans="1:20">
      <c r="A69" s="168" t="s">
        <v>41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</row>
    <row r="70" spans="1:20">
      <c r="A70" s="168" t="s">
        <v>62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1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79"/>
    <col min="12" max="12" width="15.140625" style="165" customWidth="1"/>
    <col min="13" max="16384" width="9.140625" style="165"/>
  </cols>
  <sheetData>
    <row r="1" spans="1:20">
      <c r="A1" s="454" t="s">
        <v>234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109.3</v>
      </c>
      <c r="C5" s="129" t="s">
        <v>9</v>
      </c>
      <c r="D5" s="129">
        <v>0</v>
      </c>
      <c r="E5" s="129">
        <v>0.1</v>
      </c>
      <c r="F5" s="129" t="s">
        <v>9</v>
      </c>
      <c r="G5" s="129">
        <v>786.5</v>
      </c>
      <c r="H5" s="129" t="s">
        <v>9</v>
      </c>
      <c r="I5" s="129">
        <v>0.1</v>
      </c>
      <c r="J5" s="129">
        <v>0.4</v>
      </c>
      <c r="K5" s="129" t="s">
        <v>9</v>
      </c>
      <c r="L5" s="129">
        <v>559.6</v>
      </c>
      <c r="M5" s="129" t="s">
        <v>9</v>
      </c>
      <c r="N5" s="129" t="s">
        <v>10</v>
      </c>
      <c r="O5" s="129" t="s">
        <v>10</v>
      </c>
      <c r="P5" s="129" t="s">
        <v>9</v>
      </c>
      <c r="Q5" s="249"/>
      <c r="R5" s="249"/>
      <c r="S5" s="249"/>
      <c r="T5" s="249"/>
    </row>
    <row r="6" spans="1:20">
      <c r="A6" s="248">
        <v>1962</v>
      </c>
      <c r="B6" s="129">
        <v>118.3</v>
      </c>
      <c r="C6" s="129" t="s">
        <v>9</v>
      </c>
      <c r="D6" s="129">
        <v>0</v>
      </c>
      <c r="E6" s="129">
        <v>0.1</v>
      </c>
      <c r="F6" s="129" t="s">
        <v>9</v>
      </c>
      <c r="G6" s="129">
        <v>836.9</v>
      </c>
      <c r="H6" s="129" t="s">
        <v>9</v>
      </c>
      <c r="I6" s="129">
        <v>0.1</v>
      </c>
      <c r="J6" s="129">
        <v>0.5</v>
      </c>
      <c r="K6" s="129" t="s">
        <v>9</v>
      </c>
      <c r="L6" s="129">
        <v>597.1</v>
      </c>
      <c r="M6" s="129" t="s">
        <v>9</v>
      </c>
      <c r="N6" s="129">
        <v>0.1</v>
      </c>
      <c r="O6" s="129">
        <v>0.2</v>
      </c>
      <c r="P6" s="129" t="s">
        <v>9</v>
      </c>
      <c r="Q6" s="249"/>
      <c r="R6" s="249"/>
      <c r="S6" s="249"/>
      <c r="T6" s="249"/>
    </row>
    <row r="7" spans="1:20">
      <c r="A7" s="248">
        <v>1963</v>
      </c>
      <c r="B7" s="129">
        <v>125.6</v>
      </c>
      <c r="C7" s="129" t="s">
        <v>9</v>
      </c>
      <c r="D7" s="129">
        <v>0</v>
      </c>
      <c r="E7" s="129">
        <v>0.1</v>
      </c>
      <c r="F7" s="129" t="s">
        <v>9</v>
      </c>
      <c r="G7" s="129">
        <v>869.3</v>
      </c>
      <c r="H7" s="129" t="s">
        <v>9</v>
      </c>
      <c r="I7" s="129">
        <v>0.1</v>
      </c>
      <c r="J7" s="129">
        <v>0.5</v>
      </c>
      <c r="K7" s="129" t="s">
        <v>9</v>
      </c>
      <c r="L7" s="129">
        <v>620.4</v>
      </c>
      <c r="M7" s="129" t="s">
        <v>9</v>
      </c>
      <c r="N7" s="129">
        <v>0.1</v>
      </c>
      <c r="O7" s="129">
        <v>0.2</v>
      </c>
      <c r="P7" s="129" t="s">
        <v>9</v>
      </c>
      <c r="Q7" s="249"/>
      <c r="R7" s="249"/>
      <c r="S7" s="249"/>
      <c r="T7" s="249"/>
    </row>
    <row r="8" spans="1:20">
      <c r="A8" s="248">
        <v>1964</v>
      </c>
      <c r="B8" s="129">
        <v>143.30000000000001</v>
      </c>
      <c r="C8" s="129" t="s">
        <v>9</v>
      </c>
      <c r="D8" s="129">
        <v>0</v>
      </c>
      <c r="E8" s="129">
        <v>0.2</v>
      </c>
      <c r="F8" s="129" t="s">
        <v>9</v>
      </c>
      <c r="G8" s="129">
        <v>964.5</v>
      </c>
      <c r="H8" s="129" t="s">
        <v>9</v>
      </c>
      <c r="I8" s="129">
        <v>0.1</v>
      </c>
      <c r="J8" s="129">
        <v>1.4</v>
      </c>
      <c r="K8" s="129" t="s">
        <v>9</v>
      </c>
      <c r="L8" s="129">
        <v>688.6</v>
      </c>
      <c r="M8" s="129" t="s">
        <v>9</v>
      </c>
      <c r="N8" s="129">
        <v>0.1</v>
      </c>
      <c r="O8" s="129">
        <v>0.6</v>
      </c>
      <c r="P8" s="129" t="s">
        <v>9</v>
      </c>
      <c r="Q8" s="249"/>
      <c r="R8" s="249"/>
      <c r="S8" s="249"/>
      <c r="T8" s="249"/>
    </row>
    <row r="9" spans="1:20">
      <c r="A9" s="248">
        <v>1965</v>
      </c>
      <c r="B9" s="129">
        <v>168</v>
      </c>
      <c r="C9" s="129" t="s">
        <v>9</v>
      </c>
      <c r="D9" s="129">
        <v>0</v>
      </c>
      <c r="E9" s="129">
        <v>0</v>
      </c>
      <c r="F9" s="129" t="s">
        <v>9</v>
      </c>
      <c r="G9" s="129">
        <v>1092.3</v>
      </c>
      <c r="H9" s="129" t="s">
        <v>9</v>
      </c>
      <c r="I9" s="129">
        <v>0</v>
      </c>
      <c r="J9" s="129">
        <v>0</v>
      </c>
      <c r="K9" s="129" t="s">
        <v>9</v>
      </c>
      <c r="L9" s="129">
        <v>779.7</v>
      </c>
      <c r="M9" s="129" t="s">
        <v>9</v>
      </c>
      <c r="N9" s="129">
        <v>0</v>
      </c>
      <c r="O9" s="129">
        <v>0</v>
      </c>
      <c r="P9" s="129" t="s">
        <v>9</v>
      </c>
      <c r="Q9" s="249"/>
      <c r="R9" s="249"/>
      <c r="S9" s="249"/>
      <c r="T9" s="249"/>
    </row>
    <row r="10" spans="1:20">
      <c r="A10" s="248">
        <v>1966</v>
      </c>
      <c r="B10" s="129">
        <v>186.1</v>
      </c>
      <c r="C10" s="129" t="s">
        <v>9</v>
      </c>
      <c r="D10" s="129">
        <v>0</v>
      </c>
      <c r="E10" s="129">
        <v>0</v>
      </c>
      <c r="F10" s="129" t="s">
        <v>9</v>
      </c>
      <c r="G10" s="129">
        <v>1148.8</v>
      </c>
      <c r="H10" s="129" t="s">
        <v>9</v>
      </c>
      <c r="I10" s="129">
        <v>0</v>
      </c>
      <c r="J10" s="129">
        <v>0</v>
      </c>
      <c r="K10" s="129" t="s">
        <v>9</v>
      </c>
      <c r="L10" s="129">
        <v>820.6</v>
      </c>
      <c r="M10" s="129" t="s">
        <v>9</v>
      </c>
      <c r="N10" s="129">
        <v>0</v>
      </c>
      <c r="O10" s="129">
        <v>0</v>
      </c>
      <c r="P10" s="129" t="s">
        <v>9</v>
      </c>
      <c r="Q10" s="249"/>
      <c r="R10" s="249"/>
      <c r="S10" s="249"/>
      <c r="T10" s="249"/>
    </row>
    <row r="11" spans="1:20">
      <c r="A11" s="248">
        <v>1967</v>
      </c>
      <c r="B11" s="129">
        <v>211.1</v>
      </c>
      <c r="C11" s="129" t="s">
        <v>9</v>
      </c>
      <c r="D11" s="129">
        <v>0</v>
      </c>
      <c r="E11" s="129">
        <v>0.5</v>
      </c>
      <c r="F11" s="129" t="s">
        <v>9</v>
      </c>
      <c r="G11" s="129">
        <v>1250</v>
      </c>
      <c r="H11" s="129" t="s">
        <v>9</v>
      </c>
      <c r="I11" s="129">
        <v>0.1</v>
      </c>
      <c r="J11" s="129">
        <v>3.1</v>
      </c>
      <c r="K11" s="129" t="s">
        <v>9</v>
      </c>
      <c r="L11" s="129">
        <v>892.5</v>
      </c>
      <c r="M11" s="129" t="s">
        <v>9</v>
      </c>
      <c r="N11" s="129">
        <v>0.1</v>
      </c>
      <c r="O11" s="129">
        <v>1.4</v>
      </c>
      <c r="P11" s="129" t="s">
        <v>9</v>
      </c>
      <c r="Q11" s="249"/>
      <c r="R11" s="249"/>
      <c r="S11" s="249"/>
      <c r="T11" s="249"/>
    </row>
    <row r="12" spans="1:20">
      <c r="A12" s="248">
        <v>1968</v>
      </c>
      <c r="B12" s="129">
        <v>230.1</v>
      </c>
      <c r="C12" s="129" t="s">
        <v>9</v>
      </c>
      <c r="D12" s="129">
        <v>0</v>
      </c>
      <c r="E12" s="129">
        <v>0.5</v>
      </c>
      <c r="F12" s="129" t="s">
        <v>9</v>
      </c>
      <c r="G12" s="129">
        <v>1310.5</v>
      </c>
      <c r="H12" s="129" t="s">
        <v>9</v>
      </c>
      <c r="I12" s="129">
        <v>0.1</v>
      </c>
      <c r="J12" s="129">
        <v>2.6</v>
      </c>
      <c r="K12" s="129" t="s">
        <v>9</v>
      </c>
      <c r="L12" s="129">
        <v>934.7</v>
      </c>
      <c r="M12" s="129" t="s">
        <v>9</v>
      </c>
      <c r="N12" s="129">
        <v>0.1</v>
      </c>
      <c r="O12" s="129">
        <v>1.1000000000000001</v>
      </c>
      <c r="P12" s="129" t="s">
        <v>9</v>
      </c>
      <c r="Q12" s="249"/>
      <c r="R12" s="249"/>
      <c r="S12" s="249"/>
      <c r="T12" s="249"/>
    </row>
    <row r="13" spans="1:20">
      <c r="A13" s="248">
        <v>1969</v>
      </c>
      <c r="B13" s="129">
        <v>259.2</v>
      </c>
      <c r="C13" s="129" t="s">
        <v>9</v>
      </c>
      <c r="D13" s="129">
        <v>0</v>
      </c>
      <c r="E13" s="129">
        <v>0.5</v>
      </c>
      <c r="F13" s="129" t="s">
        <v>9</v>
      </c>
      <c r="G13" s="129">
        <v>1406.4</v>
      </c>
      <c r="H13" s="129" t="s">
        <v>9</v>
      </c>
      <c r="I13" s="129">
        <v>0.1</v>
      </c>
      <c r="J13" s="129">
        <v>2.5</v>
      </c>
      <c r="K13" s="129" t="s">
        <v>9</v>
      </c>
      <c r="L13" s="129">
        <v>1001.8</v>
      </c>
      <c r="M13" s="129" t="s">
        <v>9</v>
      </c>
      <c r="N13" s="129">
        <v>0.1</v>
      </c>
      <c r="O13" s="129">
        <v>1.1000000000000001</v>
      </c>
      <c r="P13" s="129" t="s">
        <v>9</v>
      </c>
      <c r="Q13" s="249"/>
      <c r="R13" s="249"/>
      <c r="S13" s="249"/>
      <c r="T13" s="249"/>
    </row>
    <row r="14" spans="1:20">
      <c r="A14" s="248">
        <v>1970</v>
      </c>
      <c r="B14" s="129">
        <v>274</v>
      </c>
      <c r="C14" s="129" t="s">
        <v>9</v>
      </c>
      <c r="D14" s="129">
        <v>0</v>
      </c>
      <c r="E14" s="129">
        <v>0.6</v>
      </c>
      <c r="F14" s="129" t="s">
        <v>9</v>
      </c>
      <c r="G14" s="129">
        <v>1422.3</v>
      </c>
      <c r="H14" s="129" t="s">
        <v>9</v>
      </c>
      <c r="I14" s="129">
        <v>0.1</v>
      </c>
      <c r="J14" s="129">
        <v>3</v>
      </c>
      <c r="K14" s="129" t="s">
        <v>9</v>
      </c>
      <c r="L14" s="129">
        <v>1014.4</v>
      </c>
      <c r="M14" s="129" t="s">
        <v>9</v>
      </c>
      <c r="N14" s="129">
        <v>0</v>
      </c>
      <c r="O14" s="129">
        <v>1.3</v>
      </c>
      <c r="P14" s="129" t="s">
        <v>9</v>
      </c>
      <c r="Q14" s="249"/>
      <c r="R14" s="249"/>
      <c r="S14" s="249"/>
      <c r="T14" s="249"/>
    </row>
    <row r="15" spans="1:20">
      <c r="A15" s="248">
        <v>1971</v>
      </c>
      <c r="B15" s="129">
        <v>323.60000000000002</v>
      </c>
      <c r="C15" s="129" t="s">
        <v>9</v>
      </c>
      <c r="D15" s="129">
        <v>0</v>
      </c>
      <c r="E15" s="129">
        <v>1.3</v>
      </c>
      <c r="F15" s="129" t="s">
        <v>9</v>
      </c>
      <c r="G15" s="129">
        <v>1604.3</v>
      </c>
      <c r="H15" s="129" t="s">
        <v>9</v>
      </c>
      <c r="I15" s="129">
        <v>0.1</v>
      </c>
      <c r="J15" s="129">
        <v>6.4</v>
      </c>
      <c r="K15" s="129" t="s">
        <v>9</v>
      </c>
      <c r="L15" s="129">
        <v>1144</v>
      </c>
      <c r="M15" s="129" t="s">
        <v>9</v>
      </c>
      <c r="N15" s="129">
        <v>0</v>
      </c>
      <c r="O15" s="129">
        <v>2.8</v>
      </c>
      <c r="P15" s="129" t="s">
        <v>9</v>
      </c>
      <c r="Q15" s="249"/>
      <c r="R15" s="249"/>
      <c r="S15" s="249"/>
      <c r="T15" s="249"/>
    </row>
    <row r="16" spans="1:20">
      <c r="A16" s="248">
        <v>1972</v>
      </c>
      <c r="B16" s="129">
        <v>327.8</v>
      </c>
      <c r="C16" s="129" t="s">
        <v>9</v>
      </c>
      <c r="D16" s="129">
        <v>0</v>
      </c>
      <c r="E16" s="129">
        <v>0.3</v>
      </c>
      <c r="F16" s="129" t="s">
        <v>9</v>
      </c>
      <c r="G16" s="129">
        <v>1533.7</v>
      </c>
      <c r="H16" s="129" t="s">
        <v>9</v>
      </c>
      <c r="I16" s="129">
        <v>0.1</v>
      </c>
      <c r="J16" s="129">
        <v>1.5</v>
      </c>
      <c r="K16" s="129" t="s">
        <v>9</v>
      </c>
      <c r="L16" s="129">
        <v>1093.8</v>
      </c>
      <c r="M16" s="129" t="s">
        <v>9</v>
      </c>
      <c r="N16" s="129">
        <v>0</v>
      </c>
      <c r="O16" s="129">
        <v>0.6</v>
      </c>
      <c r="P16" s="129" t="s">
        <v>9</v>
      </c>
      <c r="Q16" s="249"/>
      <c r="R16" s="249"/>
      <c r="S16" s="249"/>
      <c r="T16" s="249"/>
    </row>
    <row r="17" spans="1:20">
      <c r="A17" s="248">
        <v>1973</v>
      </c>
      <c r="B17" s="129">
        <v>354.5</v>
      </c>
      <c r="C17" s="129" t="s">
        <v>9</v>
      </c>
      <c r="D17" s="129">
        <v>0</v>
      </c>
      <c r="E17" s="129">
        <v>0.3</v>
      </c>
      <c r="F17" s="129" t="s">
        <v>9</v>
      </c>
      <c r="G17" s="129">
        <v>1517.5</v>
      </c>
      <c r="H17" s="129" t="s">
        <v>9</v>
      </c>
      <c r="I17" s="129">
        <v>0.1</v>
      </c>
      <c r="J17" s="129">
        <v>1.1000000000000001</v>
      </c>
      <c r="K17" s="129" t="s">
        <v>9</v>
      </c>
      <c r="L17" s="129">
        <v>1081.9000000000001</v>
      </c>
      <c r="M17" s="129" t="s">
        <v>9</v>
      </c>
      <c r="N17" s="129">
        <v>0.1</v>
      </c>
      <c r="O17" s="129">
        <v>0.5</v>
      </c>
      <c r="P17" s="129" t="s">
        <v>9</v>
      </c>
      <c r="Q17" s="249"/>
      <c r="R17" s="249"/>
      <c r="S17" s="249"/>
      <c r="T17" s="249"/>
    </row>
    <row r="18" spans="1:20">
      <c r="A18" s="248">
        <v>1974</v>
      </c>
      <c r="B18" s="129">
        <v>408.8</v>
      </c>
      <c r="C18" s="129" t="s">
        <v>9</v>
      </c>
      <c r="D18" s="129">
        <v>0</v>
      </c>
      <c r="E18" s="129">
        <v>0.5</v>
      </c>
      <c r="F18" s="129" t="s">
        <v>9</v>
      </c>
      <c r="G18" s="129">
        <v>1517.4</v>
      </c>
      <c r="H18" s="129" t="s">
        <v>9</v>
      </c>
      <c r="I18" s="129">
        <v>0.1</v>
      </c>
      <c r="J18" s="129">
        <v>1.8</v>
      </c>
      <c r="K18" s="129" t="s">
        <v>9</v>
      </c>
      <c r="L18" s="129">
        <v>1081.2</v>
      </c>
      <c r="M18" s="129" t="s">
        <v>9</v>
      </c>
      <c r="N18" s="129">
        <v>0.1</v>
      </c>
      <c r="O18" s="129">
        <v>0.8</v>
      </c>
      <c r="P18" s="129" t="s">
        <v>9</v>
      </c>
      <c r="Q18" s="249"/>
      <c r="R18" s="249"/>
      <c r="S18" s="249"/>
      <c r="T18" s="249"/>
    </row>
    <row r="19" spans="1:20">
      <c r="A19" s="248">
        <v>1975</v>
      </c>
      <c r="B19" s="129">
        <v>473.5</v>
      </c>
      <c r="C19" s="129" t="s">
        <v>9</v>
      </c>
      <c r="D19" s="129">
        <v>0</v>
      </c>
      <c r="E19" s="129">
        <v>1</v>
      </c>
      <c r="F19" s="129" t="s">
        <v>9</v>
      </c>
      <c r="G19" s="129">
        <v>1582.7</v>
      </c>
      <c r="H19" s="129" t="s">
        <v>9</v>
      </c>
      <c r="I19" s="129">
        <v>0.2</v>
      </c>
      <c r="J19" s="129">
        <v>3.2</v>
      </c>
      <c r="K19" s="129" t="s">
        <v>9</v>
      </c>
      <c r="L19" s="129">
        <v>1127.7</v>
      </c>
      <c r="M19" s="129" t="s">
        <v>9</v>
      </c>
      <c r="N19" s="129">
        <v>0.1</v>
      </c>
      <c r="O19" s="129">
        <v>1.4</v>
      </c>
      <c r="P19" s="129" t="s">
        <v>9</v>
      </c>
      <c r="Q19" s="249"/>
      <c r="R19" s="249"/>
      <c r="S19" s="249"/>
      <c r="T19" s="249"/>
    </row>
    <row r="20" spans="1:20">
      <c r="A20" s="248">
        <v>1976</v>
      </c>
      <c r="B20" s="129">
        <v>624.4</v>
      </c>
      <c r="C20" s="129" t="s">
        <v>9</v>
      </c>
      <c r="D20" s="129">
        <v>0.5</v>
      </c>
      <c r="E20" s="129">
        <v>1.9</v>
      </c>
      <c r="F20" s="129" t="s">
        <v>9</v>
      </c>
      <c r="G20" s="129">
        <v>1739.5</v>
      </c>
      <c r="H20" s="129" t="s">
        <v>9</v>
      </c>
      <c r="I20" s="129">
        <v>1.4</v>
      </c>
      <c r="J20" s="129">
        <v>4.9000000000000004</v>
      </c>
      <c r="K20" s="129" t="s">
        <v>9</v>
      </c>
      <c r="L20" s="129">
        <v>1183.0999999999999</v>
      </c>
      <c r="M20" s="129" t="s">
        <v>9</v>
      </c>
      <c r="N20" s="129">
        <v>0.7</v>
      </c>
      <c r="O20" s="129">
        <v>2.6</v>
      </c>
      <c r="P20" s="129" t="s">
        <v>9</v>
      </c>
      <c r="Q20" s="249"/>
      <c r="R20" s="249"/>
      <c r="S20" s="249"/>
      <c r="T20" s="249"/>
    </row>
    <row r="21" spans="1:20">
      <c r="A21" s="248">
        <v>1977</v>
      </c>
      <c r="B21" s="129">
        <v>707.7</v>
      </c>
      <c r="C21" s="129" t="s">
        <v>9</v>
      </c>
      <c r="D21" s="129">
        <v>0.2</v>
      </c>
      <c r="E21" s="129">
        <v>1.6</v>
      </c>
      <c r="F21" s="129" t="s">
        <v>9</v>
      </c>
      <c r="G21" s="129">
        <v>1859</v>
      </c>
      <c r="H21" s="129" t="s">
        <v>9</v>
      </c>
      <c r="I21" s="129">
        <v>0.5</v>
      </c>
      <c r="J21" s="129">
        <v>3.7</v>
      </c>
      <c r="K21" s="129" t="s">
        <v>9</v>
      </c>
      <c r="L21" s="129">
        <v>1265.5999999999999</v>
      </c>
      <c r="M21" s="129" t="s">
        <v>9</v>
      </c>
      <c r="N21" s="129">
        <v>0.3</v>
      </c>
      <c r="O21" s="129">
        <v>2.1</v>
      </c>
      <c r="P21" s="129" t="s">
        <v>9</v>
      </c>
      <c r="Q21" s="249"/>
      <c r="R21" s="249"/>
      <c r="S21" s="249"/>
      <c r="T21" s="249"/>
    </row>
    <row r="22" spans="1:20">
      <c r="A22" s="248">
        <v>1978</v>
      </c>
      <c r="B22" s="129">
        <v>825.5</v>
      </c>
      <c r="C22" s="129" t="s">
        <v>9</v>
      </c>
      <c r="D22" s="129">
        <v>0.3</v>
      </c>
      <c r="E22" s="129">
        <v>1</v>
      </c>
      <c r="F22" s="129" t="s">
        <v>9</v>
      </c>
      <c r="G22" s="129">
        <v>2020.8</v>
      </c>
      <c r="H22" s="129" t="s">
        <v>9</v>
      </c>
      <c r="I22" s="129">
        <v>0.5</v>
      </c>
      <c r="J22" s="129">
        <v>1.7</v>
      </c>
      <c r="K22" s="129" t="s">
        <v>9</v>
      </c>
      <c r="L22" s="129">
        <v>1397.3</v>
      </c>
      <c r="M22" s="129" t="s">
        <v>9</v>
      </c>
      <c r="N22" s="129">
        <v>0.4</v>
      </c>
      <c r="O22" s="129">
        <v>1.2</v>
      </c>
      <c r="P22" s="129" t="s">
        <v>9</v>
      </c>
      <c r="Q22" s="249"/>
      <c r="R22" s="249"/>
      <c r="S22" s="249"/>
      <c r="T22" s="249"/>
    </row>
    <row r="23" spans="1:20">
      <c r="A23" s="248">
        <v>1979</v>
      </c>
      <c r="B23" s="129">
        <v>923.3</v>
      </c>
      <c r="C23" s="129" t="s">
        <v>9</v>
      </c>
      <c r="D23" s="129">
        <v>0.4</v>
      </c>
      <c r="E23" s="129">
        <v>2.1</v>
      </c>
      <c r="F23" s="129" t="s">
        <v>9</v>
      </c>
      <c r="G23" s="129">
        <v>2064.5</v>
      </c>
      <c r="H23" s="129" t="s">
        <v>9</v>
      </c>
      <c r="I23" s="129">
        <v>0.8</v>
      </c>
      <c r="J23" s="129">
        <v>4.0999999999999996</v>
      </c>
      <c r="K23" s="129" t="s">
        <v>9</v>
      </c>
      <c r="L23" s="129">
        <v>1441.7</v>
      </c>
      <c r="M23" s="129" t="s">
        <v>9</v>
      </c>
      <c r="N23" s="129">
        <v>0.5</v>
      </c>
      <c r="O23" s="129">
        <v>2.5</v>
      </c>
      <c r="P23" s="129" t="s">
        <v>9</v>
      </c>
      <c r="Q23" s="249"/>
      <c r="R23" s="249"/>
      <c r="S23" s="249"/>
      <c r="T23" s="249"/>
    </row>
    <row r="24" spans="1:20">
      <c r="A24" s="248">
        <v>1980</v>
      </c>
      <c r="B24" s="129">
        <v>1100.5</v>
      </c>
      <c r="C24" s="129" t="s">
        <v>9</v>
      </c>
      <c r="D24" s="129">
        <v>0.5</v>
      </c>
      <c r="E24" s="129">
        <v>3.1</v>
      </c>
      <c r="F24" s="129" t="s">
        <v>9</v>
      </c>
      <c r="G24" s="129">
        <v>2231.6999999999998</v>
      </c>
      <c r="H24" s="129" t="s">
        <v>9</v>
      </c>
      <c r="I24" s="129">
        <v>0.7</v>
      </c>
      <c r="J24" s="129">
        <v>5.9</v>
      </c>
      <c r="K24" s="129" t="s">
        <v>9</v>
      </c>
      <c r="L24" s="129">
        <v>1584.8</v>
      </c>
      <c r="M24" s="129" t="s">
        <v>9</v>
      </c>
      <c r="N24" s="129">
        <v>0.5</v>
      </c>
      <c r="O24" s="129">
        <v>3.4</v>
      </c>
      <c r="P24" s="129" t="s">
        <v>9</v>
      </c>
      <c r="Q24" s="249"/>
      <c r="R24" s="249"/>
      <c r="S24" s="249"/>
      <c r="T24" s="249"/>
    </row>
    <row r="25" spans="1:20">
      <c r="A25" s="248">
        <v>1981</v>
      </c>
      <c r="B25" s="129">
        <v>1266.7</v>
      </c>
      <c r="C25" s="129" t="s">
        <v>9</v>
      </c>
      <c r="D25" s="129">
        <v>0.5</v>
      </c>
      <c r="E25" s="129">
        <v>3.1</v>
      </c>
      <c r="F25" s="129" t="s">
        <v>9</v>
      </c>
      <c r="G25" s="129">
        <v>2485.6999999999998</v>
      </c>
      <c r="H25" s="129" t="s">
        <v>9</v>
      </c>
      <c r="I25" s="129">
        <v>0.7</v>
      </c>
      <c r="J25" s="129">
        <v>5.7</v>
      </c>
      <c r="K25" s="129" t="s">
        <v>9</v>
      </c>
      <c r="L25" s="129">
        <v>1768.5</v>
      </c>
      <c r="M25" s="129" t="s">
        <v>9</v>
      </c>
      <c r="N25" s="129">
        <v>0.6</v>
      </c>
      <c r="O25" s="129">
        <v>3.3</v>
      </c>
      <c r="P25" s="129" t="s">
        <v>9</v>
      </c>
      <c r="Q25" s="249"/>
      <c r="R25" s="249"/>
      <c r="S25" s="249"/>
      <c r="T25" s="249"/>
    </row>
    <row r="26" spans="1:20">
      <c r="A26" s="248">
        <v>1982</v>
      </c>
      <c r="B26" s="129">
        <v>1432.8</v>
      </c>
      <c r="C26" s="129" t="s">
        <v>9</v>
      </c>
      <c r="D26" s="129">
        <v>0.4</v>
      </c>
      <c r="E26" s="129">
        <v>4.0999999999999996</v>
      </c>
      <c r="F26" s="129" t="s">
        <v>9</v>
      </c>
      <c r="G26" s="129">
        <v>2534.8000000000002</v>
      </c>
      <c r="H26" s="129" t="s">
        <v>9</v>
      </c>
      <c r="I26" s="129">
        <v>0.6</v>
      </c>
      <c r="J26" s="129">
        <v>5.5</v>
      </c>
      <c r="K26" s="129" t="s">
        <v>9</v>
      </c>
      <c r="L26" s="129">
        <v>1834.7</v>
      </c>
      <c r="M26" s="129" t="s">
        <v>9</v>
      </c>
      <c r="N26" s="129">
        <v>0.5</v>
      </c>
      <c r="O26" s="129">
        <v>4.2</v>
      </c>
      <c r="P26" s="129" t="s">
        <v>9</v>
      </c>
      <c r="Q26" s="249"/>
      <c r="R26" s="249"/>
      <c r="S26" s="249"/>
      <c r="T26" s="249"/>
    </row>
    <row r="27" spans="1:20">
      <c r="A27" s="248">
        <v>1983</v>
      </c>
      <c r="B27" s="129">
        <v>1515.4</v>
      </c>
      <c r="C27" s="129" t="s">
        <v>9</v>
      </c>
      <c r="D27" s="129">
        <v>0.5</v>
      </c>
      <c r="E27" s="129">
        <v>3.9</v>
      </c>
      <c r="F27" s="129" t="s">
        <v>9</v>
      </c>
      <c r="G27" s="129">
        <v>2468.6999999999998</v>
      </c>
      <c r="H27" s="129" t="s">
        <v>9</v>
      </c>
      <c r="I27" s="129">
        <v>0.6</v>
      </c>
      <c r="J27" s="129">
        <v>5.4</v>
      </c>
      <c r="K27" s="129" t="s">
        <v>9</v>
      </c>
      <c r="L27" s="129">
        <v>1858.5</v>
      </c>
      <c r="M27" s="129" t="s">
        <v>9</v>
      </c>
      <c r="N27" s="129">
        <v>0.5</v>
      </c>
      <c r="O27" s="129">
        <v>3.9</v>
      </c>
      <c r="P27" s="129" t="s">
        <v>9</v>
      </c>
      <c r="Q27" s="249"/>
      <c r="R27" s="249"/>
      <c r="S27" s="249"/>
      <c r="T27" s="249"/>
    </row>
    <row r="28" spans="1:20">
      <c r="A28" s="248">
        <v>1984</v>
      </c>
      <c r="B28" s="129">
        <v>1776.8</v>
      </c>
      <c r="C28" s="129" t="s">
        <v>9</v>
      </c>
      <c r="D28" s="129">
        <v>0.7</v>
      </c>
      <c r="E28" s="129">
        <v>4</v>
      </c>
      <c r="F28" s="129" t="s">
        <v>9</v>
      </c>
      <c r="G28" s="129">
        <v>2729.8</v>
      </c>
      <c r="H28" s="129" t="s">
        <v>9</v>
      </c>
      <c r="I28" s="129">
        <v>0.8</v>
      </c>
      <c r="J28" s="129">
        <v>5.5</v>
      </c>
      <c r="K28" s="129" t="s">
        <v>9</v>
      </c>
      <c r="L28" s="129">
        <v>2107.3000000000002</v>
      </c>
      <c r="M28" s="129" t="s">
        <v>9</v>
      </c>
      <c r="N28" s="129">
        <v>0.7</v>
      </c>
      <c r="O28" s="129">
        <v>3.9</v>
      </c>
      <c r="P28" s="129" t="s">
        <v>9</v>
      </c>
      <c r="Q28" s="249"/>
      <c r="R28" s="249"/>
      <c r="S28" s="249"/>
      <c r="T28" s="249"/>
    </row>
    <row r="29" spans="1:20">
      <c r="A29" s="248">
        <v>1985</v>
      </c>
      <c r="B29" s="129">
        <v>1977.4</v>
      </c>
      <c r="C29" s="129" t="s">
        <v>9</v>
      </c>
      <c r="D29" s="129">
        <v>0.6</v>
      </c>
      <c r="E29" s="129">
        <v>5.2</v>
      </c>
      <c r="F29" s="129" t="s">
        <v>9</v>
      </c>
      <c r="G29" s="129">
        <v>2923</v>
      </c>
      <c r="H29" s="129" t="s">
        <v>9</v>
      </c>
      <c r="I29" s="129">
        <v>0.7</v>
      </c>
      <c r="J29" s="129">
        <v>6.8</v>
      </c>
      <c r="K29" s="129" t="s">
        <v>9</v>
      </c>
      <c r="L29" s="129">
        <v>2279.8000000000002</v>
      </c>
      <c r="M29" s="129" t="s">
        <v>9</v>
      </c>
      <c r="N29" s="129">
        <v>0.6</v>
      </c>
      <c r="O29" s="129">
        <v>4.9000000000000004</v>
      </c>
      <c r="P29" s="129" t="s">
        <v>9</v>
      </c>
      <c r="Q29" s="249"/>
      <c r="R29" s="249"/>
      <c r="S29" s="249"/>
      <c r="T29" s="249"/>
    </row>
    <row r="30" spans="1:20">
      <c r="A30" s="248">
        <v>1986</v>
      </c>
      <c r="B30" s="129">
        <v>2326.6999999999998</v>
      </c>
      <c r="C30" s="129" t="s">
        <v>9</v>
      </c>
      <c r="D30" s="129">
        <v>0.6</v>
      </c>
      <c r="E30" s="129">
        <v>6.1</v>
      </c>
      <c r="F30" s="129" t="s">
        <v>9</v>
      </c>
      <c r="G30" s="129">
        <v>3221.6</v>
      </c>
      <c r="H30" s="129" t="s">
        <v>9</v>
      </c>
      <c r="I30" s="129">
        <v>0.6</v>
      </c>
      <c r="J30" s="129">
        <v>7.4</v>
      </c>
      <c r="K30" s="129" t="s">
        <v>9</v>
      </c>
      <c r="L30" s="129">
        <v>2592.1999999999998</v>
      </c>
      <c r="M30" s="129" t="s">
        <v>9</v>
      </c>
      <c r="N30" s="129">
        <v>0.6</v>
      </c>
      <c r="O30" s="129">
        <v>5.6</v>
      </c>
      <c r="P30" s="129" t="s">
        <v>9</v>
      </c>
      <c r="Q30" s="249"/>
      <c r="R30" s="249"/>
      <c r="S30" s="249"/>
      <c r="T30" s="249"/>
    </row>
    <row r="31" spans="1:20">
      <c r="A31" s="248">
        <v>1987</v>
      </c>
      <c r="B31" s="129">
        <v>2574.1</v>
      </c>
      <c r="C31" s="129" t="s">
        <v>9</v>
      </c>
      <c r="D31" s="129">
        <v>0.8</v>
      </c>
      <c r="E31" s="129">
        <v>7.2</v>
      </c>
      <c r="F31" s="129" t="s">
        <v>9</v>
      </c>
      <c r="G31" s="129">
        <v>3411.1</v>
      </c>
      <c r="H31" s="129" t="s">
        <v>9</v>
      </c>
      <c r="I31" s="129">
        <v>0.9</v>
      </c>
      <c r="J31" s="129">
        <v>8.6</v>
      </c>
      <c r="K31" s="129" t="s">
        <v>9</v>
      </c>
      <c r="L31" s="129">
        <v>2789</v>
      </c>
      <c r="M31" s="129" t="s">
        <v>9</v>
      </c>
      <c r="N31" s="129">
        <v>0.8</v>
      </c>
      <c r="O31" s="129">
        <v>6.6</v>
      </c>
      <c r="P31" s="129" t="s">
        <v>9</v>
      </c>
      <c r="Q31" s="249"/>
      <c r="R31" s="249"/>
      <c r="S31" s="249"/>
      <c r="T31" s="249"/>
    </row>
    <row r="32" spans="1:20">
      <c r="A32" s="248">
        <v>1988</v>
      </c>
      <c r="B32" s="129">
        <v>2911.5</v>
      </c>
      <c r="C32" s="129" t="s">
        <v>9</v>
      </c>
      <c r="D32" s="129">
        <v>1.2</v>
      </c>
      <c r="E32" s="129">
        <v>9</v>
      </c>
      <c r="F32" s="129" t="s">
        <v>9</v>
      </c>
      <c r="G32" s="129">
        <v>3694</v>
      </c>
      <c r="H32" s="129" t="s">
        <v>9</v>
      </c>
      <c r="I32" s="129">
        <v>1.3</v>
      </c>
      <c r="J32" s="129">
        <v>10.1</v>
      </c>
      <c r="K32" s="129" t="s">
        <v>9</v>
      </c>
      <c r="L32" s="129">
        <v>3086.2</v>
      </c>
      <c r="M32" s="129" t="s">
        <v>9</v>
      </c>
      <c r="N32" s="129">
        <v>1.1000000000000001</v>
      </c>
      <c r="O32" s="129">
        <v>8.1</v>
      </c>
      <c r="P32" s="129" t="s">
        <v>9</v>
      </c>
      <c r="Q32" s="249"/>
      <c r="R32" s="249"/>
      <c r="S32" s="249"/>
      <c r="T32" s="249"/>
    </row>
    <row r="33" spans="1:20">
      <c r="A33" s="248">
        <v>1989</v>
      </c>
      <c r="B33" s="129">
        <v>3005.3</v>
      </c>
      <c r="C33" s="129" t="s">
        <v>9</v>
      </c>
      <c r="D33" s="129">
        <v>1.1000000000000001</v>
      </c>
      <c r="E33" s="129">
        <v>7.1</v>
      </c>
      <c r="F33" s="129" t="s">
        <v>9</v>
      </c>
      <c r="G33" s="129">
        <v>3629.7</v>
      </c>
      <c r="H33" s="129" t="s">
        <v>9</v>
      </c>
      <c r="I33" s="129">
        <v>1.2</v>
      </c>
      <c r="J33" s="129">
        <v>7.8</v>
      </c>
      <c r="K33" s="129" t="s">
        <v>9</v>
      </c>
      <c r="L33" s="129">
        <v>3151.9</v>
      </c>
      <c r="M33" s="129" t="s">
        <v>9</v>
      </c>
      <c r="N33" s="129">
        <v>1.1000000000000001</v>
      </c>
      <c r="O33" s="129">
        <v>6.4</v>
      </c>
      <c r="P33" s="129" t="s">
        <v>9</v>
      </c>
      <c r="Q33" s="249"/>
      <c r="R33" s="249"/>
      <c r="S33" s="249"/>
      <c r="T33" s="249"/>
    </row>
    <row r="34" spans="1:20">
      <c r="A34" s="248">
        <v>1990</v>
      </c>
      <c r="B34" s="129">
        <v>3345.5</v>
      </c>
      <c r="C34" s="129" t="s">
        <v>9</v>
      </c>
      <c r="D34" s="129">
        <v>1.1000000000000001</v>
      </c>
      <c r="E34" s="129">
        <v>4.9000000000000004</v>
      </c>
      <c r="F34" s="129" t="s">
        <v>9</v>
      </c>
      <c r="G34" s="129">
        <v>3992.5</v>
      </c>
      <c r="H34" s="129" t="s">
        <v>9</v>
      </c>
      <c r="I34" s="129">
        <v>1.2</v>
      </c>
      <c r="J34" s="129">
        <v>5.2</v>
      </c>
      <c r="K34" s="129" t="s">
        <v>9</v>
      </c>
      <c r="L34" s="129">
        <v>3488.1</v>
      </c>
      <c r="M34" s="129" t="s">
        <v>9</v>
      </c>
      <c r="N34" s="129">
        <v>1.1000000000000001</v>
      </c>
      <c r="O34" s="129">
        <v>4.5</v>
      </c>
      <c r="P34" s="129" t="s">
        <v>9</v>
      </c>
      <c r="Q34" s="249"/>
      <c r="R34" s="249"/>
      <c r="S34" s="249"/>
      <c r="T34" s="249"/>
    </row>
    <row r="35" spans="1:20">
      <c r="A35" s="248">
        <v>1991</v>
      </c>
      <c r="B35" s="129">
        <v>3394.6</v>
      </c>
      <c r="C35" s="129" t="s">
        <v>9</v>
      </c>
      <c r="D35" s="129">
        <v>1.4</v>
      </c>
      <c r="E35" s="129">
        <v>8.6</v>
      </c>
      <c r="F35" s="129" t="s">
        <v>9</v>
      </c>
      <c r="G35" s="129">
        <v>3975.2</v>
      </c>
      <c r="H35" s="129" t="s">
        <v>9</v>
      </c>
      <c r="I35" s="129">
        <v>1.4</v>
      </c>
      <c r="J35" s="129">
        <v>9.1999999999999993</v>
      </c>
      <c r="K35" s="129" t="s">
        <v>9</v>
      </c>
      <c r="L35" s="129">
        <v>3482.1</v>
      </c>
      <c r="M35" s="129" t="s">
        <v>9</v>
      </c>
      <c r="N35" s="129">
        <v>1.4</v>
      </c>
      <c r="O35" s="129">
        <v>7.9</v>
      </c>
      <c r="P35" s="129" t="s">
        <v>9</v>
      </c>
      <c r="Q35" s="249"/>
      <c r="R35" s="249"/>
      <c r="S35" s="249"/>
      <c r="T35" s="249"/>
    </row>
    <row r="36" spans="1:20">
      <c r="A36" s="248">
        <v>1992</v>
      </c>
      <c r="B36" s="129">
        <v>3570.4</v>
      </c>
      <c r="C36" s="129" t="s">
        <v>9</v>
      </c>
      <c r="D36" s="129">
        <v>1</v>
      </c>
      <c r="E36" s="129">
        <v>6.8</v>
      </c>
      <c r="F36" s="129" t="s">
        <v>9</v>
      </c>
      <c r="G36" s="129">
        <v>4164.8</v>
      </c>
      <c r="H36" s="129" t="s">
        <v>9</v>
      </c>
      <c r="I36" s="129">
        <v>1.1000000000000001</v>
      </c>
      <c r="J36" s="129">
        <v>7.5</v>
      </c>
      <c r="K36" s="129" t="s">
        <v>9</v>
      </c>
      <c r="L36" s="129">
        <v>3726.5</v>
      </c>
      <c r="M36" s="129" t="s">
        <v>9</v>
      </c>
      <c r="N36" s="129">
        <v>1</v>
      </c>
      <c r="O36" s="129">
        <v>6.5</v>
      </c>
      <c r="P36" s="129" t="s">
        <v>9</v>
      </c>
      <c r="Q36" s="249"/>
      <c r="R36" s="249"/>
      <c r="S36" s="249"/>
      <c r="T36" s="249"/>
    </row>
    <row r="37" spans="1:20">
      <c r="A37" s="248">
        <v>1993</v>
      </c>
      <c r="B37" s="129">
        <v>3843</v>
      </c>
      <c r="C37" s="129" t="s">
        <v>9</v>
      </c>
      <c r="D37" s="129">
        <v>0.9</v>
      </c>
      <c r="E37" s="129">
        <v>10.199999999999999</v>
      </c>
      <c r="F37" s="129" t="s">
        <v>9</v>
      </c>
      <c r="G37" s="129">
        <v>4383</v>
      </c>
      <c r="H37" s="129" t="s">
        <v>9</v>
      </c>
      <c r="I37" s="129">
        <v>1.1000000000000001</v>
      </c>
      <c r="J37" s="129">
        <v>10.8</v>
      </c>
      <c r="K37" s="129" t="s">
        <v>9</v>
      </c>
      <c r="L37" s="129">
        <v>4017.6</v>
      </c>
      <c r="M37" s="129" t="s">
        <v>9</v>
      </c>
      <c r="N37" s="129">
        <v>1</v>
      </c>
      <c r="O37" s="129">
        <v>9.9</v>
      </c>
      <c r="P37" s="129" t="s">
        <v>9</v>
      </c>
      <c r="Q37" s="249"/>
      <c r="R37" s="249"/>
      <c r="S37" s="249"/>
      <c r="T37" s="249"/>
    </row>
    <row r="38" spans="1:20">
      <c r="A38" s="248">
        <v>1994</v>
      </c>
      <c r="B38" s="129">
        <v>4311.3999999999996</v>
      </c>
      <c r="C38" s="129" t="s">
        <v>9</v>
      </c>
      <c r="D38" s="129">
        <v>3.4</v>
      </c>
      <c r="E38" s="129">
        <v>16.7</v>
      </c>
      <c r="F38" s="129" t="s">
        <v>9</v>
      </c>
      <c r="G38" s="129">
        <v>4866.6000000000004</v>
      </c>
      <c r="H38" s="129" t="s">
        <v>9</v>
      </c>
      <c r="I38" s="129">
        <v>3.7</v>
      </c>
      <c r="J38" s="129">
        <v>18.3</v>
      </c>
      <c r="K38" s="129" t="s">
        <v>9</v>
      </c>
      <c r="L38" s="129">
        <v>4517.3999999999996</v>
      </c>
      <c r="M38" s="129" t="s">
        <v>9</v>
      </c>
      <c r="N38" s="129">
        <v>3.5</v>
      </c>
      <c r="O38" s="129">
        <v>16.3</v>
      </c>
      <c r="P38" s="129" t="s">
        <v>9</v>
      </c>
      <c r="Q38" s="249"/>
      <c r="R38" s="249"/>
      <c r="S38" s="249"/>
      <c r="T38" s="249"/>
    </row>
    <row r="39" spans="1:20">
      <c r="A39" s="248">
        <v>1995</v>
      </c>
      <c r="B39" s="129">
        <v>4456.8</v>
      </c>
      <c r="C39" s="129" t="s">
        <v>9</v>
      </c>
      <c r="D39" s="129">
        <v>2.6</v>
      </c>
      <c r="E39" s="129">
        <v>22.7</v>
      </c>
      <c r="F39" s="129" t="s">
        <v>9</v>
      </c>
      <c r="G39" s="129">
        <v>4980.2</v>
      </c>
      <c r="H39" s="129" t="s">
        <v>9</v>
      </c>
      <c r="I39" s="129">
        <v>2.9</v>
      </c>
      <c r="J39" s="129">
        <v>24.3</v>
      </c>
      <c r="K39" s="129" t="s">
        <v>9</v>
      </c>
      <c r="L39" s="129">
        <v>4654.3999999999996</v>
      </c>
      <c r="M39" s="129" t="s">
        <v>9</v>
      </c>
      <c r="N39" s="129">
        <v>2.7</v>
      </c>
      <c r="O39" s="129">
        <v>22.3</v>
      </c>
      <c r="P39" s="129" t="s">
        <v>9</v>
      </c>
      <c r="Q39" s="249"/>
      <c r="R39" s="249"/>
      <c r="S39" s="249"/>
      <c r="T39" s="249"/>
    </row>
    <row r="40" spans="1:20">
      <c r="A40" s="248">
        <v>1996</v>
      </c>
      <c r="B40" s="129">
        <v>4843.8</v>
      </c>
      <c r="C40" s="129" t="s">
        <v>9</v>
      </c>
      <c r="D40" s="129">
        <v>3.3</v>
      </c>
      <c r="E40" s="129">
        <v>23.5</v>
      </c>
      <c r="F40" s="129" t="s">
        <v>9</v>
      </c>
      <c r="G40" s="129">
        <v>5320.7</v>
      </c>
      <c r="H40" s="129" t="s">
        <v>9</v>
      </c>
      <c r="I40" s="129">
        <v>3.7</v>
      </c>
      <c r="J40" s="129">
        <v>24.7</v>
      </c>
      <c r="K40" s="129" t="s">
        <v>9</v>
      </c>
      <c r="L40" s="129">
        <v>5054</v>
      </c>
      <c r="M40" s="129" t="s">
        <v>9</v>
      </c>
      <c r="N40" s="129">
        <v>3.4</v>
      </c>
      <c r="O40" s="129">
        <v>23.1</v>
      </c>
      <c r="P40" s="129" t="s">
        <v>9</v>
      </c>
      <c r="Q40" s="249"/>
      <c r="R40" s="249"/>
      <c r="S40" s="249"/>
      <c r="T40" s="249"/>
    </row>
    <row r="41" spans="1:20">
      <c r="A41" s="248">
        <v>1997</v>
      </c>
      <c r="B41" s="129">
        <v>4965.6000000000004</v>
      </c>
      <c r="C41" s="129" t="s">
        <v>9</v>
      </c>
      <c r="D41" s="129">
        <v>2.8</v>
      </c>
      <c r="E41" s="129">
        <v>29.4</v>
      </c>
      <c r="F41" s="129" t="s">
        <v>9</v>
      </c>
      <c r="G41" s="129">
        <v>5427</v>
      </c>
      <c r="H41" s="129" t="s">
        <v>9</v>
      </c>
      <c r="I41" s="129">
        <v>3.1</v>
      </c>
      <c r="J41" s="129">
        <v>31</v>
      </c>
      <c r="K41" s="129" t="s">
        <v>9</v>
      </c>
      <c r="L41" s="129">
        <v>5177.5</v>
      </c>
      <c r="M41" s="129" t="s">
        <v>9</v>
      </c>
      <c r="N41" s="129">
        <v>2.9</v>
      </c>
      <c r="O41" s="129">
        <v>28.9</v>
      </c>
      <c r="P41" s="129" t="s">
        <v>9</v>
      </c>
      <c r="Q41" s="249"/>
      <c r="R41" s="249"/>
      <c r="S41" s="249"/>
      <c r="T41" s="249"/>
    </row>
    <row r="42" spans="1:20">
      <c r="A42" s="248">
        <v>1998</v>
      </c>
      <c r="B42" s="129">
        <v>5158.8999999999996</v>
      </c>
      <c r="C42" s="129" t="s">
        <v>9</v>
      </c>
      <c r="D42" s="129">
        <v>3.5</v>
      </c>
      <c r="E42" s="129">
        <v>13.2</v>
      </c>
      <c r="F42" s="129" t="s">
        <v>9</v>
      </c>
      <c r="G42" s="129">
        <v>5566.3</v>
      </c>
      <c r="H42" s="129" t="s">
        <v>9</v>
      </c>
      <c r="I42" s="129">
        <v>3.4</v>
      </c>
      <c r="J42" s="129">
        <v>15.6</v>
      </c>
      <c r="K42" s="129" t="s">
        <v>9</v>
      </c>
      <c r="L42" s="129">
        <v>5422.1</v>
      </c>
      <c r="M42" s="129" t="s">
        <v>9</v>
      </c>
      <c r="N42" s="129">
        <v>3.6</v>
      </c>
      <c r="O42" s="129">
        <v>13</v>
      </c>
      <c r="P42" s="129" t="s">
        <v>9</v>
      </c>
      <c r="Q42" s="249"/>
      <c r="R42" s="249"/>
      <c r="S42" s="249"/>
      <c r="T42" s="249"/>
    </row>
    <row r="43" spans="1:20">
      <c r="A43" s="248">
        <v>1999</v>
      </c>
      <c r="B43" s="129">
        <v>6447.8</v>
      </c>
      <c r="C43" s="129" t="s">
        <v>9</v>
      </c>
      <c r="D43" s="129">
        <v>6.6</v>
      </c>
      <c r="E43" s="129">
        <v>36.1</v>
      </c>
      <c r="F43" s="129" t="s">
        <v>9</v>
      </c>
      <c r="G43" s="129">
        <v>6756.6</v>
      </c>
      <c r="H43" s="129" t="s">
        <v>9</v>
      </c>
      <c r="I43" s="129">
        <v>6.2</v>
      </c>
      <c r="J43" s="129">
        <v>39.1</v>
      </c>
      <c r="K43" s="129" t="s">
        <v>9</v>
      </c>
      <c r="L43" s="129">
        <v>6763.2</v>
      </c>
      <c r="M43" s="129" t="s">
        <v>9</v>
      </c>
      <c r="N43" s="129">
        <v>6.9</v>
      </c>
      <c r="O43" s="129">
        <v>35.4</v>
      </c>
      <c r="P43" s="129" t="s">
        <v>9</v>
      </c>
      <c r="Q43" s="249"/>
      <c r="R43" s="249"/>
      <c r="S43" s="249"/>
      <c r="T43" s="249"/>
    </row>
    <row r="44" spans="1:20">
      <c r="A44" s="248">
        <v>2000</v>
      </c>
      <c r="B44" s="129">
        <v>7116.5</v>
      </c>
      <c r="C44" s="129" t="s">
        <v>9</v>
      </c>
      <c r="D44" s="129" t="s">
        <v>9</v>
      </c>
      <c r="E44" s="129">
        <v>39.299999999999997</v>
      </c>
      <c r="F44" s="129" t="s">
        <v>9</v>
      </c>
      <c r="G44" s="129">
        <v>7476.8</v>
      </c>
      <c r="H44" s="129" t="s">
        <v>9</v>
      </c>
      <c r="I44" s="129" t="s">
        <v>9</v>
      </c>
      <c r="J44" s="129">
        <v>39.700000000000003</v>
      </c>
      <c r="K44" s="129" t="s">
        <v>9</v>
      </c>
      <c r="L44" s="129">
        <v>7298.9</v>
      </c>
      <c r="M44" s="129" t="s">
        <v>9</v>
      </c>
      <c r="N44" s="129" t="s">
        <v>9</v>
      </c>
      <c r="O44" s="129">
        <v>37.5</v>
      </c>
      <c r="P44" s="129" t="s">
        <v>9</v>
      </c>
      <c r="Q44" s="249"/>
      <c r="R44" s="249"/>
      <c r="S44" s="249"/>
      <c r="T44" s="249"/>
    </row>
    <row r="45" spans="1:20">
      <c r="A45" s="248">
        <v>2001</v>
      </c>
      <c r="B45" s="129">
        <v>8079.6</v>
      </c>
      <c r="C45" s="129" t="s">
        <v>9</v>
      </c>
      <c r="D45" s="129" t="s">
        <v>9</v>
      </c>
      <c r="E45" s="129">
        <v>41</v>
      </c>
      <c r="F45" s="129" t="s">
        <v>9</v>
      </c>
      <c r="G45" s="129">
        <v>8108.7</v>
      </c>
      <c r="H45" s="129" t="s">
        <v>9</v>
      </c>
      <c r="I45" s="129" t="s">
        <v>9</v>
      </c>
      <c r="J45" s="129">
        <v>35.5</v>
      </c>
      <c r="K45" s="129" t="s">
        <v>9</v>
      </c>
      <c r="L45" s="129">
        <v>8175.9</v>
      </c>
      <c r="M45" s="129" t="s">
        <v>9</v>
      </c>
      <c r="N45" s="129" t="s">
        <v>9</v>
      </c>
      <c r="O45" s="129">
        <v>38.700000000000003</v>
      </c>
      <c r="P45" s="129" t="s">
        <v>9</v>
      </c>
      <c r="Q45" s="249"/>
      <c r="R45" s="249"/>
      <c r="S45" s="249"/>
      <c r="T45" s="249"/>
    </row>
    <row r="46" spans="1:20">
      <c r="A46" s="248">
        <v>2002</v>
      </c>
      <c r="B46" s="129">
        <v>8487.4</v>
      </c>
      <c r="C46" s="129" t="s">
        <v>9</v>
      </c>
      <c r="D46" s="129" t="s">
        <v>9</v>
      </c>
      <c r="E46" s="129">
        <v>58.4</v>
      </c>
      <c r="F46" s="129" t="s">
        <v>9</v>
      </c>
      <c r="G46" s="129">
        <v>8716.6</v>
      </c>
      <c r="H46" s="129" t="s">
        <v>9</v>
      </c>
      <c r="I46" s="129" t="s">
        <v>9</v>
      </c>
      <c r="J46" s="129">
        <v>57.3</v>
      </c>
      <c r="K46" s="129" t="s">
        <v>9</v>
      </c>
      <c r="L46" s="129">
        <v>8522.9</v>
      </c>
      <c r="M46" s="129" t="s">
        <v>9</v>
      </c>
      <c r="N46" s="129" t="s">
        <v>9</v>
      </c>
      <c r="O46" s="129">
        <v>55.2</v>
      </c>
      <c r="P46" s="129" t="s">
        <v>9</v>
      </c>
      <c r="Q46" s="249"/>
      <c r="R46" s="249"/>
      <c r="S46" s="249"/>
      <c r="T46" s="249"/>
    </row>
    <row r="47" spans="1:20">
      <c r="A47" s="248">
        <v>2003</v>
      </c>
      <c r="B47" s="129">
        <v>9111.2000000000007</v>
      </c>
      <c r="C47" s="129" t="s">
        <v>9</v>
      </c>
      <c r="D47" s="129" t="s">
        <v>9</v>
      </c>
      <c r="E47" s="129">
        <v>56.1</v>
      </c>
      <c r="F47" s="129" t="s">
        <v>9</v>
      </c>
      <c r="G47" s="129">
        <v>9309.4</v>
      </c>
      <c r="H47" s="129" t="s">
        <v>9</v>
      </c>
      <c r="I47" s="129" t="s">
        <v>9</v>
      </c>
      <c r="J47" s="129">
        <v>57.1</v>
      </c>
      <c r="K47" s="129" t="s">
        <v>9</v>
      </c>
      <c r="L47" s="129">
        <v>9192</v>
      </c>
      <c r="M47" s="129" t="s">
        <v>9</v>
      </c>
      <c r="N47" s="129" t="s">
        <v>9</v>
      </c>
      <c r="O47" s="129">
        <v>53.4</v>
      </c>
      <c r="P47" s="129" t="s">
        <v>9</v>
      </c>
      <c r="Q47" s="249"/>
      <c r="R47" s="249"/>
      <c r="S47" s="249"/>
      <c r="T47" s="249"/>
    </row>
    <row r="48" spans="1:20">
      <c r="A48" s="248">
        <v>2004</v>
      </c>
      <c r="B48" s="129">
        <v>9222.7000000000007</v>
      </c>
      <c r="C48" s="129" t="s">
        <v>9</v>
      </c>
      <c r="D48" s="129" t="s">
        <v>9</v>
      </c>
      <c r="E48" s="129">
        <v>53.3</v>
      </c>
      <c r="F48" s="129" t="s">
        <v>9</v>
      </c>
      <c r="G48" s="129">
        <v>9382.9</v>
      </c>
      <c r="H48" s="129" t="s">
        <v>9</v>
      </c>
      <c r="I48" s="129" t="s">
        <v>9</v>
      </c>
      <c r="J48" s="129">
        <v>50.7</v>
      </c>
      <c r="K48" s="129" t="s">
        <v>9</v>
      </c>
      <c r="L48" s="129">
        <v>9296.6</v>
      </c>
      <c r="M48" s="129" t="s">
        <v>9</v>
      </c>
      <c r="N48" s="129" t="s">
        <v>9</v>
      </c>
      <c r="O48" s="129">
        <v>51.3</v>
      </c>
      <c r="P48" s="129" t="s">
        <v>9</v>
      </c>
      <c r="Q48" s="249"/>
      <c r="R48" s="249"/>
      <c r="S48" s="249"/>
      <c r="T48" s="249"/>
    </row>
    <row r="49" spans="1:20">
      <c r="A49" s="248">
        <v>2005</v>
      </c>
      <c r="B49" s="129">
        <v>9799</v>
      </c>
      <c r="C49" s="129" t="s">
        <v>9</v>
      </c>
      <c r="D49" s="129" t="s">
        <v>9</v>
      </c>
      <c r="E49" s="129">
        <v>73</v>
      </c>
      <c r="F49" s="129" t="s">
        <v>9</v>
      </c>
      <c r="G49" s="129">
        <v>9887.5</v>
      </c>
      <c r="H49" s="129" t="s">
        <v>9</v>
      </c>
      <c r="I49" s="129" t="s">
        <v>9</v>
      </c>
      <c r="J49" s="129">
        <v>70.7</v>
      </c>
      <c r="K49" s="129" t="s">
        <v>9</v>
      </c>
      <c r="L49" s="129">
        <v>9890.2999999999993</v>
      </c>
      <c r="M49" s="129" t="s">
        <v>9</v>
      </c>
      <c r="N49" s="129" t="s">
        <v>9</v>
      </c>
      <c r="O49" s="129">
        <v>71.2</v>
      </c>
      <c r="P49" s="129" t="s">
        <v>9</v>
      </c>
      <c r="Q49" s="249"/>
      <c r="R49" s="249"/>
      <c r="S49" s="249"/>
      <c r="T49" s="249"/>
    </row>
    <row r="50" spans="1:20">
      <c r="A50" s="248">
        <v>2006</v>
      </c>
      <c r="B50" s="129">
        <v>9944</v>
      </c>
      <c r="C50" s="129" t="s">
        <v>9</v>
      </c>
      <c r="D50" s="129" t="s">
        <v>9</v>
      </c>
      <c r="E50" s="129">
        <v>67.8</v>
      </c>
      <c r="F50" s="129" t="s">
        <v>9</v>
      </c>
      <c r="G50" s="129">
        <v>10065.9</v>
      </c>
      <c r="H50" s="129" t="s">
        <v>9</v>
      </c>
      <c r="I50" s="129" t="s">
        <v>9</v>
      </c>
      <c r="J50" s="129">
        <v>67.599999999999994</v>
      </c>
      <c r="K50" s="129" t="s">
        <v>9</v>
      </c>
      <c r="L50" s="129">
        <v>10064.4</v>
      </c>
      <c r="M50" s="129" t="s">
        <v>9</v>
      </c>
      <c r="N50" s="129" t="s">
        <v>9</v>
      </c>
      <c r="O50" s="129">
        <v>68.3</v>
      </c>
      <c r="P50" s="129" t="s">
        <v>9</v>
      </c>
      <c r="Q50" s="249"/>
      <c r="R50" s="249"/>
      <c r="S50" s="249"/>
      <c r="T50" s="249"/>
    </row>
    <row r="51" spans="1:20">
      <c r="A51" s="248">
        <v>2007</v>
      </c>
      <c r="B51" s="129">
        <v>10562.6</v>
      </c>
      <c r="C51" s="129" t="s">
        <v>9</v>
      </c>
      <c r="D51" s="129" t="s">
        <v>9</v>
      </c>
      <c r="E51" s="129">
        <v>83</v>
      </c>
      <c r="F51" s="129" t="s">
        <v>9</v>
      </c>
      <c r="G51" s="129">
        <v>10562.6</v>
      </c>
      <c r="H51" s="129" t="s">
        <v>9</v>
      </c>
      <c r="I51" s="129" t="s">
        <v>9</v>
      </c>
      <c r="J51" s="129">
        <v>83</v>
      </c>
      <c r="K51" s="129" t="s">
        <v>9</v>
      </c>
      <c r="L51" s="129">
        <v>10562.6</v>
      </c>
      <c r="M51" s="129" t="s">
        <v>9</v>
      </c>
      <c r="N51" s="129" t="s">
        <v>9</v>
      </c>
      <c r="O51" s="129">
        <v>83</v>
      </c>
      <c r="P51" s="129" t="s">
        <v>9</v>
      </c>
      <c r="Q51" s="249"/>
      <c r="R51" s="249"/>
      <c r="S51" s="249"/>
      <c r="T51" s="249"/>
    </row>
    <row r="52" spans="1:20">
      <c r="A52" s="248">
        <v>2008</v>
      </c>
      <c r="B52" s="129">
        <v>11070.6</v>
      </c>
      <c r="C52" s="129" t="s">
        <v>9</v>
      </c>
      <c r="D52" s="129" t="s">
        <v>9</v>
      </c>
      <c r="E52" s="129">
        <v>90.6</v>
      </c>
      <c r="F52" s="129" t="s">
        <v>9</v>
      </c>
      <c r="G52" s="129">
        <v>10873.3</v>
      </c>
      <c r="H52" s="129" t="s">
        <v>9</v>
      </c>
      <c r="I52" s="129" t="s">
        <v>9</v>
      </c>
      <c r="J52" s="129">
        <v>89.4</v>
      </c>
      <c r="K52" s="129" t="s">
        <v>9</v>
      </c>
      <c r="L52" s="129">
        <v>10870.7</v>
      </c>
      <c r="M52" s="129" t="s">
        <v>9</v>
      </c>
      <c r="N52" s="129" t="s">
        <v>9</v>
      </c>
      <c r="O52" s="129">
        <v>89</v>
      </c>
      <c r="P52" s="129" t="s">
        <v>9</v>
      </c>
      <c r="Q52" s="249"/>
      <c r="R52" s="249"/>
      <c r="S52" s="249"/>
      <c r="T52" s="249"/>
    </row>
    <row r="53" spans="1:20">
      <c r="A53" s="248">
        <v>2009</v>
      </c>
      <c r="B53" s="129">
        <v>10549.3</v>
      </c>
      <c r="C53" s="129" t="s">
        <v>9</v>
      </c>
      <c r="D53" s="129" t="s">
        <v>9</v>
      </c>
      <c r="E53" s="129">
        <v>90.6</v>
      </c>
      <c r="F53" s="129" t="s">
        <v>9</v>
      </c>
      <c r="G53" s="129">
        <v>10175.700000000001</v>
      </c>
      <c r="H53" s="129" t="s">
        <v>9</v>
      </c>
      <c r="I53" s="129" t="s">
        <v>9</v>
      </c>
      <c r="J53" s="129">
        <v>88</v>
      </c>
      <c r="K53" s="129" t="s">
        <v>9</v>
      </c>
      <c r="L53" s="129">
        <v>10173.299999999999</v>
      </c>
      <c r="M53" s="129" t="s">
        <v>9</v>
      </c>
      <c r="N53" s="129" t="s">
        <v>9</v>
      </c>
      <c r="O53" s="129">
        <v>87.5</v>
      </c>
      <c r="P53" s="129" t="s">
        <v>9</v>
      </c>
      <c r="Q53" s="249"/>
      <c r="R53" s="249"/>
      <c r="S53" s="249"/>
      <c r="T53" s="249"/>
    </row>
    <row r="54" spans="1:20">
      <c r="A54" s="248">
        <v>2010</v>
      </c>
      <c r="B54" s="129">
        <v>11166.5</v>
      </c>
      <c r="C54" s="129" t="s">
        <v>9</v>
      </c>
      <c r="D54" s="129" t="s">
        <v>9</v>
      </c>
      <c r="E54" s="129">
        <v>92.2</v>
      </c>
      <c r="F54" s="129" t="s">
        <v>9</v>
      </c>
      <c r="G54" s="129">
        <v>10814.2</v>
      </c>
      <c r="H54" s="129" t="s">
        <v>9</v>
      </c>
      <c r="I54" s="129" t="s">
        <v>9</v>
      </c>
      <c r="J54" s="129">
        <v>89.7</v>
      </c>
      <c r="K54" s="129" t="s">
        <v>9</v>
      </c>
      <c r="L54" s="129">
        <v>10815.6</v>
      </c>
      <c r="M54" s="129" t="s">
        <v>9</v>
      </c>
      <c r="N54" s="129" t="s">
        <v>9</v>
      </c>
      <c r="O54" s="129">
        <v>89.9</v>
      </c>
      <c r="P54" s="129" t="s">
        <v>9</v>
      </c>
      <c r="Q54" s="249"/>
      <c r="R54" s="249"/>
      <c r="S54" s="249"/>
      <c r="T54" s="249"/>
    </row>
    <row r="55" spans="1:20">
      <c r="A55" s="248">
        <v>2011</v>
      </c>
      <c r="B55" s="129">
        <v>11664.7</v>
      </c>
      <c r="C55" s="129" t="s">
        <v>9</v>
      </c>
      <c r="D55" s="129" t="s">
        <v>9</v>
      </c>
      <c r="E55" s="129">
        <v>97.7</v>
      </c>
      <c r="F55" s="129" t="s">
        <v>9</v>
      </c>
      <c r="G55" s="129">
        <v>11294.1</v>
      </c>
      <c r="H55" s="129" t="s">
        <v>9</v>
      </c>
      <c r="I55" s="129" t="s">
        <v>9</v>
      </c>
      <c r="J55" s="129">
        <v>94.9</v>
      </c>
      <c r="K55" s="129" t="s">
        <v>9</v>
      </c>
      <c r="L55" s="129">
        <v>11289.9</v>
      </c>
      <c r="M55" s="129" t="s">
        <v>9</v>
      </c>
      <c r="N55" s="129" t="s">
        <v>9</v>
      </c>
      <c r="O55" s="129">
        <v>95.2</v>
      </c>
      <c r="P55" s="129" t="s">
        <v>9</v>
      </c>
      <c r="Q55" s="249"/>
      <c r="R55" s="249"/>
      <c r="S55" s="249"/>
      <c r="T55" s="249"/>
    </row>
    <row r="56" spans="1:20">
      <c r="A56" s="248">
        <v>2012</v>
      </c>
      <c r="B56" s="129">
        <v>11682.9</v>
      </c>
      <c r="C56" s="129" t="s">
        <v>9</v>
      </c>
      <c r="D56" s="129" t="s">
        <v>9</v>
      </c>
      <c r="E56" s="129">
        <v>89</v>
      </c>
      <c r="F56" s="129" t="s">
        <v>9</v>
      </c>
      <c r="G56" s="129">
        <v>11276.7</v>
      </c>
      <c r="H56" s="129" t="s">
        <v>9</v>
      </c>
      <c r="I56" s="129" t="s">
        <v>9</v>
      </c>
      <c r="J56" s="129">
        <v>86.3</v>
      </c>
      <c r="K56" s="129" t="s">
        <v>9</v>
      </c>
      <c r="L56" s="129">
        <v>11233.5</v>
      </c>
      <c r="M56" s="129" t="s">
        <v>9</v>
      </c>
      <c r="N56" s="129" t="s">
        <v>9</v>
      </c>
      <c r="O56" s="129">
        <v>86.4</v>
      </c>
      <c r="P56" s="129" t="s">
        <v>9</v>
      </c>
      <c r="Q56" s="249"/>
      <c r="R56" s="249"/>
      <c r="S56" s="249"/>
      <c r="T56" s="249"/>
    </row>
    <row r="57" spans="1:20">
      <c r="A57" s="248">
        <v>2013</v>
      </c>
      <c r="B57" s="129">
        <v>11817.5</v>
      </c>
      <c r="C57" s="129" t="s">
        <v>9</v>
      </c>
      <c r="D57" s="129" t="s">
        <v>9</v>
      </c>
      <c r="E57" s="129">
        <v>92.4</v>
      </c>
      <c r="F57" s="129" t="s">
        <v>9</v>
      </c>
      <c r="G57" s="129">
        <v>11328.4</v>
      </c>
      <c r="H57" s="129" t="s">
        <v>9</v>
      </c>
      <c r="I57" s="129" t="s">
        <v>9</v>
      </c>
      <c r="J57" s="129">
        <v>89.1</v>
      </c>
      <c r="K57" s="129" t="s">
        <v>9</v>
      </c>
      <c r="L57" s="129">
        <v>11279.5</v>
      </c>
      <c r="M57" s="129" t="s">
        <v>9</v>
      </c>
      <c r="N57" s="129" t="s">
        <v>9</v>
      </c>
      <c r="O57" s="129">
        <v>89.3</v>
      </c>
      <c r="P57" s="129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J60" si="0">((B57/B28)^(1/29)-1)*100</f>
        <v>6.7518514754981274</v>
      </c>
      <c r="C60" s="11" t="s">
        <v>10</v>
      </c>
      <c r="D60" s="11" t="s">
        <v>10</v>
      </c>
      <c r="E60" s="11">
        <f t="shared" si="0"/>
        <v>11.434867946905358</v>
      </c>
      <c r="F60" s="11" t="s">
        <v>10</v>
      </c>
      <c r="G60" s="11">
        <f t="shared" si="0"/>
        <v>5.0295842590210915</v>
      </c>
      <c r="H60" s="11" t="s">
        <v>10</v>
      </c>
      <c r="I60" s="11" t="s">
        <v>10</v>
      </c>
      <c r="J60" s="11">
        <f t="shared" si="0"/>
        <v>10.079744859631322</v>
      </c>
      <c r="K60" s="11" t="s">
        <v>10</v>
      </c>
      <c r="L60" s="11">
        <f>((L57/L28)^(1/29)-1)*100</f>
        <v>5.9553471339078179</v>
      </c>
      <c r="M60" s="11" t="s">
        <v>10</v>
      </c>
      <c r="N60" s="11" t="s">
        <v>10</v>
      </c>
      <c r="O60" s="11">
        <f t="shared" ref="O60" si="1">((O57/O28)^(1/29)-1)*100</f>
        <v>11.40102884559402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J61" si="2">((B33/B28)^(1/5)-1)*100</f>
        <v>11.083577294898127</v>
      </c>
      <c r="C61" s="11" t="s">
        <v>10</v>
      </c>
      <c r="D61" s="11">
        <f t="shared" si="2"/>
        <v>9.4608784223157549</v>
      </c>
      <c r="E61" s="11">
        <f t="shared" si="2"/>
        <v>12.160431512572201</v>
      </c>
      <c r="F61" s="11" t="s">
        <v>10</v>
      </c>
      <c r="G61" s="11">
        <f t="shared" si="2"/>
        <v>5.8639222192104601</v>
      </c>
      <c r="H61" s="11" t="s">
        <v>10</v>
      </c>
      <c r="I61" s="11">
        <f t="shared" si="2"/>
        <v>8.4471771197698544</v>
      </c>
      <c r="J61" s="11">
        <f t="shared" si="2"/>
        <v>7.2374263686593387</v>
      </c>
      <c r="K61" s="11" t="s">
        <v>10</v>
      </c>
      <c r="L61" s="11">
        <f>((L33/L28)^(1/5)-1)*100</f>
        <v>8.3850076539110354</v>
      </c>
      <c r="M61" s="11" t="s">
        <v>10</v>
      </c>
      <c r="N61" s="11">
        <f t="shared" ref="N61:O61" si="3">((N33/N28)^(1/5)-1)*100</f>
        <v>9.4608784223157549</v>
      </c>
      <c r="O61" s="11">
        <f t="shared" si="3"/>
        <v>10.413727944303419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J62" si="4">((B44/B33)^(1/11)-1)*100</f>
        <v>8.1519664247047263</v>
      </c>
      <c r="C62" s="11" t="s">
        <v>10</v>
      </c>
      <c r="D62" s="11" t="s">
        <v>10</v>
      </c>
      <c r="E62" s="11">
        <f t="shared" si="4"/>
        <v>16.830881822119913</v>
      </c>
      <c r="F62" s="11" t="s">
        <v>10</v>
      </c>
      <c r="G62" s="11">
        <f t="shared" si="4"/>
        <v>6.7901918103670411</v>
      </c>
      <c r="H62" s="11" t="s">
        <v>10</v>
      </c>
      <c r="I62" s="11" t="s">
        <v>10</v>
      </c>
      <c r="J62" s="11">
        <f t="shared" si="4"/>
        <v>15.943146494500194</v>
      </c>
      <c r="K62" s="11" t="s">
        <v>10</v>
      </c>
      <c r="L62" s="11">
        <f>((L44/L33)^(1/11)-1)*100</f>
        <v>7.9327345385622916</v>
      </c>
      <c r="M62" s="11" t="s">
        <v>10</v>
      </c>
      <c r="N62" s="11" t="s">
        <v>10</v>
      </c>
      <c r="O62" s="11">
        <f t="shared" ref="O62" si="5">((O44/O33)^(1/11)-1)*100</f>
        <v>17.436922844887338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5.8036440341043161</v>
      </c>
      <c r="C63" s="11" t="s">
        <v>10</v>
      </c>
      <c r="D63" s="11" t="s">
        <v>10</v>
      </c>
      <c r="E63" s="11">
        <f t="shared" ref="E63:O63" si="6">((E51/E44)^(1/7)-1)*100</f>
        <v>11.271424736441293</v>
      </c>
      <c r="F63" s="11" t="s">
        <v>10</v>
      </c>
      <c r="G63" s="11">
        <f t="shared" si="6"/>
        <v>5.0597682734059068</v>
      </c>
      <c r="H63" s="11" t="s">
        <v>10</v>
      </c>
      <c r="I63" s="11" t="s">
        <v>10</v>
      </c>
      <c r="J63" s="11">
        <f t="shared" si="6"/>
        <v>11.110568421939092</v>
      </c>
      <c r="K63" s="11" t="s">
        <v>10</v>
      </c>
      <c r="L63" s="11">
        <f t="shared" si="6"/>
        <v>5.4218148985203385</v>
      </c>
      <c r="M63" s="11" t="s">
        <v>10</v>
      </c>
      <c r="N63" s="11" t="s">
        <v>10</v>
      </c>
      <c r="O63" s="11">
        <f t="shared" si="6"/>
        <v>12.01918368547048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1.8886472426639322</v>
      </c>
      <c r="C64" s="11" t="s">
        <v>10</v>
      </c>
      <c r="D64" s="11" t="s">
        <v>10</v>
      </c>
      <c r="E64" s="11">
        <f t="shared" ref="E64:O64" si="7">((E57/E51)^(1/6)-1)*100</f>
        <v>1.8041885128067259</v>
      </c>
      <c r="F64" s="11" t="s">
        <v>10</v>
      </c>
      <c r="G64" s="11">
        <f t="shared" si="7"/>
        <v>1.1733872551140889</v>
      </c>
      <c r="H64" s="11" t="s">
        <v>10</v>
      </c>
      <c r="I64" s="11" t="s">
        <v>10</v>
      </c>
      <c r="J64" s="11">
        <f t="shared" si="7"/>
        <v>1.1889917505396141</v>
      </c>
      <c r="K64" s="11" t="s">
        <v>10</v>
      </c>
      <c r="L64" s="11">
        <f t="shared" si="7"/>
        <v>1.1004687431863447</v>
      </c>
      <c r="M64" s="11" t="s">
        <v>10</v>
      </c>
      <c r="N64" s="11" t="s">
        <v>10</v>
      </c>
      <c r="O64" s="11">
        <f t="shared" si="7"/>
        <v>1.2268123571449463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J65" si="8">((B57/B44)^(1/13)-1)*100</f>
        <v>3.9783716985830386</v>
      </c>
      <c r="C65" s="11" t="s">
        <v>10</v>
      </c>
      <c r="D65" s="11" t="s">
        <v>10</v>
      </c>
      <c r="E65" s="11">
        <f t="shared" si="8"/>
        <v>6.7972218623439051</v>
      </c>
      <c r="F65" s="11" t="s">
        <v>10</v>
      </c>
      <c r="G65" s="11">
        <f t="shared" si="8"/>
        <v>3.247842558263736</v>
      </c>
      <c r="H65" s="11" t="s">
        <v>10</v>
      </c>
      <c r="I65" s="11" t="s">
        <v>10</v>
      </c>
      <c r="J65" s="11">
        <f t="shared" si="8"/>
        <v>6.4159453560689084</v>
      </c>
      <c r="K65" s="11" t="s">
        <v>10</v>
      </c>
      <c r="L65" s="11">
        <f>((L57/L44)^(1/13)-1)*100</f>
        <v>3.4048613289170859</v>
      </c>
      <c r="M65" s="11" t="s">
        <v>10</v>
      </c>
      <c r="N65" s="11" t="s">
        <v>10</v>
      </c>
      <c r="O65" s="11">
        <f t="shared" ref="O65" si="9">((O57/O44)^(1/13)-1)*100</f>
        <v>6.9020832410240596</v>
      </c>
      <c r="P65" s="11" t="s">
        <v>10</v>
      </c>
      <c r="Q65" s="249"/>
      <c r="R65" s="249"/>
      <c r="S65" s="249"/>
      <c r="T65" s="249"/>
    </row>
    <row r="67" spans="1:20" s="180" customFormat="1">
      <c r="A67" s="174" t="s">
        <v>55</v>
      </c>
    </row>
    <row r="68" spans="1:20" s="259" customFormat="1">
      <c r="A68" s="231" t="s">
        <v>367</v>
      </c>
    </row>
    <row r="69" spans="1:20" s="180" customFormat="1">
      <c r="A69" s="168" t="s">
        <v>56</v>
      </c>
      <c r="B69" s="174"/>
    </row>
    <row r="70" spans="1:20">
      <c r="A70" s="168" t="s">
        <v>41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</row>
    <row r="71" spans="1:20">
      <c r="A71" s="168" t="s">
        <v>62</v>
      </c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</row>
  </sheetData>
  <mergeCells count="5">
    <mergeCell ref="A1:P1"/>
    <mergeCell ref="L2:P2"/>
    <mergeCell ref="A59:P59"/>
    <mergeCell ref="G2:K2"/>
    <mergeCell ref="B2:F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1"/>
  <sheetViews>
    <sheetView view="pageBreakPreview" topLeftCell="A33" zoomScaleNormal="100" zoomScaleSheetLayoutView="100" workbookViewId="0">
      <selection activeCell="C24" sqref="C24"/>
    </sheetView>
  </sheetViews>
  <sheetFormatPr defaultRowHeight="15"/>
  <cols>
    <col min="1" max="1" width="9.140625" style="165"/>
    <col min="2" max="11" width="9.140625" style="180"/>
    <col min="12" max="12" width="16.140625" style="165" customWidth="1"/>
    <col min="13" max="16384" width="9.140625" style="165"/>
  </cols>
  <sheetData>
    <row r="1" spans="1:20">
      <c r="A1" s="454" t="s">
        <v>235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129">
        <v>202.3</v>
      </c>
      <c r="C5" s="129" t="s">
        <v>9</v>
      </c>
      <c r="D5" s="129" t="s">
        <v>9</v>
      </c>
      <c r="E5" s="129">
        <v>0</v>
      </c>
      <c r="F5" s="129">
        <v>1</v>
      </c>
      <c r="G5" s="129">
        <v>1426.1</v>
      </c>
      <c r="H5" s="129" t="s">
        <v>9</v>
      </c>
      <c r="I5" s="129" t="s">
        <v>9</v>
      </c>
      <c r="J5" s="129">
        <v>0.2</v>
      </c>
      <c r="K5" s="129">
        <v>7.1</v>
      </c>
      <c r="L5" s="129">
        <v>899.4</v>
      </c>
      <c r="M5" s="129" t="s">
        <v>9</v>
      </c>
      <c r="N5" s="129" t="s">
        <v>10</v>
      </c>
      <c r="O5" s="129" t="s">
        <v>10</v>
      </c>
      <c r="P5" s="129">
        <v>3.1</v>
      </c>
      <c r="Q5" s="249"/>
      <c r="R5" s="249"/>
      <c r="S5" s="249"/>
      <c r="T5" s="249"/>
    </row>
    <row r="6" spans="1:20">
      <c r="A6" s="248">
        <v>1962</v>
      </c>
      <c r="B6" s="129">
        <v>222.7</v>
      </c>
      <c r="C6" s="129" t="s">
        <v>9</v>
      </c>
      <c r="D6" s="129" t="s">
        <v>9</v>
      </c>
      <c r="E6" s="129">
        <v>0</v>
      </c>
      <c r="F6" s="129">
        <v>1.1000000000000001</v>
      </c>
      <c r="G6" s="129">
        <v>1548.4</v>
      </c>
      <c r="H6" s="129" t="s">
        <v>9</v>
      </c>
      <c r="I6" s="129" t="s">
        <v>9</v>
      </c>
      <c r="J6" s="129">
        <v>0.3</v>
      </c>
      <c r="K6" s="129">
        <v>7.4</v>
      </c>
      <c r="L6" s="129">
        <v>976.4</v>
      </c>
      <c r="M6" s="129" t="s">
        <v>9</v>
      </c>
      <c r="N6" s="129" t="s">
        <v>9</v>
      </c>
      <c r="O6" s="129">
        <v>0.1</v>
      </c>
      <c r="P6" s="129">
        <v>3.2</v>
      </c>
      <c r="Q6" s="249"/>
      <c r="R6" s="249"/>
      <c r="S6" s="249"/>
      <c r="T6" s="249"/>
    </row>
    <row r="7" spans="1:20">
      <c r="A7" s="248">
        <v>1963</v>
      </c>
      <c r="B7" s="129">
        <v>234</v>
      </c>
      <c r="C7" s="129" t="s">
        <v>9</v>
      </c>
      <c r="D7" s="129" t="s">
        <v>9</v>
      </c>
      <c r="E7" s="129">
        <v>0</v>
      </c>
      <c r="F7" s="129">
        <v>1.2</v>
      </c>
      <c r="G7" s="129">
        <v>1593.4</v>
      </c>
      <c r="H7" s="129" t="s">
        <v>9</v>
      </c>
      <c r="I7" s="129" t="s">
        <v>9</v>
      </c>
      <c r="J7" s="129">
        <v>0.3</v>
      </c>
      <c r="K7" s="129">
        <v>7.7</v>
      </c>
      <c r="L7" s="129">
        <v>1004.7</v>
      </c>
      <c r="M7" s="129" t="s">
        <v>9</v>
      </c>
      <c r="N7" s="129" t="s">
        <v>9</v>
      </c>
      <c r="O7" s="129">
        <v>0.1</v>
      </c>
      <c r="P7" s="129">
        <v>3.3</v>
      </c>
      <c r="Q7" s="249"/>
      <c r="R7" s="249"/>
      <c r="S7" s="249"/>
      <c r="T7" s="249"/>
    </row>
    <row r="8" spans="1:20">
      <c r="A8" s="248">
        <v>1964</v>
      </c>
      <c r="B8" s="129">
        <v>267</v>
      </c>
      <c r="C8" s="129" t="s">
        <v>9</v>
      </c>
      <c r="D8" s="129" t="s">
        <v>9</v>
      </c>
      <c r="E8" s="129">
        <v>0.1</v>
      </c>
      <c r="F8" s="129">
        <v>1.2</v>
      </c>
      <c r="G8" s="129">
        <v>1758.1</v>
      </c>
      <c r="H8" s="129" t="s">
        <v>9</v>
      </c>
      <c r="I8" s="129" t="s">
        <v>9</v>
      </c>
      <c r="J8" s="129">
        <v>0.6</v>
      </c>
      <c r="K8" s="129">
        <v>7.9</v>
      </c>
      <c r="L8" s="129">
        <v>1108.4000000000001</v>
      </c>
      <c r="M8" s="129" t="s">
        <v>9</v>
      </c>
      <c r="N8" s="129" t="s">
        <v>9</v>
      </c>
      <c r="O8" s="129">
        <v>0.2</v>
      </c>
      <c r="P8" s="129">
        <v>3.4</v>
      </c>
      <c r="Q8" s="249"/>
      <c r="R8" s="249"/>
      <c r="S8" s="249"/>
      <c r="T8" s="249"/>
    </row>
    <row r="9" spans="1:20">
      <c r="A9" s="248">
        <v>1965</v>
      </c>
      <c r="B9" s="129">
        <v>312</v>
      </c>
      <c r="C9" s="129" t="s">
        <v>9</v>
      </c>
      <c r="D9" s="129" t="s">
        <v>9</v>
      </c>
      <c r="E9" s="129">
        <v>0</v>
      </c>
      <c r="F9" s="129">
        <v>1.5</v>
      </c>
      <c r="G9" s="129">
        <v>1988.4</v>
      </c>
      <c r="H9" s="129" t="s">
        <v>9</v>
      </c>
      <c r="I9" s="129" t="s">
        <v>9</v>
      </c>
      <c r="J9" s="129">
        <v>0</v>
      </c>
      <c r="K9" s="129">
        <v>9.5</v>
      </c>
      <c r="L9" s="129">
        <v>1253.0999999999999</v>
      </c>
      <c r="M9" s="129" t="s">
        <v>9</v>
      </c>
      <c r="N9" s="129" t="s">
        <v>9</v>
      </c>
      <c r="O9" s="129">
        <v>0</v>
      </c>
      <c r="P9" s="129">
        <v>4</v>
      </c>
      <c r="Q9" s="249"/>
      <c r="R9" s="249"/>
      <c r="S9" s="249"/>
      <c r="T9" s="249"/>
    </row>
    <row r="10" spans="1:20">
      <c r="A10" s="248">
        <v>1966</v>
      </c>
      <c r="B10" s="129">
        <v>353.1</v>
      </c>
      <c r="C10" s="129" t="s">
        <v>9</v>
      </c>
      <c r="D10" s="129" t="s">
        <v>9</v>
      </c>
      <c r="E10" s="129">
        <v>0</v>
      </c>
      <c r="F10" s="129">
        <v>1.7</v>
      </c>
      <c r="G10" s="129">
        <v>2153.6</v>
      </c>
      <c r="H10" s="129" t="s">
        <v>9</v>
      </c>
      <c r="I10" s="129" t="s">
        <v>9</v>
      </c>
      <c r="J10" s="129">
        <v>0</v>
      </c>
      <c r="K10" s="129">
        <v>10.1</v>
      </c>
      <c r="L10" s="129">
        <v>1357.3</v>
      </c>
      <c r="M10" s="129" t="s">
        <v>9</v>
      </c>
      <c r="N10" s="129" t="s">
        <v>9</v>
      </c>
      <c r="O10" s="129">
        <v>0</v>
      </c>
      <c r="P10" s="129">
        <v>4.3</v>
      </c>
      <c r="Q10" s="249"/>
      <c r="R10" s="249"/>
      <c r="S10" s="249"/>
      <c r="T10" s="249"/>
    </row>
    <row r="11" spans="1:20">
      <c r="A11" s="248">
        <v>1967</v>
      </c>
      <c r="B11" s="129">
        <v>405.4</v>
      </c>
      <c r="C11" s="129" t="s">
        <v>9</v>
      </c>
      <c r="D11" s="129" t="s">
        <v>9</v>
      </c>
      <c r="E11" s="129">
        <v>0.3</v>
      </c>
      <c r="F11" s="129">
        <v>1.9</v>
      </c>
      <c r="G11" s="129">
        <v>2359.1999999999998</v>
      </c>
      <c r="H11" s="129" t="s">
        <v>9</v>
      </c>
      <c r="I11" s="129" t="s">
        <v>9</v>
      </c>
      <c r="J11" s="129">
        <v>2</v>
      </c>
      <c r="K11" s="129">
        <v>11</v>
      </c>
      <c r="L11" s="129">
        <v>1486.3</v>
      </c>
      <c r="M11" s="129" t="s">
        <v>9</v>
      </c>
      <c r="N11" s="129" t="s">
        <v>9</v>
      </c>
      <c r="O11" s="129">
        <v>0.8</v>
      </c>
      <c r="P11" s="129">
        <v>4.7</v>
      </c>
      <c r="Q11" s="249"/>
      <c r="R11" s="249"/>
      <c r="S11" s="249"/>
      <c r="T11" s="249"/>
    </row>
    <row r="12" spans="1:20">
      <c r="A12" s="248">
        <v>1968</v>
      </c>
      <c r="B12" s="129">
        <v>441.5</v>
      </c>
      <c r="C12" s="129" t="s">
        <v>9</v>
      </c>
      <c r="D12" s="129" t="s">
        <v>9</v>
      </c>
      <c r="E12" s="129">
        <v>0.3</v>
      </c>
      <c r="F12" s="129">
        <v>1.7</v>
      </c>
      <c r="G12" s="129">
        <v>2473.6</v>
      </c>
      <c r="H12" s="129" t="s">
        <v>9</v>
      </c>
      <c r="I12" s="129" t="s">
        <v>9</v>
      </c>
      <c r="J12" s="129">
        <v>1.7</v>
      </c>
      <c r="K12" s="129">
        <v>9.5</v>
      </c>
      <c r="L12" s="129">
        <v>1556.9</v>
      </c>
      <c r="M12" s="129" t="s">
        <v>9</v>
      </c>
      <c r="N12" s="129" t="s">
        <v>9</v>
      </c>
      <c r="O12" s="129">
        <v>0.7</v>
      </c>
      <c r="P12" s="129">
        <v>4</v>
      </c>
      <c r="Q12" s="249"/>
      <c r="R12" s="249"/>
      <c r="S12" s="249"/>
      <c r="T12" s="249"/>
    </row>
    <row r="13" spans="1:20">
      <c r="A13" s="248">
        <v>1969</v>
      </c>
      <c r="B13" s="129">
        <v>475.5</v>
      </c>
      <c r="C13" s="129" t="s">
        <v>9</v>
      </c>
      <c r="D13" s="129" t="s">
        <v>9</v>
      </c>
      <c r="E13" s="129">
        <v>0.2</v>
      </c>
      <c r="F13" s="129">
        <v>2</v>
      </c>
      <c r="G13" s="129">
        <v>2536.1</v>
      </c>
      <c r="H13" s="129" t="s">
        <v>9</v>
      </c>
      <c r="I13" s="129" t="s">
        <v>9</v>
      </c>
      <c r="J13" s="129">
        <v>1.3</v>
      </c>
      <c r="K13" s="129">
        <v>10.8</v>
      </c>
      <c r="L13" s="129">
        <v>1595.8</v>
      </c>
      <c r="M13" s="129" t="s">
        <v>9</v>
      </c>
      <c r="N13" s="129" t="s">
        <v>9</v>
      </c>
      <c r="O13" s="129">
        <v>0.5</v>
      </c>
      <c r="P13" s="129">
        <v>4.5999999999999996</v>
      </c>
      <c r="Q13" s="249"/>
      <c r="R13" s="249"/>
      <c r="S13" s="249"/>
      <c r="T13" s="249"/>
    </row>
    <row r="14" spans="1:20">
      <c r="A14" s="248">
        <v>1970</v>
      </c>
      <c r="B14" s="129">
        <v>529.9</v>
      </c>
      <c r="C14" s="129" t="s">
        <v>9</v>
      </c>
      <c r="D14" s="129" t="s">
        <v>9</v>
      </c>
      <c r="E14" s="129">
        <v>0.6</v>
      </c>
      <c r="F14" s="129">
        <v>2.1</v>
      </c>
      <c r="G14" s="129">
        <v>2716.8</v>
      </c>
      <c r="H14" s="129" t="s">
        <v>9</v>
      </c>
      <c r="I14" s="129" t="s">
        <v>9</v>
      </c>
      <c r="J14" s="129">
        <v>2.9</v>
      </c>
      <c r="K14" s="129">
        <v>10.6</v>
      </c>
      <c r="L14" s="129">
        <v>1705.5</v>
      </c>
      <c r="M14" s="129" t="s">
        <v>9</v>
      </c>
      <c r="N14" s="129" t="s">
        <v>9</v>
      </c>
      <c r="O14" s="129">
        <v>1.2</v>
      </c>
      <c r="P14" s="129">
        <v>4.5</v>
      </c>
      <c r="Q14" s="249"/>
      <c r="R14" s="249"/>
      <c r="S14" s="249"/>
      <c r="T14" s="249"/>
    </row>
    <row r="15" spans="1:20">
      <c r="A15" s="248">
        <v>1971</v>
      </c>
      <c r="B15" s="129">
        <v>598.1</v>
      </c>
      <c r="C15" s="129" t="s">
        <v>9</v>
      </c>
      <c r="D15" s="129" t="s">
        <v>9</v>
      </c>
      <c r="E15" s="129">
        <v>0.6</v>
      </c>
      <c r="F15" s="129">
        <v>1.9</v>
      </c>
      <c r="G15" s="129">
        <v>2922</v>
      </c>
      <c r="H15" s="129" t="s">
        <v>9</v>
      </c>
      <c r="I15" s="129" t="s">
        <v>9</v>
      </c>
      <c r="J15" s="129">
        <v>3</v>
      </c>
      <c r="K15" s="129">
        <v>9.5</v>
      </c>
      <c r="L15" s="129">
        <v>1838.6</v>
      </c>
      <c r="M15" s="129" t="s">
        <v>9</v>
      </c>
      <c r="N15" s="129" t="s">
        <v>9</v>
      </c>
      <c r="O15" s="129">
        <v>1.2</v>
      </c>
      <c r="P15" s="129">
        <v>4</v>
      </c>
      <c r="Q15" s="249"/>
      <c r="R15" s="249"/>
      <c r="S15" s="249"/>
      <c r="T15" s="249"/>
    </row>
    <row r="16" spans="1:20">
      <c r="A16" s="248">
        <v>1972</v>
      </c>
      <c r="B16" s="129">
        <v>623.4</v>
      </c>
      <c r="C16" s="129" t="s">
        <v>9</v>
      </c>
      <c r="D16" s="129" t="s">
        <v>9</v>
      </c>
      <c r="E16" s="129">
        <v>0.4</v>
      </c>
      <c r="F16" s="129">
        <v>1.7</v>
      </c>
      <c r="G16" s="129">
        <v>2878.1</v>
      </c>
      <c r="H16" s="129" t="s">
        <v>9</v>
      </c>
      <c r="I16" s="129" t="s">
        <v>9</v>
      </c>
      <c r="J16" s="129">
        <v>1.8</v>
      </c>
      <c r="K16" s="129">
        <v>7.7</v>
      </c>
      <c r="L16" s="129">
        <v>1810.9</v>
      </c>
      <c r="M16" s="129" t="s">
        <v>9</v>
      </c>
      <c r="N16" s="129" t="s">
        <v>9</v>
      </c>
      <c r="O16" s="129">
        <v>0.8</v>
      </c>
      <c r="P16" s="129">
        <v>3.3</v>
      </c>
      <c r="Q16" s="249"/>
      <c r="R16" s="249"/>
      <c r="S16" s="249"/>
      <c r="T16" s="249"/>
    </row>
    <row r="17" spans="1:20">
      <c r="A17" s="248">
        <v>1973</v>
      </c>
      <c r="B17" s="129">
        <v>663.3</v>
      </c>
      <c r="C17" s="129" t="s">
        <v>9</v>
      </c>
      <c r="D17" s="129" t="s">
        <v>9</v>
      </c>
      <c r="E17" s="129">
        <v>0.3</v>
      </c>
      <c r="F17" s="129">
        <v>2.2000000000000002</v>
      </c>
      <c r="G17" s="129">
        <v>2792.3</v>
      </c>
      <c r="H17" s="129" t="s">
        <v>9</v>
      </c>
      <c r="I17" s="129" t="s">
        <v>9</v>
      </c>
      <c r="J17" s="129">
        <v>1.3</v>
      </c>
      <c r="K17" s="129">
        <v>9.1</v>
      </c>
      <c r="L17" s="129">
        <v>1756.8</v>
      </c>
      <c r="M17" s="129" t="s">
        <v>9</v>
      </c>
      <c r="N17" s="129" t="s">
        <v>9</v>
      </c>
      <c r="O17" s="129">
        <v>0.5</v>
      </c>
      <c r="P17" s="129">
        <v>3.9</v>
      </c>
      <c r="Q17" s="249"/>
      <c r="R17" s="249"/>
      <c r="S17" s="249"/>
      <c r="T17" s="249"/>
    </row>
    <row r="18" spans="1:20">
      <c r="A18" s="248">
        <v>1974</v>
      </c>
      <c r="B18" s="129">
        <v>743.7</v>
      </c>
      <c r="C18" s="129" t="s">
        <v>9</v>
      </c>
      <c r="D18" s="129" t="s">
        <v>9</v>
      </c>
      <c r="E18" s="129">
        <v>0.5</v>
      </c>
      <c r="F18" s="129">
        <v>2</v>
      </c>
      <c r="G18" s="129">
        <v>2709.7</v>
      </c>
      <c r="H18" s="129" t="s">
        <v>9</v>
      </c>
      <c r="I18" s="129" t="s">
        <v>9</v>
      </c>
      <c r="J18" s="129">
        <v>1.9</v>
      </c>
      <c r="K18" s="129">
        <v>7.3</v>
      </c>
      <c r="L18" s="129">
        <v>1705</v>
      </c>
      <c r="M18" s="129" t="s">
        <v>9</v>
      </c>
      <c r="N18" s="129" t="s">
        <v>9</v>
      </c>
      <c r="O18" s="129">
        <v>0.8</v>
      </c>
      <c r="P18" s="129">
        <v>3.1</v>
      </c>
      <c r="Q18" s="249"/>
      <c r="R18" s="249"/>
      <c r="S18" s="249"/>
      <c r="T18" s="249"/>
    </row>
    <row r="19" spans="1:20">
      <c r="A19" s="248">
        <v>1975</v>
      </c>
      <c r="B19" s="129">
        <v>833</v>
      </c>
      <c r="C19" s="129" t="s">
        <v>9</v>
      </c>
      <c r="D19" s="129" t="s">
        <v>9</v>
      </c>
      <c r="E19" s="129">
        <v>0.9</v>
      </c>
      <c r="F19" s="129">
        <v>3.3</v>
      </c>
      <c r="G19" s="129">
        <v>2741.1</v>
      </c>
      <c r="H19" s="129" t="s">
        <v>9</v>
      </c>
      <c r="I19" s="129" t="s">
        <v>9</v>
      </c>
      <c r="J19" s="129">
        <v>3</v>
      </c>
      <c r="K19" s="129">
        <v>10.7</v>
      </c>
      <c r="L19" s="129">
        <v>1724.9</v>
      </c>
      <c r="M19" s="129" t="s">
        <v>9</v>
      </c>
      <c r="N19" s="129" t="s">
        <v>9</v>
      </c>
      <c r="O19" s="129">
        <v>1.2</v>
      </c>
      <c r="P19" s="129">
        <v>4.5999999999999996</v>
      </c>
      <c r="Q19" s="249"/>
      <c r="R19" s="249"/>
      <c r="S19" s="249"/>
      <c r="T19" s="249"/>
    </row>
    <row r="20" spans="1:20">
      <c r="A20" s="248">
        <v>1976</v>
      </c>
      <c r="B20" s="129">
        <v>1098.2</v>
      </c>
      <c r="C20" s="129" t="s">
        <v>9</v>
      </c>
      <c r="D20" s="129" t="s">
        <v>9</v>
      </c>
      <c r="E20" s="129">
        <v>1.7</v>
      </c>
      <c r="F20" s="129">
        <v>6.4</v>
      </c>
      <c r="G20" s="129">
        <v>3048.2</v>
      </c>
      <c r="H20" s="129" t="s">
        <v>9</v>
      </c>
      <c r="I20" s="129" t="s">
        <v>9</v>
      </c>
      <c r="J20" s="129">
        <v>4.5</v>
      </c>
      <c r="K20" s="129">
        <v>13.1</v>
      </c>
      <c r="L20" s="129">
        <v>1949.3</v>
      </c>
      <c r="M20" s="129" t="s">
        <v>9</v>
      </c>
      <c r="N20" s="129" t="s">
        <v>9</v>
      </c>
      <c r="O20" s="129">
        <v>2.2000000000000002</v>
      </c>
      <c r="P20" s="129">
        <v>8.3000000000000007</v>
      </c>
      <c r="Q20" s="249"/>
      <c r="R20" s="249"/>
      <c r="S20" s="249"/>
      <c r="T20" s="249"/>
    </row>
    <row r="21" spans="1:20">
      <c r="A21" s="248">
        <v>1977</v>
      </c>
      <c r="B21" s="129">
        <v>1248.4000000000001</v>
      </c>
      <c r="C21" s="129" t="s">
        <v>9</v>
      </c>
      <c r="D21" s="129" t="s">
        <v>9</v>
      </c>
      <c r="E21" s="129">
        <v>1.3</v>
      </c>
      <c r="F21" s="129">
        <v>6.7</v>
      </c>
      <c r="G21" s="129">
        <v>3219.9</v>
      </c>
      <c r="H21" s="129" t="s">
        <v>9</v>
      </c>
      <c r="I21" s="129" t="s">
        <v>9</v>
      </c>
      <c r="J21" s="129">
        <v>2.9</v>
      </c>
      <c r="K21" s="129">
        <v>13.9</v>
      </c>
      <c r="L21" s="129">
        <v>2088.9</v>
      </c>
      <c r="M21" s="129" t="s">
        <v>9</v>
      </c>
      <c r="N21" s="129" t="s">
        <v>9</v>
      </c>
      <c r="O21" s="129">
        <v>1.5</v>
      </c>
      <c r="P21" s="129">
        <v>8.4</v>
      </c>
      <c r="Q21" s="249"/>
      <c r="R21" s="249"/>
      <c r="S21" s="249"/>
      <c r="T21" s="249"/>
    </row>
    <row r="22" spans="1:20">
      <c r="A22" s="248">
        <v>1978</v>
      </c>
      <c r="B22" s="129">
        <v>1402.3</v>
      </c>
      <c r="C22" s="129" t="s">
        <v>9</v>
      </c>
      <c r="D22" s="129" t="s">
        <v>9</v>
      </c>
      <c r="E22" s="129">
        <v>0.7</v>
      </c>
      <c r="F22" s="129">
        <v>5</v>
      </c>
      <c r="G22" s="129">
        <v>3389.2</v>
      </c>
      <c r="H22" s="129" t="s">
        <v>9</v>
      </c>
      <c r="I22" s="129" t="s">
        <v>9</v>
      </c>
      <c r="J22" s="129">
        <v>1.1000000000000001</v>
      </c>
      <c r="K22" s="129">
        <v>10.3</v>
      </c>
      <c r="L22" s="129">
        <v>2224.6999999999998</v>
      </c>
      <c r="M22" s="129" t="s">
        <v>9</v>
      </c>
      <c r="N22" s="129" t="s">
        <v>9</v>
      </c>
      <c r="O22" s="129">
        <v>0.8</v>
      </c>
      <c r="P22" s="129">
        <v>6</v>
      </c>
      <c r="Q22" s="249"/>
      <c r="R22" s="249"/>
      <c r="S22" s="249"/>
      <c r="T22" s="249"/>
    </row>
    <row r="23" spans="1:20">
      <c r="A23" s="248">
        <v>1979</v>
      </c>
      <c r="B23" s="129">
        <v>1555.4</v>
      </c>
      <c r="C23" s="129" t="s">
        <v>9</v>
      </c>
      <c r="D23" s="129" t="s">
        <v>9</v>
      </c>
      <c r="E23" s="129">
        <v>1.5</v>
      </c>
      <c r="F23" s="129">
        <v>7.8</v>
      </c>
      <c r="G23" s="129">
        <v>3425.8</v>
      </c>
      <c r="H23" s="129" t="s">
        <v>9</v>
      </c>
      <c r="I23" s="129" t="s">
        <v>9</v>
      </c>
      <c r="J23" s="129">
        <v>2.9</v>
      </c>
      <c r="K23" s="129">
        <v>15</v>
      </c>
      <c r="L23" s="129">
        <v>2275.4</v>
      </c>
      <c r="M23" s="129" t="s">
        <v>9</v>
      </c>
      <c r="N23" s="129" t="s">
        <v>9</v>
      </c>
      <c r="O23" s="129">
        <v>1.6</v>
      </c>
      <c r="P23" s="129">
        <v>8.9</v>
      </c>
      <c r="Q23" s="249"/>
      <c r="R23" s="249"/>
      <c r="S23" s="249"/>
      <c r="T23" s="249"/>
    </row>
    <row r="24" spans="1:20">
      <c r="A24" s="248">
        <v>1980</v>
      </c>
      <c r="B24" s="129">
        <v>1848</v>
      </c>
      <c r="C24" s="129" t="s">
        <v>9</v>
      </c>
      <c r="D24" s="129" t="s">
        <v>9</v>
      </c>
      <c r="E24" s="129">
        <v>2.6</v>
      </c>
      <c r="F24" s="129">
        <v>9.9</v>
      </c>
      <c r="G24" s="129">
        <v>3704.3</v>
      </c>
      <c r="H24" s="129" t="s">
        <v>9</v>
      </c>
      <c r="I24" s="129" t="s">
        <v>9</v>
      </c>
      <c r="J24" s="129">
        <v>4.8</v>
      </c>
      <c r="K24" s="129">
        <v>17.7</v>
      </c>
      <c r="L24" s="129">
        <v>2497.8000000000002</v>
      </c>
      <c r="M24" s="129" t="s">
        <v>9</v>
      </c>
      <c r="N24" s="129" t="s">
        <v>9</v>
      </c>
      <c r="O24" s="129">
        <v>2.7</v>
      </c>
      <c r="P24" s="129">
        <v>10.7</v>
      </c>
      <c r="Q24" s="249"/>
      <c r="R24" s="249"/>
      <c r="S24" s="249"/>
      <c r="T24" s="249"/>
    </row>
    <row r="25" spans="1:20">
      <c r="A25" s="248">
        <v>1981</v>
      </c>
      <c r="B25" s="129">
        <v>2248.8000000000002</v>
      </c>
      <c r="C25" s="129" t="s">
        <v>9</v>
      </c>
      <c r="D25" s="129" t="s">
        <v>9</v>
      </c>
      <c r="E25" s="129">
        <v>2.6</v>
      </c>
      <c r="F25" s="129">
        <v>14.5</v>
      </c>
      <c r="G25" s="129">
        <v>4289.6000000000004</v>
      </c>
      <c r="H25" s="129" t="s">
        <v>9</v>
      </c>
      <c r="I25" s="129" t="s">
        <v>9</v>
      </c>
      <c r="J25" s="129">
        <v>4.5</v>
      </c>
      <c r="K25" s="129">
        <v>22.6</v>
      </c>
      <c r="L25" s="129">
        <v>2938.1</v>
      </c>
      <c r="M25" s="129" t="s">
        <v>9</v>
      </c>
      <c r="N25" s="129" t="s">
        <v>9</v>
      </c>
      <c r="O25" s="129">
        <v>2.6</v>
      </c>
      <c r="P25" s="129">
        <v>15.2</v>
      </c>
      <c r="Q25" s="249"/>
      <c r="R25" s="249"/>
      <c r="S25" s="249"/>
      <c r="T25" s="249"/>
    </row>
    <row r="26" spans="1:20">
      <c r="A26" s="248">
        <v>1982</v>
      </c>
      <c r="B26" s="129">
        <v>2584.9</v>
      </c>
      <c r="C26" s="129" t="s">
        <v>9</v>
      </c>
      <c r="D26" s="129" t="s">
        <v>9</v>
      </c>
      <c r="E26" s="129">
        <v>2.4</v>
      </c>
      <c r="F26" s="129">
        <v>17.3</v>
      </c>
      <c r="G26" s="129">
        <v>4454.5</v>
      </c>
      <c r="H26" s="129" t="s">
        <v>9</v>
      </c>
      <c r="I26" s="129" t="s">
        <v>9</v>
      </c>
      <c r="J26" s="129">
        <v>3.4</v>
      </c>
      <c r="K26" s="129">
        <v>23.6</v>
      </c>
      <c r="L26" s="129">
        <v>3125.6</v>
      </c>
      <c r="M26" s="129" t="s">
        <v>9</v>
      </c>
      <c r="N26" s="129" t="s">
        <v>9</v>
      </c>
      <c r="O26" s="129">
        <v>2.2999999999999998</v>
      </c>
      <c r="P26" s="129">
        <v>17</v>
      </c>
      <c r="Q26" s="249"/>
      <c r="R26" s="249"/>
      <c r="S26" s="249"/>
      <c r="T26" s="249"/>
    </row>
    <row r="27" spans="1:20">
      <c r="A27" s="248">
        <v>1983</v>
      </c>
      <c r="B27" s="129">
        <v>2732.7</v>
      </c>
      <c r="C27" s="129" t="s">
        <v>9</v>
      </c>
      <c r="D27" s="129" t="s">
        <v>9</v>
      </c>
      <c r="E27" s="129">
        <v>2.6</v>
      </c>
      <c r="F27" s="129">
        <v>12.8</v>
      </c>
      <c r="G27" s="129">
        <v>4354</v>
      </c>
      <c r="H27" s="129" t="s">
        <v>9</v>
      </c>
      <c r="I27" s="129" t="s">
        <v>9</v>
      </c>
      <c r="J27" s="129">
        <v>3.6</v>
      </c>
      <c r="K27" s="129">
        <v>18</v>
      </c>
      <c r="L27" s="129">
        <v>3147.7</v>
      </c>
      <c r="M27" s="129" t="s">
        <v>9</v>
      </c>
      <c r="N27" s="129" t="s">
        <v>9</v>
      </c>
      <c r="O27" s="129">
        <v>2.2999999999999998</v>
      </c>
      <c r="P27" s="129">
        <v>12.2</v>
      </c>
      <c r="Q27" s="249"/>
      <c r="R27" s="249"/>
      <c r="S27" s="249"/>
      <c r="T27" s="249"/>
    </row>
    <row r="28" spans="1:20">
      <c r="A28" s="248">
        <v>1984</v>
      </c>
      <c r="B28" s="129">
        <v>3148.8</v>
      </c>
      <c r="C28" s="129" t="s">
        <v>9</v>
      </c>
      <c r="D28" s="129" t="s">
        <v>9</v>
      </c>
      <c r="E28" s="129">
        <v>3</v>
      </c>
      <c r="F28" s="129">
        <v>16.600000000000001</v>
      </c>
      <c r="G28" s="129">
        <v>4793.8999999999996</v>
      </c>
      <c r="H28" s="129" t="s">
        <v>9</v>
      </c>
      <c r="I28" s="129" t="s">
        <v>9</v>
      </c>
      <c r="J28" s="129">
        <v>3.8</v>
      </c>
      <c r="K28" s="129">
        <v>21.8</v>
      </c>
      <c r="L28" s="129">
        <v>3540.4</v>
      </c>
      <c r="M28" s="129" t="s">
        <v>9</v>
      </c>
      <c r="N28" s="129" t="s">
        <v>9</v>
      </c>
      <c r="O28" s="129">
        <v>2.7</v>
      </c>
      <c r="P28" s="129">
        <v>15.5</v>
      </c>
      <c r="Q28" s="249"/>
      <c r="R28" s="249"/>
      <c r="S28" s="249"/>
      <c r="T28" s="249"/>
    </row>
    <row r="29" spans="1:20">
      <c r="A29" s="248">
        <v>1985</v>
      </c>
      <c r="B29" s="129">
        <v>3491.2</v>
      </c>
      <c r="C29" s="129" t="s">
        <v>9</v>
      </c>
      <c r="D29" s="129" t="s">
        <v>9</v>
      </c>
      <c r="E29" s="129">
        <v>3.1</v>
      </c>
      <c r="F29" s="129">
        <v>19.2</v>
      </c>
      <c r="G29" s="129">
        <v>5012.6000000000004</v>
      </c>
      <c r="H29" s="129" t="s">
        <v>9</v>
      </c>
      <c r="I29" s="129" t="s">
        <v>9</v>
      </c>
      <c r="J29" s="129">
        <v>4.0999999999999996</v>
      </c>
      <c r="K29" s="129">
        <v>24</v>
      </c>
      <c r="L29" s="129">
        <v>3782.6</v>
      </c>
      <c r="M29" s="129" t="s">
        <v>9</v>
      </c>
      <c r="N29" s="129" t="s">
        <v>9</v>
      </c>
      <c r="O29" s="129">
        <v>2.7</v>
      </c>
      <c r="P29" s="129">
        <v>17.399999999999999</v>
      </c>
      <c r="Q29" s="249"/>
      <c r="R29" s="249"/>
      <c r="S29" s="249"/>
      <c r="T29" s="249"/>
    </row>
    <row r="30" spans="1:20">
      <c r="A30" s="248">
        <v>1986</v>
      </c>
      <c r="B30" s="129">
        <v>3906.2</v>
      </c>
      <c r="C30" s="129" t="s">
        <v>9</v>
      </c>
      <c r="D30" s="129" t="s">
        <v>9</v>
      </c>
      <c r="E30" s="129">
        <v>3.5</v>
      </c>
      <c r="F30" s="129">
        <v>18</v>
      </c>
      <c r="G30" s="129">
        <v>5261.9</v>
      </c>
      <c r="H30" s="129" t="s">
        <v>9</v>
      </c>
      <c r="I30" s="129" t="s">
        <v>9</v>
      </c>
      <c r="J30" s="129">
        <v>4.4000000000000004</v>
      </c>
      <c r="K30" s="129">
        <v>22</v>
      </c>
      <c r="L30" s="129">
        <v>4123.8999999999996</v>
      </c>
      <c r="M30" s="129" t="s">
        <v>9</v>
      </c>
      <c r="N30" s="129" t="s">
        <v>9</v>
      </c>
      <c r="O30" s="129">
        <v>3</v>
      </c>
      <c r="P30" s="129">
        <v>16.2</v>
      </c>
      <c r="Q30" s="249"/>
      <c r="R30" s="249"/>
      <c r="S30" s="249"/>
      <c r="T30" s="249"/>
    </row>
    <row r="31" spans="1:20">
      <c r="A31" s="248">
        <v>1987</v>
      </c>
      <c r="B31" s="129">
        <v>4255.8</v>
      </c>
      <c r="C31" s="129" t="s">
        <v>9</v>
      </c>
      <c r="D31" s="129" t="s">
        <v>9</v>
      </c>
      <c r="E31" s="129">
        <v>5.9</v>
      </c>
      <c r="F31" s="129">
        <v>20.9</v>
      </c>
      <c r="G31" s="129">
        <v>5449.7</v>
      </c>
      <c r="H31" s="129" t="s">
        <v>9</v>
      </c>
      <c r="I31" s="129" t="s">
        <v>9</v>
      </c>
      <c r="J31" s="129">
        <v>6.9</v>
      </c>
      <c r="K31" s="129">
        <v>24</v>
      </c>
      <c r="L31" s="129">
        <v>4363.2</v>
      </c>
      <c r="M31" s="129" t="s">
        <v>9</v>
      </c>
      <c r="N31" s="129" t="s">
        <v>9</v>
      </c>
      <c r="O31" s="129">
        <v>5</v>
      </c>
      <c r="P31" s="129">
        <v>18.5</v>
      </c>
      <c r="Q31" s="249"/>
      <c r="R31" s="249"/>
      <c r="S31" s="249"/>
      <c r="T31" s="249"/>
    </row>
    <row r="32" spans="1:20">
      <c r="A32" s="248">
        <v>1988</v>
      </c>
      <c r="B32" s="129">
        <v>5001.1000000000004</v>
      </c>
      <c r="C32" s="129" t="s">
        <v>9</v>
      </c>
      <c r="D32" s="129" t="s">
        <v>9</v>
      </c>
      <c r="E32" s="129">
        <v>7.6</v>
      </c>
      <c r="F32" s="129">
        <v>27.7</v>
      </c>
      <c r="G32" s="129">
        <v>6127.6</v>
      </c>
      <c r="H32" s="129" t="s">
        <v>9</v>
      </c>
      <c r="I32" s="129" t="s">
        <v>9</v>
      </c>
      <c r="J32" s="129">
        <v>8.5</v>
      </c>
      <c r="K32" s="129">
        <v>30.6</v>
      </c>
      <c r="L32" s="129">
        <v>5012</v>
      </c>
      <c r="M32" s="129" t="s">
        <v>9</v>
      </c>
      <c r="N32" s="129" t="s">
        <v>9</v>
      </c>
      <c r="O32" s="129">
        <v>6.4</v>
      </c>
      <c r="P32" s="129">
        <v>24.3</v>
      </c>
      <c r="Q32" s="249"/>
      <c r="R32" s="249"/>
      <c r="S32" s="249"/>
      <c r="T32" s="249"/>
    </row>
    <row r="33" spans="1:20">
      <c r="A33" s="248">
        <v>1989</v>
      </c>
      <c r="B33" s="129">
        <v>5262.5</v>
      </c>
      <c r="C33" s="129" t="s">
        <v>9</v>
      </c>
      <c r="D33" s="129" t="s">
        <v>9</v>
      </c>
      <c r="E33" s="129">
        <v>5.3</v>
      </c>
      <c r="F33" s="129">
        <v>39.799999999999997</v>
      </c>
      <c r="G33" s="129">
        <v>6108.4</v>
      </c>
      <c r="H33" s="129" t="s">
        <v>9</v>
      </c>
      <c r="I33" s="129" t="s">
        <v>9</v>
      </c>
      <c r="J33" s="129">
        <v>5.8</v>
      </c>
      <c r="K33" s="129">
        <v>41.2</v>
      </c>
      <c r="L33" s="129">
        <v>5230.3999999999996</v>
      </c>
      <c r="M33" s="129" t="s">
        <v>9</v>
      </c>
      <c r="N33" s="129" t="s">
        <v>9</v>
      </c>
      <c r="O33" s="129">
        <v>4.4000000000000004</v>
      </c>
      <c r="P33" s="129">
        <v>35.6</v>
      </c>
      <c r="Q33" s="249"/>
      <c r="R33" s="249"/>
      <c r="S33" s="249"/>
      <c r="T33" s="249"/>
    </row>
    <row r="34" spans="1:20">
      <c r="A34" s="248">
        <v>1990</v>
      </c>
      <c r="B34" s="129">
        <v>5867.4</v>
      </c>
      <c r="C34" s="129" t="s">
        <v>9</v>
      </c>
      <c r="D34" s="129" t="s">
        <v>9</v>
      </c>
      <c r="E34" s="129">
        <v>2.4</v>
      </c>
      <c r="F34" s="129">
        <v>37.200000000000003</v>
      </c>
      <c r="G34" s="129">
        <v>6705.7</v>
      </c>
      <c r="H34" s="129" t="s">
        <v>9</v>
      </c>
      <c r="I34" s="129" t="s">
        <v>9</v>
      </c>
      <c r="J34" s="129">
        <v>2.5</v>
      </c>
      <c r="K34" s="129">
        <v>39.1</v>
      </c>
      <c r="L34" s="129">
        <v>5817.8</v>
      </c>
      <c r="M34" s="129" t="s">
        <v>9</v>
      </c>
      <c r="N34" s="129" t="s">
        <v>9</v>
      </c>
      <c r="O34" s="129">
        <v>2.1</v>
      </c>
      <c r="P34" s="129">
        <v>33.9</v>
      </c>
      <c r="Q34" s="249"/>
      <c r="R34" s="249"/>
      <c r="S34" s="249"/>
      <c r="T34" s="249"/>
    </row>
    <row r="35" spans="1:20">
      <c r="A35" s="248">
        <v>1991</v>
      </c>
      <c r="B35" s="129">
        <v>6112</v>
      </c>
      <c r="C35" s="129" t="s">
        <v>9</v>
      </c>
      <c r="D35" s="129" t="s">
        <v>9</v>
      </c>
      <c r="E35" s="129">
        <v>4.4000000000000004</v>
      </c>
      <c r="F35" s="129">
        <v>33.5</v>
      </c>
      <c r="G35" s="129">
        <v>6857.4</v>
      </c>
      <c r="H35" s="129" t="s">
        <v>9</v>
      </c>
      <c r="I35" s="129" t="s">
        <v>9</v>
      </c>
      <c r="J35" s="129">
        <v>5.0999999999999996</v>
      </c>
      <c r="K35" s="129">
        <v>36</v>
      </c>
      <c r="L35" s="129">
        <v>5982.7</v>
      </c>
      <c r="M35" s="129" t="s">
        <v>9</v>
      </c>
      <c r="N35" s="129" t="s">
        <v>9</v>
      </c>
      <c r="O35" s="129">
        <v>3.7</v>
      </c>
      <c r="P35" s="129">
        <v>30.6</v>
      </c>
      <c r="Q35" s="249"/>
      <c r="R35" s="249"/>
      <c r="S35" s="249"/>
      <c r="T35" s="249"/>
    </row>
    <row r="36" spans="1:20">
      <c r="A36" s="248">
        <v>1992</v>
      </c>
      <c r="B36" s="129">
        <v>6340.7</v>
      </c>
      <c r="C36" s="129" t="s">
        <v>9</v>
      </c>
      <c r="D36" s="129" t="s">
        <v>9</v>
      </c>
      <c r="E36" s="129">
        <v>5.6</v>
      </c>
      <c r="F36" s="129">
        <v>35.5</v>
      </c>
      <c r="G36" s="129">
        <v>7180.4</v>
      </c>
      <c r="H36" s="129" t="s">
        <v>9</v>
      </c>
      <c r="I36" s="129" t="s">
        <v>9</v>
      </c>
      <c r="J36" s="129">
        <v>6.4</v>
      </c>
      <c r="K36" s="129">
        <v>37.799999999999997</v>
      </c>
      <c r="L36" s="129">
        <v>6409</v>
      </c>
      <c r="M36" s="129" t="s">
        <v>9</v>
      </c>
      <c r="N36" s="129" t="s">
        <v>9</v>
      </c>
      <c r="O36" s="129">
        <v>4.9000000000000004</v>
      </c>
      <c r="P36" s="129">
        <v>34.1</v>
      </c>
      <c r="Q36" s="249"/>
      <c r="R36" s="249"/>
      <c r="S36" s="249"/>
      <c r="T36" s="249"/>
    </row>
    <row r="37" spans="1:20">
      <c r="A37" s="248">
        <v>1993</v>
      </c>
      <c r="B37" s="129">
        <v>6973.2</v>
      </c>
      <c r="C37" s="129" t="s">
        <v>9</v>
      </c>
      <c r="D37" s="129" t="s">
        <v>9</v>
      </c>
      <c r="E37" s="129">
        <v>8.3000000000000007</v>
      </c>
      <c r="F37" s="129">
        <v>32.299999999999997</v>
      </c>
      <c r="G37" s="129">
        <v>7695.3</v>
      </c>
      <c r="H37" s="129" t="s">
        <v>9</v>
      </c>
      <c r="I37" s="129" t="s">
        <v>9</v>
      </c>
      <c r="J37" s="129">
        <v>9.1</v>
      </c>
      <c r="K37" s="129">
        <v>33.4</v>
      </c>
      <c r="L37" s="129">
        <v>7031.8</v>
      </c>
      <c r="M37" s="129" t="s">
        <v>9</v>
      </c>
      <c r="N37" s="129" t="s">
        <v>9</v>
      </c>
      <c r="O37" s="129">
        <v>7.2</v>
      </c>
      <c r="P37" s="129">
        <v>31.2</v>
      </c>
      <c r="Q37" s="249"/>
      <c r="R37" s="249"/>
      <c r="S37" s="249"/>
      <c r="T37" s="249"/>
    </row>
    <row r="38" spans="1:20">
      <c r="A38" s="248">
        <v>1994</v>
      </c>
      <c r="B38" s="129">
        <v>7870.2</v>
      </c>
      <c r="C38" s="129" t="s">
        <v>9</v>
      </c>
      <c r="D38" s="129" t="s">
        <v>9</v>
      </c>
      <c r="E38" s="129">
        <v>12.4</v>
      </c>
      <c r="F38" s="129">
        <v>29.6</v>
      </c>
      <c r="G38" s="129">
        <v>8630.5</v>
      </c>
      <c r="H38" s="129" t="s">
        <v>9</v>
      </c>
      <c r="I38" s="129" t="s">
        <v>9</v>
      </c>
      <c r="J38" s="129">
        <v>13.9</v>
      </c>
      <c r="K38" s="129">
        <v>31.4</v>
      </c>
      <c r="L38" s="129">
        <v>7990.5</v>
      </c>
      <c r="M38" s="129" t="s">
        <v>9</v>
      </c>
      <c r="N38" s="129" t="s">
        <v>9</v>
      </c>
      <c r="O38" s="129">
        <v>10.9</v>
      </c>
      <c r="P38" s="129">
        <v>28.8</v>
      </c>
      <c r="Q38" s="249"/>
      <c r="R38" s="249"/>
      <c r="S38" s="249"/>
      <c r="T38" s="249"/>
    </row>
    <row r="39" spans="1:20">
      <c r="A39" s="248">
        <v>1995</v>
      </c>
      <c r="B39" s="129">
        <v>8101.6</v>
      </c>
      <c r="C39" s="129" t="s">
        <v>9</v>
      </c>
      <c r="D39" s="129" t="s">
        <v>9</v>
      </c>
      <c r="E39" s="129">
        <v>19.100000000000001</v>
      </c>
      <c r="F39" s="129">
        <v>67.2</v>
      </c>
      <c r="G39" s="129">
        <v>8782.5</v>
      </c>
      <c r="H39" s="129" t="s">
        <v>9</v>
      </c>
      <c r="I39" s="129" t="s">
        <v>9</v>
      </c>
      <c r="J39" s="129">
        <v>20.6</v>
      </c>
      <c r="K39" s="129">
        <v>68.900000000000006</v>
      </c>
      <c r="L39" s="129">
        <v>8188.8</v>
      </c>
      <c r="M39" s="129" t="s">
        <v>9</v>
      </c>
      <c r="N39" s="129" t="s">
        <v>9</v>
      </c>
      <c r="O39" s="129">
        <v>16.7</v>
      </c>
      <c r="P39" s="129">
        <v>66.400000000000006</v>
      </c>
      <c r="Q39" s="249"/>
      <c r="R39" s="249"/>
      <c r="S39" s="249"/>
      <c r="T39" s="249"/>
    </row>
    <row r="40" spans="1:20">
      <c r="A40" s="248">
        <v>1996</v>
      </c>
      <c r="B40" s="129">
        <v>8860.4</v>
      </c>
      <c r="C40" s="129" t="s">
        <v>9</v>
      </c>
      <c r="D40" s="129" t="s">
        <v>9</v>
      </c>
      <c r="E40" s="129">
        <v>14.6</v>
      </c>
      <c r="F40" s="129">
        <v>57.2</v>
      </c>
      <c r="G40" s="129">
        <v>9428.4</v>
      </c>
      <c r="H40" s="129" t="s">
        <v>9</v>
      </c>
      <c r="I40" s="129" t="s">
        <v>9</v>
      </c>
      <c r="J40" s="129">
        <v>15.7</v>
      </c>
      <c r="K40" s="129">
        <v>58.1</v>
      </c>
      <c r="L40" s="129">
        <v>8934.4</v>
      </c>
      <c r="M40" s="129" t="s">
        <v>9</v>
      </c>
      <c r="N40" s="129" t="s">
        <v>9</v>
      </c>
      <c r="O40" s="129">
        <v>12.8</v>
      </c>
      <c r="P40" s="129">
        <v>56.7</v>
      </c>
      <c r="Q40" s="249"/>
      <c r="R40" s="249"/>
      <c r="S40" s="249"/>
      <c r="T40" s="249"/>
    </row>
    <row r="41" spans="1:20">
      <c r="A41" s="248">
        <v>1997</v>
      </c>
      <c r="B41" s="129">
        <v>9164.9</v>
      </c>
      <c r="C41" s="129" t="s">
        <v>9</v>
      </c>
      <c r="D41" s="129" t="s">
        <v>9</v>
      </c>
      <c r="E41" s="129">
        <v>17.3</v>
      </c>
      <c r="F41" s="129">
        <v>31.5</v>
      </c>
      <c r="G41" s="129">
        <v>9790.5</v>
      </c>
      <c r="H41" s="129" t="s">
        <v>9</v>
      </c>
      <c r="I41" s="129" t="s">
        <v>9</v>
      </c>
      <c r="J41" s="129">
        <v>18.899999999999999</v>
      </c>
      <c r="K41" s="129">
        <v>33.299999999999997</v>
      </c>
      <c r="L41" s="129">
        <v>9277</v>
      </c>
      <c r="M41" s="129" t="s">
        <v>9</v>
      </c>
      <c r="N41" s="129" t="s">
        <v>9</v>
      </c>
      <c r="O41" s="129">
        <v>15.1</v>
      </c>
      <c r="P41" s="129">
        <v>31.5</v>
      </c>
      <c r="Q41" s="249"/>
      <c r="R41" s="249"/>
      <c r="S41" s="249"/>
      <c r="T41" s="249"/>
    </row>
    <row r="42" spans="1:20">
      <c r="A42" s="248">
        <v>1998</v>
      </c>
      <c r="B42" s="129">
        <v>10228</v>
      </c>
      <c r="C42" s="129" t="s">
        <v>9</v>
      </c>
      <c r="D42" s="129" t="s">
        <v>9</v>
      </c>
      <c r="E42" s="129">
        <v>6</v>
      </c>
      <c r="F42" s="129">
        <v>14.5</v>
      </c>
      <c r="G42" s="129">
        <v>10713.4</v>
      </c>
      <c r="H42" s="129" t="s">
        <v>9</v>
      </c>
      <c r="I42" s="129" t="s">
        <v>9</v>
      </c>
      <c r="J42" s="129">
        <v>6.5</v>
      </c>
      <c r="K42" s="129">
        <v>16.3</v>
      </c>
      <c r="L42" s="129">
        <v>10378</v>
      </c>
      <c r="M42" s="129" t="s">
        <v>9</v>
      </c>
      <c r="N42" s="129" t="s">
        <v>9</v>
      </c>
      <c r="O42" s="129">
        <v>5.3</v>
      </c>
      <c r="P42" s="129">
        <v>14.5</v>
      </c>
      <c r="Q42" s="249"/>
      <c r="R42" s="249"/>
      <c r="S42" s="249"/>
      <c r="T42" s="249"/>
    </row>
    <row r="43" spans="1:20">
      <c r="A43" s="248">
        <v>1999</v>
      </c>
      <c r="B43" s="129">
        <v>10039.9</v>
      </c>
      <c r="C43" s="129" t="s">
        <v>9</v>
      </c>
      <c r="D43" s="129" t="s">
        <v>9</v>
      </c>
      <c r="E43" s="129">
        <v>14.8</v>
      </c>
      <c r="F43" s="129">
        <v>12.7</v>
      </c>
      <c r="G43" s="129">
        <v>10537.2</v>
      </c>
      <c r="H43" s="129" t="s">
        <v>9</v>
      </c>
      <c r="I43" s="129" t="s">
        <v>9</v>
      </c>
      <c r="J43" s="129">
        <v>15.4</v>
      </c>
      <c r="K43" s="129">
        <v>14.3</v>
      </c>
      <c r="L43" s="129">
        <v>10194.200000000001</v>
      </c>
      <c r="M43" s="129" t="s">
        <v>9</v>
      </c>
      <c r="N43" s="129" t="s">
        <v>9</v>
      </c>
      <c r="O43" s="129">
        <v>13</v>
      </c>
      <c r="P43" s="129">
        <v>12.7</v>
      </c>
      <c r="Q43" s="249"/>
      <c r="R43" s="249"/>
      <c r="S43" s="249"/>
      <c r="T43" s="249"/>
    </row>
    <row r="44" spans="1:20">
      <c r="A44" s="248">
        <v>2000</v>
      </c>
      <c r="B44" s="129">
        <v>12179.6</v>
      </c>
      <c r="C44" s="129" t="s">
        <v>9</v>
      </c>
      <c r="D44" s="129" t="s">
        <v>9</v>
      </c>
      <c r="E44" s="129">
        <v>13.4</v>
      </c>
      <c r="F44" s="129">
        <v>105.9</v>
      </c>
      <c r="G44" s="129">
        <v>12433.7</v>
      </c>
      <c r="H44" s="129" t="s">
        <v>9</v>
      </c>
      <c r="I44" s="129" t="s">
        <v>9</v>
      </c>
      <c r="J44" s="129">
        <v>13.4</v>
      </c>
      <c r="K44" s="129">
        <v>109.4</v>
      </c>
      <c r="L44" s="129">
        <v>12106.3</v>
      </c>
      <c r="M44" s="129" t="s">
        <v>9</v>
      </c>
      <c r="N44" s="129" t="s">
        <v>9</v>
      </c>
      <c r="O44" s="129">
        <v>11.4</v>
      </c>
      <c r="P44" s="129">
        <v>103.3</v>
      </c>
      <c r="Q44" s="249"/>
      <c r="R44" s="249"/>
      <c r="S44" s="249"/>
      <c r="T44" s="249"/>
    </row>
    <row r="45" spans="1:20">
      <c r="A45" s="248">
        <v>2001</v>
      </c>
      <c r="B45" s="129">
        <v>13436.6</v>
      </c>
      <c r="C45" s="129" t="s">
        <v>9</v>
      </c>
      <c r="D45" s="129" t="s">
        <v>9</v>
      </c>
      <c r="E45" s="129">
        <v>16.100000000000001</v>
      </c>
      <c r="F45" s="129">
        <v>136.9</v>
      </c>
      <c r="G45" s="129">
        <v>12886.7</v>
      </c>
      <c r="H45" s="129" t="s">
        <v>9</v>
      </c>
      <c r="I45" s="129" t="s">
        <v>9</v>
      </c>
      <c r="J45" s="129">
        <v>14.9</v>
      </c>
      <c r="K45" s="129">
        <v>137</v>
      </c>
      <c r="L45" s="129">
        <v>13202.8</v>
      </c>
      <c r="M45" s="129" t="s">
        <v>9</v>
      </c>
      <c r="N45" s="129" t="s">
        <v>9</v>
      </c>
      <c r="O45" s="129">
        <v>13.6</v>
      </c>
      <c r="P45" s="129">
        <v>132</v>
      </c>
      <c r="Q45" s="249"/>
      <c r="R45" s="249"/>
      <c r="S45" s="249"/>
      <c r="T45" s="249"/>
    </row>
    <row r="46" spans="1:20">
      <c r="A46" s="248">
        <v>2002</v>
      </c>
      <c r="B46" s="129">
        <v>14042.6</v>
      </c>
      <c r="C46" s="129" t="s">
        <v>9</v>
      </c>
      <c r="D46" s="129" t="s">
        <v>9</v>
      </c>
      <c r="E46" s="129">
        <v>21.8</v>
      </c>
      <c r="F46" s="129">
        <v>116.5</v>
      </c>
      <c r="G46" s="129">
        <v>13663.5</v>
      </c>
      <c r="H46" s="129" t="s">
        <v>9</v>
      </c>
      <c r="I46" s="129" t="s">
        <v>9</v>
      </c>
      <c r="J46" s="129">
        <v>20.7</v>
      </c>
      <c r="K46" s="129">
        <v>114.8</v>
      </c>
      <c r="L46" s="129">
        <v>13809.6</v>
      </c>
      <c r="M46" s="129" t="s">
        <v>9</v>
      </c>
      <c r="N46" s="129" t="s">
        <v>9</v>
      </c>
      <c r="O46" s="129">
        <v>18.5</v>
      </c>
      <c r="P46" s="129">
        <v>111.8</v>
      </c>
      <c r="Q46" s="249"/>
      <c r="R46" s="249"/>
      <c r="S46" s="249"/>
      <c r="T46" s="249"/>
    </row>
    <row r="47" spans="1:20">
      <c r="A47" s="248">
        <v>2003</v>
      </c>
      <c r="B47" s="129">
        <v>15091.7</v>
      </c>
      <c r="C47" s="129" t="s">
        <v>9</v>
      </c>
      <c r="D47" s="129" t="s">
        <v>9</v>
      </c>
      <c r="E47" s="129">
        <v>20.6</v>
      </c>
      <c r="F47" s="129">
        <v>156.5</v>
      </c>
      <c r="G47" s="129">
        <v>15130.8</v>
      </c>
      <c r="H47" s="129" t="s">
        <v>9</v>
      </c>
      <c r="I47" s="129" t="s">
        <v>9</v>
      </c>
      <c r="J47" s="129">
        <v>18.5</v>
      </c>
      <c r="K47" s="129">
        <v>161.9</v>
      </c>
      <c r="L47" s="129">
        <v>15065.2</v>
      </c>
      <c r="M47" s="129" t="s">
        <v>9</v>
      </c>
      <c r="N47" s="129" t="s">
        <v>9</v>
      </c>
      <c r="O47" s="129">
        <v>18.2</v>
      </c>
      <c r="P47" s="129">
        <v>151.19999999999999</v>
      </c>
      <c r="Q47" s="249"/>
      <c r="R47" s="249"/>
      <c r="S47" s="249"/>
      <c r="T47" s="249"/>
    </row>
    <row r="48" spans="1:20">
      <c r="A48" s="248">
        <v>2004</v>
      </c>
      <c r="B48" s="129">
        <v>17190</v>
      </c>
      <c r="C48" s="129" t="s">
        <v>9</v>
      </c>
      <c r="D48" s="129" t="s">
        <v>9</v>
      </c>
      <c r="E48" s="129">
        <v>29.5</v>
      </c>
      <c r="F48" s="129">
        <v>174.9</v>
      </c>
      <c r="G48" s="129">
        <v>17326.2</v>
      </c>
      <c r="H48" s="129" t="s">
        <v>9</v>
      </c>
      <c r="I48" s="129" t="s">
        <v>9</v>
      </c>
      <c r="J48" s="129">
        <v>27.5</v>
      </c>
      <c r="K48" s="129">
        <v>174.4</v>
      </c>
      <c r="L48" s="129">
        <v>17183.5</v>
      </c>
      <c r="M48" s="129" t="s">
        <v>9</v>
      </c>
      <c r="N48" s="129" t="s">
        <v>9</v>
      </c>
      <c r="O48" s="129">
        <v>26.9</v>
      </c>
      <c r="P48" s="129">
        <v>168.8</v>
      </c>
      <c r="Q48" s="249"/>
      <c r="R48" s="249"/>
      <c r="S48" s="249"/>
      <c r="T48" s="249"/>
    </row>
    <row r="49" spans="1:20">
      <c r="A49" s="248">
        <v>2005</v>
      </c>
      <c r="B49" s="129">
        <v>18223.599999999999</v>
      </c>
      <c r="C49" s="129" t="s">
        <v>9</v>
      </c>
      <c r="D49" s="129" t="s">
        <v>9</v>
      </c>
      <c r="E49" s="129">
        <v>24.3</v>
      </c>
      <c r="F49" s="129">
        <v>125.9</v>
      </c>
      <c r="G49" s="129">
        <v>18276.8</v>
      </c>
      <c r="H49" s="129" t="s">
        <v>9</v>
      </c>
      <c r="I49" s="129" t="s">
        <v>9</v>
      </c>
      <c r="J49" s="129">
        <v>22.6</v>
      </c>
      <c r="K49" s="129">
        <v>122.4</v>
      </c>
      <c r="L49" s="129">
        <v>18295</v>
      </c>
      <c r="M49" s="129" t="s">
        <v>9</v>
      </c>
      <c r="N49" s="129" t="s">
        <v>9</v>
      </c>
      <c r="O49" s="129">
        <v>22.6</v>
      </c>
      <c r="P49" s="129">
        <v>122.1</v>
      </c>
      <c r="Q49" s="249"/>
      <c r="R49" s="249"/>
      <c r="S49" s="249"/>
      <c r="T49" s="249"/>
    </row>
    <row r="50" spans="1:20">
      <c r="A50" s="248">
        <v>2006</v>
      </c>
      <c r="B50" s="129">
        <v>18836.7</v>
      </c>
      <c r="C50" s="129" t="s">
        <v>9</v>
      </c>
      <c r="D50" s="129" t="s">
        <v>9</v>
      </c>
      <c r="E50" s="129">
        <v>22.7</v>
      </c>
      <c r="F50" s="129">
        <v>119.2</v>
      </c>
      <c r="G50" s="129">
        <v>19010.8</v>
      </c>
      <c r="H50" s="129" t="s">
        <v>9</v>
      </c>
      <c r="I50" s="129" t="s">
        <v>9</v>
      </c>
      <c r="J50" s="129">
        <v>22.3</v>
      </c>
      <c r="K50" s="129">
        <v>119.2</v>
      </c>
      <c r="L50" s="129">
        <v>18999.400000000001</v>
      </c>
      <c r="M50" s="129" t="s">
        <v>9</v>
      </c>
      <c r="N50" s="129" t="s">
        <v>9</v>
      </c>
      <c r="O50" s="129">
        <v>22.2</v>
      </c>
      <c r="P50" s="129">
        <v>118.6</v>
      </c>
      <c r="Q50" s="249"/>
      <c r="R50" s="249"/>
      <c r="S50" s="249"/>
      <c r="T50" s="249"/>
    </row>
    <row r="51" spans="1:20">
      <c r="A51" s="248">
        <v>2007</v>
      </c>
      <c r="B51" s="129">
        <v>19451.5</v>
      </c>
      <c r="C51" s="129" t="s">
        <v>9</v>
      </c>
      <c r="D51" s="129" t="s">
        <v>9</v>
      </c>
      <c r="E51" s="129">
        <v>26</v>
      </c>
      <c r="F51" s="129">
        <v>108.3</v>
      </c>
      <c r="G51" s="129">
        <v>19451.5</v>
      </c>
      <c r="H51" s="129" t="s">
        <v>9</v>
      </c>
      <c r="I51" s="129" t="s">
        <v>9</v>
      </c>
      <c r="J51" s="129">
        <v>26</v>
      </c>
      <c r="K51" s="129">
        <v>108.3</v>
      </c>
      <c r="L51" s="129">
        <v>19451.5</v>
      </c>
      <c r="M51" s="129" t="s">
        <v>9</v>
      </c>
      <c r="N51" s="129" t="s">
        <v>9</v>
      </c>
      <c r="O51" s="129">
        <v>26</v>
      </c>
      <c r="P51" s="129">
        <v>108.3</v>
      </c>
      <c r="Q51" s="249"/>
      <c r="R51" s="249"/>
      <c r="S51" s="249"/>
      <c r="T51" s="249"/>
    </row>
    <row r="52" spans="1:20">
      <c r="A52" s="248">
        <v>2008</v>
      </c>
      <c r="B52" s="129">
        <v>20838.400000000001</v>
      </c>
      <c r="C52" s="129" t="s">
        <v>9</v>
      </c>
      <c r="D52" s="129" t="s">
        <v>9</v>
      </c>
      <c r="E52" s="129">
        <v>38.799999999999997</v>
      </c>
      <c r="F52" s="129">
        <v>99.8</v>
      </c>
      <c r="G52" s="129">
        <v>20393</v>
      </c>
      <c r="H52" s="129" t="s">
        <v>9</v>
      </c>
      <c r="I52" s="129" t="s">
        <v>9</v>
      </c>
      <c r="J52" s="129">
        <v>37.799999999999997</v>
      </c>
      <c r="K52" s="129">
        <v>98.3</v>
      </c>
      <c r="L52" s="129">
        <v>20384.5</v>
      </c>
      <c r="M52" s="129" t="s">
        <v>9</v>
      </c>
      <c r="N52" s="129" t="s">
        <v>9</v>
      </c>
      <c r="O52" s="129">
        <v>38</v>
      </c>
      <c r="P52" s="129">
        <v>98.3</v>
      </c>
      <c r="Q52" s="249"/>
      <c r="R52" s="249"/>
      <c r="S52" s="249"/>
      <c r="T52" s="249"/>
    </row>
    <row r="53" spans="1:20">
      <c r="A53" s="248">
        <v>2009</v>
      </c>
      <c r="B53" s="129">
        <v>19648.2</v>
      </c>
      <c r="C53" s="129" t="s">
        <v>9</v>
      </c>
      <c r="D53" s="129" t="s">
        <v>9</v>
      </c>
      <c r="E53" s="129">
        <v>29.3</v>
      </c>
      <c r="F53" s="129">
        <v>54.4</v>
      </c>
      <c r="G53" s="129">
        <v>18674.400000000001</v>
      </c>
      <c r="H53" s="129" t="s">
        <v>9</v>
      </c>
      <c r="I53" s="129" t="s">
        <v>9</v>
      </c>
      <c r="J53" s="129">
        <v>27.9</v>
      </c>
      <c r="K53" s="129">
        <v>51.6</v>
      </c>
      <c r="L53" s="129">
        <v>18674.400000000001</v>
      </c>
      <c r="M53" s="129" t="s">
        <v>9</v>
      </c>
      <c r="N53" s="129" t="s">
        <v>9</v>
      </c>
      <c r="O53" s="129">
        <v>27.8</v>
      </c>
      <c r="P53" s="129">
        <v>51.8</v>
      </c>
      <c r="Q53" s="249"/>
      <c r="R53" s="249"/>
      <c r="S53" s="249"/>
      <c r="T53" s="249"/>
    </row>
    <row r="54" spans="1:20">
      <c r="A54" s="248">
        <v>2010</v>
      </c>
      <c r="B54" s="129">
        <v>20810.3</v>
      </c>
      <c r="C54" s="129" t="s">
        <v>9</v>
      </c>
      <c r="D54" s="129" t="s">
        <v>9</v>
      </c>
      <c r="E54" s="129" t="s">
        <v>9</v>
      </c>
      <c r="F54" s="129">
        <v>64.5</v>
      </c>
      <c r="G54" s="129">
        <v>19931.599999999999</v>
      </c>
      <c r="H54" s="129" t="s">
        <v>9</v>
      </c>
      <c r="I54" s="129" t="s">
        <v>9</v>
      </c>
      <c r="J54" s="129" t="s">
        <v>9</v>
      </c>
      <c r="K54" s="129">
        <v>63.5</v>
      </c>
      <c r="L54" s="129">
        <v>19906.099999999999</v>
      </c>
      <c r="M54" s="129" t="s">
        <v>9</v>
      </c>
      <c r="N54" s="129" t="s">
        <v>9</v>
      </c>
      <c r="O54" s="129" t="s">
        <v>9</v>
      </c>
      <c r="P54" s="129">
        <v>63.7</v>
      </c>
      <c r="Q54" s="249"/>
      <c r="R54" s="249"/>
      <c r="S54" s="249"/>
      <c r="T54" s="249"/>
    </row>
    <row r="55" spans="1:20">
      <c r="A55" s="248">
        <v>2011</v>
      </c>
      <c r="B55" s="129">
        <v>21390.1</v>
      </c>
      <c r="C55" s="129" t="s">
        <v>9</v>
      </c>
      <c r="D55" s="129" t="s">
        <v>9</v>
      </c>
      <c r="E55" s="129" t="s">
        <v>9</v>
      </c>
      <c r="F55" s="129">
        <v>67.8</v>
      </c>
      <c r="G55" s="129">
        <v>20413.599999999999</v>
      </c>
      <c r="H55" s="129" t="s">
        <v>9</v>
      </c>
      <c r="I55" s="129" t="s">
        <v>9</v>
      </c>
      <c r="J55" s="129" t="s">
        <v>9</v>
      </c>
      <c r="K55" s="129">
        <v>68.5</v>
      </c>
      <c r="L55" s="129">
        <v>20455.3</v>
      </c>
      <c r="M55" s="129" t="s">
        <v>9</v>
      </c>
      <c r="N55" s="129" t="s">
        <v>9</v>
      </c>
      <c r="O55" s="129" t="s">
        <v>9</v>
      </c>
      <c r="P55" s="129">
        <v>68.8</v>
      </c>
      <c r="Q55" s="249"/>
      <c r="R55" s="249"/>
      <c r="S55" s="249"/>
      <c r="T55" s="249"/>
    </row>
    <row r="56" spans="1:20">
      <c r="A56" s="248">
        <v>2012</v>
      </c>
      <c r="B56" s="129">
        <v>21584.400000000001</v>
      </c>
      <c r="C56" s="129" t="s">
        <v>9</v>
      </c>
      <c r="D56" s="129" t="s">
        <v>9</v>
      </c>
      <c r="E56" s="129" t="s">
        <v>9</v>
      </c>
      <c r="F56" s="129">
        <v>88.2</v>
      </c>
      <c r="G56" s="129">
        <v>20482</v>
      </c>
      <c r="H56" s="129" t="s">
        <v>9</v>
      </c>
      <c r="I56" s="129" t="s">
        <v>9</v>
      </c>
      <c r="J56" s="129" t="s">
        <v>9</v>
      </c>
      <c r="K56" s="129">
        <v>88.7</v>
      </c>
      <c r="L56" s="129">
        <v>20497.2</v>
      </c>
      <c r="M56" s="129" t="s">
        <v>9</v>
      </c>
      <c r="N56" s="129" t="s">
        <v>9</v>
      </c>
      <c r="O56" s="129" t="s">
        <v>9</v>
      </c>
      <c r="P56" s="129">
        <v>88.8</v>
      </c>
      <c r="Q56" s="249"/>
      <c r="R56" s="249"/>
      <c r="S56" s="249"/>
      <c r="T56" s="249"/>
    </row>
    <row r="57" spans="1:20">
      <c r="A57" s="248">
        <v>2013</v>
      </c>
      <c r="B57" s="129">
        <v>21944.7</v>
      </c>
      <c r="C57" s="129" t="s">
        <v>9</v>
      </c>
      <c r="D57" s="129" t="s">
        <v>9</v>
      </c>
      <c r="E57" s="129" t="s">
        <v>9</v>
      </c>
      <c r="F57" s="129">
        <v>108.8</v>
      </c>
      <c r="G57" s="129">
        <v>20688.2</v>
      </c>
      <c r="H57" s="129" t="s">
        <v>9</v>
      </c>
      <c r="I57" s="129" t="s">
        <v>9</v>
      </c>
      <c r="J57" s="129" t="s">
        <v>9</v>
      </c>
      <c r="K57" s="129">
        <v>108.6</v>
      </c>
      <c r="L57" s="129">
        <v>20669</v>
      </c>
      <c r="M57" s="129" t="s">
        <v>9</v>
      </c>
      <c r="N57" s="129" t="s">
        <v>9</v>
      </c>
      <c r="O57" s="129" t="s">
        <v>9</v>
      </c>
      <c r="P57" s="129">
        <v>108.7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6.9240326981799605</v>
      </c>
      <c r="C60" s="11" t="s">
        <v>10</v>
      </c>
      <c r="D60" s="11" t="s">
        <v>10</v>
      </c>
      <c r="E60" s="11" t="s">
        <v>10</v>
      </c>
      <c r="F60" s="11">
        <f t="shared" ref="F60:P60" si="1">((F57/F28)^(1/29)-1)*100</f>
        <v>6.6979044391661136</v>
      </c>
      <c r="G60" s="11">
        <f t="shared" si="1"/>
        <v>5.1714145070785866</v>
      </c>
      <c r="H60" s="11" t="s">
        <v>10</v>
      </c>
      <c r="I60" s="11" t="s">
        <v>10</v>
      </c>
      <c r="J60" s="11" t="s">
        <v>10</v>
      </c>
      <c r="K60" s="11">
        <f t="shared" si="1"/>
        <v>5.6932752808665388</v>
      </c>
      <c r="L60" s="11">
        <f t="shared" si="1"/>
        <v>6.2730156761723999</v>
      </c>
      <c r="M60" s="11" t="s">
        <v>10</v>
      </c>
      <c r="N60" s="11" t="s">
        <v>10</v>
      </c>
      <c r="O60" s="11" t="s">
        <v>10</v>
      </c>
      <c r="P60" s="11">
        <f t="shared" si="1"/>
        <v>6.9470701025920123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10.817769966690772</v>
      </c>
      <c r="C61" s="11" t="s">
        <v>10</v>
      </c>
      <c r="D61" s="11" t="s">
        <v>10</v>
      </c>
      <c r="E61" s="11">
        <f t="shared" ref="E61:P61" si="3">((E33/E28)^(1/5)-1)*100</f>
        <v>12.054918219885359</v>
      </c>
      <c r="F61" s="11">
        <f t="shared" si="3"/>
        <v>19.111857353986593</v>
      </c>
      <c r="G61" s="11">
        <f t="shared" si="3"/>
        <v>4.9657708735345363</v>
      </c>
      <c r="H61" s="11" t="s">
        <v>10</v>
      </c>
      <c r="I61" s="11" t="s">
        <v>10</v>
      </c>
      <c r="J61" s="11">
        <f t="shared" si="3"/>
        <v>8.8250510077843671</v>
      </c>
      <c r="K61" s="11">
        <f t="shared" si="3"/>
        <v>13.57641193396022</v>
      </c>
      <c r="L61" s="11">
        <f t="shared" si="3"/>
        <v>8.1176292738742504</v>
      </c>
      <c r="M61" s="11" t="s">
        <v>10</v>
      </c>
      <c r="N61" s="11" t="s">
        <v>10</v>
      </c>
      <c r="O61" s="11">
        <f t="shared" si="3"/>
        <v>10.25994778190622</v>
      </c>
      <c r="P61" s="11">
        <f t="shared" si="3"/>
        <v>18.092865271496695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7.9272204523997303</v>
      </c>
      <c r="C62" s="11" t="s">
        <v>10</v>
      </c>
      <c r="D62" s="11" t="s">
        <v>10</v>
      </c>
      <c r="E62" s="11">
        <f t="shared" ref="E62:P62" si="5">((E44/E33)^(1/11)-1)*100</f>
        <v>8.7979748910902433</v>
      </c>
      <c r="F62" s="11">
        <f t="shared" si="5"/>
        <v>9.3043724767490907</v>
      </c>
      <c r="G62" s="11">
        <f t="shared" si="5"/>
        <v>6.674637122532423</v>
      </c>
      <c r="H62" s="11" t="s">
        <v>10</v>
      </c>
      <c r="I62" s="11" t="s">
        <v>10</v>
      </c>
      <c r="J62" s="11">
        <f t="shared" si="5"/>
        <v>7.9099590446452206</v>
      </c>
      <c r="K62" s="11">
        <f t="shared" si="5"/>
        <v>9.2839473190733823</v>
      </c>
      <c r="L62" s="11">
        <f t="shared" si="5"/>
        <v>7.9280249965422378</v>
      </c>
      <c r="M62" s="11" t="s">
        <v>10</v>
      </c>
      <c r="N62" s="11" t="s">
        <v>10</v>
      </c>
      <c r="O62" s="11">
        <f t="shared" si="5"/>
        <v>9.0401804026082999</v>
      </c>
      <c r="P62" s="11">
        <f t="shared" si="5"/>
        <v>10.168927182432075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6.9167440287937421</v>
      </c>
      <c r="C63" s="11" t="s">
        <v>10</v>
      </c>
      <c r="D63" s="11" t="s">
        <v>10</v>
      </c>
      <c r="E63" s="11">
        <f t="shared" ref="E63:P63" si="6">((E51/E44)^(1/7)-1)*100</f>
        <v>9.9319871730368714</v>
      </c>
      <c r="F63" s="11">
        <f t="shared" si="6"/>
        <v>0.32065444859676884</v>
      </c>
      <c r="G63" s="11">
        <f t="shared" si="6"/>
        <v>6.6018332242535616</v>
      </c>
      <c r="H63" s="11" t="s">
        <v>10</v>
      </c>
      <c r="I63" s="11" t="s">
        <v>10</v>
      </c>
      <c r="J63" s="11">
        <f t="shared" si="6"/>
        <v>9.9319871730368714</v>
      </c>
      <c r="K63" s="11">
        <f t="shared" si="6"/>
        <v>-0.1442634968992329</v>
      </c>
      <c r="L63" s="11">
        <f t="shared" si="6"/>
        <v>7.0089833379028743</v>
      </c>
      <c r="M63" s="11" t="s">
        <v>10</v>
      </c>
      <c r="N63" s="11" t="s">
        <v>10</v>
      </c>
      <c r="O63" s="11">
        <f t="shared" si="6"/>
        <v>12.500031066499172</v>
      </c>
      <c r="P63" s="11">
        <f t="shared" si="6"/>
        <v>0.67753894959547978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2.0303614316885987</v>
      </c>
      <c r="C64" s="11" t="s">
        <v>10</v>
      </c>
      <c r="D64" s="11" t="s">
        <v>10</v>
      </c>
      <c r="E64" s="11" t="s">
        <v>10</v>
      </c>
      <c r="F64" s="11">
        <f t="shared" ref="F64:P64" si="7">((F57/F51)^(1/6)-1)*100</f>
        <v>7.6799149037776182E-2</v>
      </c>
      <c r="G64" s="11">
        <f t="shared" si="7"/>
        <v>1.0326167580367862</v>
      </c>
      <c r="H64" s="11" t="s">
        <v>10</v>
      </c>
      <c r="I64" s="11" t="s">
        <v>10</v>
      </c>
      <c r="J64" s="11" t="s">
        <v>10</v>
      </c>
      <c r="K64" s="11">
        <f t="shared" si="7"/>
        <v>4.6114854512757653E-2</v>
      </c>
      <c r="L64" s="11">
        <f t="shared" si="7"/>
        <v>1.0169832343665419</v>
      </c>
      <c r="M64" s="11" t="s">
        <v>10</v>
      </c>
      <c r="N64" s="11" t="s">
        <v>10</v>
      </c>
      <c r="O64" s="11" t="s">
        <v>10</v>
      </c>
      <c r="P64" s="11">
        <f t="shared" si="7"/>
        <v>6.1462882697371768E-2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4.6330707200501475</v>
      </c>
      <c r="C65" s="11" t="s">
        <v>10</v>
      </c>
      <c r="D65" s="11" t="s">
        <v>10</v>
      </c>
      <c r="E65" s="11" t="s">
        <v>10</v>
      </c>
      <c r="F65" s="11">
        <f t="shared" ref="F65:P65" si="9">((F57/F44)^(1/13)-1)*100</f>
        <v>0.20803210109781034</v>
      </c>
      <c r="G65" s="11">
        <f t="shared" si="9"/>
        <v>3.9942696800078004</v>
      </c>
      <c r="H65" s="11" t="s">
        <v>10</v>
      </c>
      <c r="I65" s="11" t="s">
        <v>10</v>
      </c>
      <c r="J65" s="11" t="s">
        <v>10</v>
      </c>
      <c r="K65" s="11">
        <f t="shared" si="9"/>
        <v>-5.6441623320147016E-2</v>
      </c>
      <c r="L65" s="11">
        <f t="shared" si="9"/>
        <v>4.2005109953412889</v>
      </c>
      <c r="M65" s="11" t="s">
        <v>10</v>
      </c>
      <c r="N65" s="11" t="s">
        <v>10</v>
      </c>
      <c r="O65" s="11" t="s">
        <v>10</v>
      </c>
      <c r="P65" s="11">
        <f t="shared" si="9"/>
        <v>0.39272621783350559</v>
      </c>
      <c r="Q65" s="249"/>
      <c r="R65" s="249"/>
      <c r="S65" s="249"/>
      <c r="T65" s="249"/>
    </row>
    <row r="66" spans="1:20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</row>
    <row r="67" spans="1:20" s="180" customFormat="1">
      <c r="A67" s="174" t="s">
        <v>55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</row>
    <row r="68" spans="1:20" s="259" customFormat="1">
      <c r="A68" s="231" t="s">
        <v>367</v>
      </c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</row>
    <row r="69" spans="1:20" s="180" customFormat="1">
      <c r="A69" s="168" t="s">
        <v>56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74"/>
      <c r="M69" s="128"/>
      <c r="N69" s="128"/>
      <c r="O69" s="128"/>
      <c r="P69" s="128"/>
    </row>
    <row r="70" spans="1:20">
      <c r="A70" s="168" t="s">
        <v>41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</row>
    <row r="71" spans="1:20">
      <c r="A71" s="168" t="s">
        <v>62</v>
      </c>
      <c r="B71" s="168"/>
      <c r="C71" s="168"/>
      <c r="D71" s="168"/>
      <c r="E71" s="168"/>
      <c r="F71" s="168"/>
      <c r="G71" s="168"/>
      <c r="H71" s="168"/>
      <c r="I71" s="168"/>
      <c r="J71" s="168"/>
      <c r="K71" s="168"/>
    </row>
  </sheetData>
  <mergeCells count="5">
    <mergeCell ref="A1:P1"/>
    <mergeCell ref="L2:P2"/>
    <mergeCell ref="A59:P59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25" zoomScaleNormal="100" zoomScaleSheetLayoutView="100" workbookViewId="0">
      <selection activeCell="C24" sqref="C24"/>
    </sheetView>
  </sheetViews>
  <sheetFormatPr defaultRowHeight="15"/>
  <cols>
    <col min="1" max="1" width="9.140625" style="225"/>
    <col min="2" max="2" width="15.140625" style="225" customWidth="1"/>
    <col min="3" max="16384" width="9.140625" style="225"/>
  </cols>
  <sheetData>
    <row r="1" spans="1:20" ht="30" customHeight="1">
      <c r="A1" s="454" t="s">
        <v>292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61" t="s">
        <v>226</v>
      </c>
      <c r="C2" s="461"/>
      <c r="D2" s="461"/>
      <c r="E2" s="461"/>
      <c r="F2" s="461"/>
      <c r="G2" s="461" t="s">
        <v>227</v>
      </c>
      <c r="H2" s="461"/>
      <c r="I2" s="461"/>
      <c r="J2" s="461"/>
      <c r="K2" s="461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236">
        <v>1085.4000000000001</v>
      </c>
      <c r="C5" s="236" t="s">
        <v>9</v>
      </c>
      <c r="D5" s="236">
        <v>11</v>
      </c>
      <c r="E5" s="236">
        <v>5.7</v>
      </c>
      <c r="F5" s="236" t="s">
        <v>9</v>
      </c>
      <c r="G5" s="236">
        <v>6889.3</v>
      </c>
      <c r="H5" s="236" t="s">
        <v>9</v>
      </c>
      <c r="I5" s="236">
        <v>82</v>
      </c>
      <c r="J5" s="236">
        <v>36.299999999999997</v>
      </c>
      <c r="K5" s="236" t="s">
        <v>9</v>
      </c>
      <c r="L5" s="236">
        <v>4824.1000000000004</v>
      </c>
      <c r="M5" s="236" t="s">
        <v>9</v>
      </c>
      <c r="N5" s="236">
        <v>68.599999999999994</v>
      </c>
      <c r="O5" s="236">
        <v>32.6</v>
      </c>
      <c r="P5" s="236" t="s">
        <v>9</v>
      </c>
      <c r="Q5" s="249"/>
      <c r="R5" s="249"/>
      <c r="S5" s="249"/>
      <c r="T5" s="249"/>
    </row>
    <row r="6" spans="1:20">
      <c r="A6" s="248">
        <v>1962</v>
      </c>
      <c r="B6" s="236">
        <v>1153.0999999999999</v>
      </c>
      <c r="C6" s="236" t="s">
        <v>9</v>
      </c>
      <c r="D6" s="236">
        <v>11.2</v>
      </c>
      <c r="E6" s="236">
        <v>5.9</v>
      </c>
      <c r="F6" s="236" t="s">
        <v>9</v>
      </c>
      <c r="G6" s="236">
        <v>7258.3</v>
      </c>
      <c r="H6" s="236" t="s">
        <v>9</v>
      </c>
      <c r="I6" s="236">
        <v>82.9</v>
      </c>
      <c r="J6" s="236">
        <v>37.299999999999997</v>
      </c>
      <c r="K6" s="236" t="s">
        <v>9</v>
      </c>
      <c r="L6" s="236">
        <v>5078</v>
      </c>
      <c r="M6" s="236" t="s">
        <v>9</v>
      </c>
      <c r="N6" s="236">
        <v>68.7</v>
      </c>
      <c r="O6" s="236">
        <v>33.700000000000003</v>
      </c>
      <c r="P6" s="236" t="s">
        <v>9</v>
      </c>
      <c r="Q6" s="249"/>
      <c r="R6" s="249"/>
      <c r="S6" s="249"/>
      <c r="T6" s="249"/>
    </row>
    <row r="7" spans="1:20">
      <c r="A7" s="248">
        <v>1963</v>
      </c>
      <c r="B7" s="236">
        <v>1246.3</v>
      </c>
      <c r="C7" s="236" t="s">
        <v>9</v>
      </c>
      <c r="D7" s="236">
        <v>11.6</v>
      </c>
      <c r="E7" s="236">
        <v>6.3</v>
      </c>
      <c r="F7" s="236" t="s">
        <v>9</v>
      </c>
      <c r="G7" s="236">
        <v>7633.2</v>
      </c>
      <c r="H7" s="236" t="s">
        <v>9</v>
      </c>
      <c r="I7" s="236">
        <v>83</v>
      </c>
      <c r="J7" s="236">
        <v>38.5</v>
      </c>
      <c r="K7" s="236" t="s">
        <v>9</v>
      </c>
      <c r="L7" s="236">
        <v>5336.4</v>
      </c>
      <c r="M7" s="236" t="s">
        <v>9</v>
      </c>
      <c r="N7" s="236">
        <v>68.3</v>
      </c>
      <c r="O7" s="236">
        <v>34.799999999999997</v>
      </c>
      <c r="P7" s="236" t="s">
        <v>9</v>
      </c>
      <c r="Q7" s="249"/>
      <c r="R7" s="249"/>
      <c r="S7" s="249"/>
      <c r="T7" s="249"/>
    </row>
    <row r="8" spans="1:20">
      <c r="A8" s="248">
        <v>1964</v>
      </c>
      <c r="B8" s="236">
        <v>1365.7</v>
      </c>
      <c r="C8" s="236" t="s">
        <v>9</v>
      </c>
      <c r="D8" s="236">
        <v>12.6</v>
      </c>
      <c r="E8" s="236">
        <v>7.1</v>
      </c>
      <c r="F8" s="236" t="s">
        <v>9</v>
      </c>
      <c r="G8" s="236">
        <v>8097.7</v>
      </c>
      <c r="H8" s="236" t="s">
        <v>9</v>
      </c>
      <c r="I8" s="236">
        <v>84.4</v>
      </c>
      <c r="J8" s="236">
        <v>41.6</v>
      </c>
      <c r="K8" s="236" t="s">
        <v>9</v>
      </c>
      <c r="L8" s="236">
        <v>5660.7</v>
      </c>
      <c r="M8" s="236" t="s">
        <v>9</v>
      </c>
      <c r="N8" s="236">
        <v>69.7</v>
      </c>
      <c r="O8" s="236">
        <v>37.700000000000003</v>
      </c>
      <c r="P8" s="236" t="s">
        <v>9</v>
      </c>
      <c r="Q8" s="249"/>
      <c r="R8" s="249"/>
      <c r="S8" s="249"/>
      <c r="T8" s="249"/>
    </row>
    <row r="9" spans="1:20">
      <c r="A9" s="248">
        <v>1965</v>
      </c>
      <c r="B9" s="236">
        <v>1521.7</v>
      </c>
      <c r="C9" s="236" t="s">
        <v>9</v>
      </c>
      <c r="D9" s="236">
        <v>13.2</v>
      </c>
      <c r="E9" s="236">
        <v>8.1</v>
      </c>
      <c r="F9" s="236" t="s">
        <v>9</v>
      </c>
      <c r="G9" s="236">
        <v>8702.9</v>
      </c>
      <c r="H9" s="236" t="s">
        <v>9</v>
      </c>
      <c r="I9" s="236">
        <v>87.2</v>
      </c>
      <c r="J9" s="236">
        <v>44.6</v>
      </c>
      <c r="K9" s="236" t="s">
        <v>9</v>
      </c>
      <c r="L9" s="236">
        <v>6092.6</v>
      </c>
      <c r="M9" s="236" t="s">
        <v>9</v>
      </c>
      <c r="N9" s="236">
        <v>72.599999999999994</v>
      </c>
      <c r="O9" s="236">
        <v>40.6</v>
      </c>
      <c r="P9" s="236" t="s">
        <v>9</v>
      </c>
      <c r="Q9" s="249"/>
      <c r="R9" s="249"/>
      <c r="S9" s="249"/>
      <c r="T9" s="249"/>
    </row>
    <row r="10" spans="1:20">
      <c r="A10" s="248">
        <v>1966</v>
      </c>
      <c r="B10" s="236">
        <v>1714.9</v>
      </c>
      <c r="C10" s="236" t="s">
        <v>9</v>
      </c>
      <c r="D10" s="236">
        <v>14.2</v>
      </c>
      <c r="E10" s="236">
        <v>8.9</v>
      </c>
      <c r="F10" s="236" t="s">
        <v>9</v>
      </c>
      <c r="G10" s="236">
        <v>9377.5</v>
      </c>
      <c r="H10" s="236" t="s">
        <v>9</v>
      </c>
      <c r="I10" s="236">
        <v>89.3</v>
      </c>
      <c r="J10" s="236">
        <v>47.8</v>
      </c>
      <c r="K10" s="236" t="s">
        <v>9</v>
      </c>
      <c r="L10" s="236">
        <v>6601.3</v>
      </c>
      <c r="M10" s="236" t="s">
        <v>9</v>
      </c>
      <c r="N10" s="236">
        <v>75.099999999999994</v>
      </c>
      <c r="O10" s="236">
        <v>43.6</v>
      </c>
      <c r="P10" s="236" t="s">
        <v>9</v>
      </c>
      <c r="Q10" s="249"/>
      <c r="R10" s="249"/>
      <c r="S10" s="249"/>
      <c r="T10" s="249"/>
    </row>
    <row r="11" spans="1:20">
      <c r="A11" s="248">
        <v>1967</v>
      </c>
      <c r="B11" s="236">
        <v>1876.6</v>
      </c>
      <c r="C11" s="236" t="s">
        <v>9</v>
      </c>
      <c r="D11" s="236">
        <v>15.1</v>
      </c>
      <c r="E11" s="236">
        <v>9.8000000000000007</v>
      </c>
      <c r="F11" s="236" t="s">
        <v>9</v>
      </c>
      <c r="G11" s="236">
        <v>9973.6</v>
      </c>
      <c r="H11" s="236" t="s">
        <v>9</v>
      </c>
      <c r="I11" s="236">
        <v>92.8</v>
      </c>
      <c r="J11" s="236">
        <v>52.5</v>
      </c>
      <c r="K11" s="236" t="s">
        <v>9</v>
      </c>
      <c r="L11" s="236">
        <v>7068.4</v>
      </c>
      <c r="M11" s="236" t="s">
        <v>9</v>
      </c>
      <c r="N11" s="236">
        <v>79.3</v>
      </c>
      <c r="O11" s="236">
        <v>48</v>
      </c>
      <c r="P11" s="236" t="s">
        <v>9</v>
      </c>
      <c r="Q11" s="249"/>
      <c r="R11" s="249"/>
      <c r="S11" s="249"/>
      <c r="T11" s="249"/>
    </row>
    <row r="12" spans="1:20">
      <c r="A12" s="248">
        <v>1968</v>
      </c>
      <c r="B12" s="236">
        <v>1997.9</v>
      </c>
      <c r="C12" s="236" t="s">
        <v>9</v>
      </c>
      <c r="D12" s="236">
        <v>15.7</v>
      </c>
      <c r="E12" s="236">
        <v>10.5</v>
      </c>
      <c r="F12" s="236" t="s">
        <v>9</v>
      </c>
      <c r="G12" s="236">
        <v>10418.6</v>
      </c>
      <c r="H12" s="236" t="s">
        <v>9</v>
      </c>
      <c r="I12" s="236">
        <v>94.6</v>
      </c>
      <c r="J12" s="236">
        <v>56.1</v>
      </c>
      <c r="K12" s="236" t="s">
        <v>9</v>
      </c>
      <c r="L12" s="236">
        <v>7422</v>
      </c>
      <c r="M12" s="236" t="s">
        <v>9</v>
      </c>
      <c r="N12" s="236">
        <v>81.8</v>
      </c>
      <c r="O12" s="236">
        <v>51.3</v>
      </c>
      <c r="P12" s="236" t="s">
        <v>9</v>
      </c>
      <c r="Q12" s="249"/>
      <c r="R12" s="249"/>
      <c r="S12" s="249"/>
      <c r="T12" s="249"/>
    </row>
    <row r="13" spans="1:20">
      <c r="A13" s="248">
        <v>1969</v>
      </c>
      <c r="B13" s="236">
        <v>2172.5</v>
      </c>
      <c r="C13" s="236" t="s">
        <v>9</v>
      </c>
      <c r="D13" s="236">
        <v>16.3</v>
      </c>
      <c r="E13" s="236">
        <v>11.6</v>
      </c>
      <c r="F13" s="236" t="s">
        <v>9</v>
      </c>
      <c r="G13" s="236">
        <v>10813.5</v>
      </c>
      <c r="H13" s="236" t="s">
        <v>9</v>
      </c>
      <c r="I13" s="236">
        <v>93.7</v>
      </c>
      <c r="J13" s="236">
        <v>59.7</v>
      </c>
      <c r="K13" s="236" t="s">
        <v>9</v>
      </c>
      <c r="L13" s="236">
        <v>7735.1</v>
      </c>
      <c r="M13" s="236" t="s">
        <v>9</v>
      </c>
      <c r="N13" s="236">
        <v>81.099999999999994</v>
      </c>
      <c r="O13" s="236">
        <v>54.7</v>
      </c>
      <c r="P13" s="236" t="s">
        <v>9</v>
      </c>
      <c r="Q13" s="249"/>
      <c r="R13" s="249"/>
      <c r="S13" s="249"/>
      <c r="T13" s="249"/>
    </row>
    <row r="14" spans="1:20">
      <c r="A14" s="248">
        <v>1970</v>
      </c>
      <c r="B14" s="236">
        <v>2351.5</v>
      </c>
      <c r="C14" s="236" t="s">
        <v>9</v>
      </c>
      <c r="D14" s="236">
        <v>16.100000000000001</v>
      </c>
      <c r="E14" s="236">
        <v>13.1</v>
      </c>
      <c r="F14" s="236" t="s">
        <v>9</v>
      </c>
      <c r="G14" s="236">
        <v>11164.7</v>
      </c>
      <c r="H14" s="236" t="s">
        <v>9</v>
      </c>
      <c r="I14" s="236">
        <v>90.5</v>
      </c>
      <c r="J14" s="236">
        <v>63.5</v>
      </c>
      <c r="K14" s="236" t="s">
        <v>9</v>
      </c>
      <c r="L14" s="236">
        <v>8002</v>
      </c>
      <c r="M14" s="236" t="s">
        <v>9</v>
      </c>
      <c r="N14" s="236">
        <v>77.599999999999994</v>
      </c>
      <c r="O14" s="236">
        <v>58.3</v>
      </c>
      <c r="P14" s="236" t="s">
        <v>9</v>
      </c>
      <c r="Q14" s="249"/>
      <c r="R14" s="249"/>
      <c r="S14" s="249"/>
      <c r="T14" s="249"/>
    </row>
    <row r="15" spans="1:20">
      <c r="A15" s="248">
        <v>1971</v>
      </c>
      <c r="B15" s="236">
        <v>2557.1</v>
      </c>
      <c r="C15" s="236" t="s">
        <v>9</v>
      </c>
      <c r="D15" s="236">
        <v>15.9</v>
      </c>
      <c r="E15" s="236">
        <v>14.3</v>
      </c>
      <c r="F15" s="236" t="s">
        <v>9</v>
      </c>
      <c r="G15" s="236">
        <v>11568.7</v>
      </c>
      <c r="H15" s="236" t="s">
        <v>9</v>
      </c>
      <c r="I15" s="236">
        <v>85.3</v>
      </c>
      <c r="J15" s="236">
        <v>66.599999999999994</v>
      </c>
      <c r="K15" s="236" t="s">
        <v>9</v>
      </c>
      <c r="L15" s="236">
        <v>8285.2000000000007</v>
      </c>
      <c r="M15" s="236" t="s">
        <v>9</v>
      </c>
      <c r="N15" s="236">
        <v>72.400000000000006</v>
      </c>
      <c r="O15" s="236">
        <v>61.1</v>
      </c>
      <c r="P15" s="236" t="s">
        <v>9</v>
      </c>
      <c r="Q15" s="249"/>
      <c r="R15" s="249"/>
      <c r="S15" s="249"/>
      <c r="T15" s="249"/>
    </row>
    <row r="16" spans="1:20">
      <c r="A16" s="248">
        <v>1972</v>
      </c>
      <c r="B16" s="236">
        <v>2822.9</v>
      </c>
      <c r="C16" s="236" t="s">
        <v>9</v>
      </c>
      <c r="D16" s="236">
        <v>16</v>
      </c>
      <c r="E16" s="236">
        <v>16.600000000000001</v>
      </c>
      <c r="F16" s="236" t="s">
        <v>9</v>
      </c>
      <c r="G16" s="236">
        <v>12158.2</v>
      </c>
      <c r="H16" s="236" t="s">
        <v>9</v>
      </c>
      <c r="I16" s="236">
        <v>81.5</v>
      </c>
      <c r="J16" s="236">
        <v>75.3</v>
      </c>
      <c r="K16" s="236" t="s">
        <v>9</v>
      </c>
      <c r="L16" s="236">
        <v>8726</v>
      </c>
      <c r="M16" s="236" t="s">
        <v>9</v>
      </c>
      <c r="N16" s="236">
        <v>69.2</v>
      </c>
      <c r="O16" s="236">
        <v>69.099999999999994</v>
      </c>
      <c r="P16" s="236" t="s">
        <v>9</v>
      </c>
      <c r="Q16" s="249"/>
      <c r="R16" s="249"/>
      <c r="S16" s="249"/>
      <c r="T16" s="249"/>
    </row>
    <row r="17" spans="1:20">
      <c r="A17" s="248">
        <v>1973</v>
      </c>
      <c r="B17" s="236">
        <v>3226.8</v>
      </c>
      <c r="C17" s="236" t="s">
        <v>9</v>
      </c>
      <c r="D17" s="236">
        <v>17.600000000000001</v>
      </c>
      <c r="E17" s="236">
        <v>22.2</v>
      </c>
      <c r="F17" s="236" t="s">
        <v>9</v>
      </c>
      <c r="G17" s="236">
        <v>12908.5</v>
      </c>
      <c r="H17" s="236" t="s">
        <v>9</v>
      </c>
      <c r="I17" s="236">
        <v>82.2</v>
      </c>
      <c r="J17" s="236">
        <v>93.3</v>
      </c>
      <c r="K17" s="236" t="s">
        <v>9</v>
      </c>
      <c r="L17" s="236">
        <v>9315.7000000000007</v>
      </c>
      <c r="M17" s="236" t="s">
        <v>9</v>
      </c>
      <c r="N17" s="236">
        <v>70.400000000000006</v>
      </c>
      <c r="O17" s="236">
        <v>85.7</v>
      </c>
      <c r="P17" s="236" t="s">
        <v>9</v>
      </c>
      <c r="Q17" s="249"/>
      <c r="R17" s="249"/>
      <c r="S17" s="249"/>
      <c r="T17" s="249"/>
    </row>
    <row r="18" spans="1:20">
      <c r="A18" s="248">
        <v>1974</v>
      </c>
      <c r="B18" s="236">
        <v>4017</v>
      </c>
      <c r="C18" s="236" t="s">
        <v>9</v>
      </c>
      <c r="D18" s="236">
        <v>24</v>
      </c>
      <c r="E18" s="236">
        <v>32.1</v>
      </c>
      <c r="F18" s="236" t="s">
        <v>9</v>
      </c>
      <c r="G18" s="236">
        <v>13743.4</v>
      </c>
      <c r="H18" s="236" t="s">
        <v>9</v>
      </c>
      <c r="I18" s="236">
        <v>92.8</v>
      </c>
      <c r="J18" s="236">
        <v>113.7</v>
      </c>
      <c r="K18" s="236" t="s">
        <v>9</v>
      </c>
      <c r="L18" s="236">
        <v>9993.7999999999993</v>
      </c>
      <c r="M18" s="236" t="s">
        <v>9</v>
      </c>
      <c r="N18" s="236">
        <v>81.2</v>
      </c>
      <c r="O18" s="236">
        <v>104.6</v>
      </c>
      <c r="P18" s="236" t="s">
        <v>9</v>
      </c>
      <c r="Q18" s="249"/>
      <c r="R18" s="249"/>
      <c r="S18" s="249"/>
      <c r="T18" s="249"/>
    </row>
    <row r="19" spans="1:20">
      <c r="A19" s="248">
        <v>1975</v>
      </c>
      <c r="B19" s="236">
        <v>4876.3</v>
      </c>
      <c r="C19" s="236" t="s">
        <v>9</v>
      </c>
      <c r="D19" s="236">
        <v>31.7</v>
      </c>
      <c r="E19" s="236">
        <v>41.6</v>
      </c>
      <c r="F19" s="236" t="s">
        <v>9</v>
      </c>
      <c r="G19" s="236">
        <v>14598</v>
      </c>
      <c r="H19" s="236" t="s">
        <v>9</v>
      </c>
      <c r="I19" s="236">
        <v>104.3</v>
      </c>
      <c r="J19" s="236">
        <v>128</v>
      </c>
      <c r="K19" s="236" t="s">
        <v>9</v>
      </c>
      <c r="L19" s="236">
        <v>10710.3</v>
      </c>
      <c r="M19" s="236" t="s">
        <v>9</v>
      </c>
      <c r="N19" s="236">
        <v>92.7</v>
      </c>
      <c r="O19" s="236">
        <v>118.2</v>
      </c>
      <c r="P19" s="236" t="s">
        <v>9</v>
      </c>
      <c r="Q19" s="249"/>
      <c r="R19" s="249"/>
      <c r="S19" s="249"/>
      <c r="T19" s="249"/>
    </row>
    <row r="20" spans="1:20">
      <c r="A20" s="248">
        <v>1976</v>
      </c>
      <c r="B20" s="236">
        <v>5455.8</v>
      </c>
      <c r="C20" s="236" t="s">
        <v>9</v>
      </c>
      <c r="D20" s="236">
        <v>33.200000000000003</v>
      </c>
      <c r="E20" s="236">
        <v>46.6</v>
      </c>
      <c r="F20" s="236" t="s">
        <v>9</v>
      </c>
      <c r="G20" s="236">
        <v>15309.5</v>
      </c>
      <c r="H20" s="236" t="s">
        <v>9</v>
      </c>
      <c r="I20" s="236">
        <v>103.3</v>
      </c>
      <c r="J20" s="236">
        <v>134.30000000000001</v>
      </c>
      <c r="K20" s="236" t="s">
        <v>9</v>
      </c>
      <c r="L20" s="236">
        <v>11304.1</v>
      </c>
      <c r="M20" s="236" t="s">
        <v>9</v>
      </c>
      <c r="N20" s="236">
        <v>92.1</v>
      </c>
      <c r="O20" s="236">
        <v>124.5</v>
      </c>
      <c r="P20" s="236" t="s">
        <v>9</v>
      </c>
      <c r="Q20" s="249"/>
      <c r="R20" s="249"/>
      <c r="S20" s="249"/>
      <c r="T20" s="249"/>
    </row>
    <row r="21" spans="1:20">
      <c r="A21" s="248">
        <v>1977</v>
      </c>
      <c r="B21" s="236">
        <v>6055.7</v>
      </c>
      <c r="C21" s="236" t="s">
        <v>9</v>
      </c>
      <c r="D21" s="236">
        <v>32.6</v>
      </c>
      <c r="E21" s="236">
        <v>51.3</v>
      </c>
      <c r="F21" s="236" t="s">
        <v>9</v>
      </c>
      <c r="G21" s="236">
        <v>15863.3</v>
      </c>
      <c r="H21" s="236" t="s">
        <v>9</v>
      </c>
      <c r="I21" s="236">
        <v>94.8</v>
      </c>
      <c r="J21" s="236">
        <v>135.19999999999999</v>
      </c>
      <c r="K21" s="236" t="s">
        <v>9</v>
      </c>
      <c r="L21" s="236">
        <v>11788</v>
      </c>
      <c r="M21" s="236" t="s">
        <v>9</v>
      </c>
      <c r="N21" s="236">
        <v>84</v>
      </c>
      <c r="O21" s="236">
        <v>125.6</v>
      </c>
      <c r="P21" s="236" t="s">
        <v>9</v>
      </c>
      <c r="Q21" s="249"/>
      <c r="R21" s="249"/>
      <c r="S21" s="249"/>
      <c r="T21" s="249"/>
    </row>
    <row r="22" spans="1:20">
      <c r="A22" s="248">
        <v>1978</v>
      </c>
      <c r="B22" s="236">
        <v>6760.8</v>
      </c>
      <c r="C22" s="236" t="s">
        <v>9</v>
      </c>
      <c r="D22" s="236">
        <v>33.1</v>
      </c>
      <c r="E22" s="236">
        <v>55.8</v>
      </c>
      <c r="F22" s="236" t="s">
        <v>9</v>
      </c>
      <c r="G22" s="236">
        <v>16331.2</v>
      </c>
      <c r="H22" s="236" t="s">
        <v>9</v>
      </c>
      <c r="I22" s="236">
        <v>88.1</v>
      </c>
      <c r="J22" s="236">
        <v>133.1</v>
      </c>
      <c r="K22" s="236" t="s">
        <v>9</v>
      </c>
      <c r="L22" s="236">
        <v>12227.6</v>
      </c>
      <c r="M22" s="236" t="s">
        <v>9</v>
      </c>
      <c r="N22" s="236">
        <v>77.5</v>
      </c>
      <c r="O22" s="236">
        <v>123.9</v>
      </c>
      <c r="P22" s="236" t="s">
        <v>9</v>
      </c>
      <c r="Q22" s="249"/>
      <c r="R22" s="249"/>
      <c r="S22" s="249"/>
      <c r="T22" s="249"/>
    </row>
    <row r="23" spans="1:20">
      <c r="A23" s="248">
        <v>1979</v>
      </c>
      <c r="B23" s="236">
        <v>7638.7</v>
      </c>
      <c r="C23" s="236" t="s">
        <v>9</v>
      </c>
      <c r="D23" s="236">
        <v>35.799999999999997</v>
      </c>
      <c r="E23" s="236">
        <v>61.5</v>
      </c>
      <c r="F23" s="236" t="s">
        <v>9</v>
      </c>
      <c r="G23" s="236">
        <v>16757</v>
      </c>
      <c r="H23" s="236" t="s">
        <v>9</v>
      </c>
      <c r="I23" s="236">
        <v>86.1</v>
      </c>
      <c r="J23" s="236">
        <v>132.4</v>
      </c>
      <c r="K23" s="236" t="s">
        <v>9</v>
      </c>
      <c r="L23" s="236">
        <v>12664</v>
      </c>
      <c r="M23" s="236" t="s">
        <v>9</v>
      </c>
      <c r="N23" s="236">
        <v>75.599999999999994</v>
      </c>
      <c r="O23" s="236">
        <v>123.4</v>
      </c>
      <c r="P23" s="236" t="s">
        <v>9</v>
      </c>
      <c r="Q23" s="249"/>
      <c r="R23" s="249"/>
      <c r="S23" s="249"/>
      <c r="T23" s="249"/>
    </row>
    <row r="24" spans="1:20">
      <c r="A24" s="248">
        <v>1980</v>
      </c>
      <c r="B24" s="236">
        <v>8700.1</v>
      </c>
      <c r="C24" s="236" t="s">
        <v>9</v>
      </c>
      <c r="D24" s="236">
        <v>40.799999999999997</v>
      </c>
      <c r="E24" s="236">
        <v>70.5</v>
      </c>
      <c r="F24" s="236" t="s">
        <v>9</v>
      </c>
      <c r="G24" s="236">
        <v>17259</v>
      </c>
      <c r="H24" s="236" t="s">
        <v>9</v>
      </c>
      <c r="I24" s="236">
        <v>86.9</v>
      </c>
      <c r="J24" s="236">
        <v>135</v>
      </c>
      <c r="K24" s="236" t="s">
        <v>9</v>
      </c>
      <c r="L24" s="236">
        <v>13195.4</v>
      </c>
      <c r="M24" s="236" t="s">
        <v>9</v>
      </c>
      <c r="N24" s="236">
        <v>76.099999999999994</v>
      </c>
      <c r="O24" s="236">
        <v>126.2</v>
      </c>
      <c r="P24" s="236" t="s">
        <v>9</v>
      </c>
      <c r="Q24" s="249"/>
      <c r="R24" s="249"/>
      <c r="S24" s="249"/>
      <c r="T24" s="249"/>
    </row>
    <row r="25" spans="1:20">
      <c r="A25" s="248">
        <v>1981</v>
      </c>
      <c r="B25" s="236">
        <v>9954.7999999999993</v>
      </c>
      <c r="C25" s="236" t="s">
        <v>9</v>
      </c>
      <c r="D25" s="236">
        <v>46.4</v>
      </c>
      <c r="E25" s="236">
        <v>79.099999999999994</v>
      </c>
      <c r="F25" s="236" t="s">
        <v>9</v>
      </c>
      <c r="G25" s="236">
        <v>17712.099999999999</v>
      </c>
      <c r="H25" s="236" t="s">
        <v>9</v>
      </c>
      <c r="I25" s="236">
        <v>86.5</v>
      </c>
      <c r="J25" s="236">
        <v>135.5</v>
      </c>
      <c r="K25" s="236" t="s">
        <v>9</v>
      </c>
      <c r="L25" s="236">
        <v>13715.1</v>
      </c>
      <c r="M25" s="236" t="s">
        <v>9</v>
      </c>
      <c r="N25" s="236">
        <v>75.5</v>
      </c>
      <c r="O25" s="236">
        <v>126.7</v>
      </c>
      <c r="P25" s="236" t="s">
        <v>9</v>
      </c>
      <c r="Q25" s="249"/>
      <c r="R25" s="249"/>
      <c r="S25" s="249"/>
      <c r="T25" s="249"/>
    </row>
    <row r="26" spans="1:20">
      <c r="A26" s="248">
        <v>1982</v>
      </c>
      <c r="B26" s="236">
        <v>10961.1</v>
      </c>
      <c r="C26" s="236" t="s">
        <v>9</v>
      </c>
      <c r="D26" s="236">
        <v>46</v>
      </c>
      <c r="E26" s="236">
        <v>88.1</v>
      </c>
      <c r="F26" s="236" t="s">
        <v>9</v>
      </c>
      <c r="G26" s="236">
        <v>17965.2</v>
      </c>
      <c r="H26" s="236" t="s">
        <v>9</v>
      </c>
      <c r="I26" s="236">
        <v>81.5</v>
      </c>
      <c r="J26" s="236">
        <v>139.5</v>
      </c>
      <c r="K26" s="236" t="s">
        <v>9</v>
      </c>
      <c r="L26" s="236">
        <v>14041</v>
      </c>
      <c r="M26" s="236" t="s">
        <v>9</v>
      </c>
      <c r="N26" s="236">
        <v>70.400000000000006</v>
      </c>
      <c r="O26" s="236">
        <v>130.69999999999999</v>
      </c>
      <c r="P26" s="236" t="s">
        <v>9</v>
      </c>
      <c r="Q26" s="249"/>
      <c r="R26" s="249"/>
      <c r="S26" s="249"/>
      <c r="T26" s="249"/>
    </row>
    <row r="27" spans="1:20">
      <c r="A27" s="248">
        <v>1983</v>
      </c>
      <c r="B27" s="236">
        <v>11445</v>
      </c>
      <c r="C27" s="236" t="s">
        <v>9</v>
      </c>
      <c r="D27" s="236">
        <v>43</v>
      </c>
      <c r="E27" s="236">
        <v>92.9</v>
      </c>
      <c r="F27" s="236" t="s">
        <v>9</v>
      </c>
      <c r="G27" s="236">
        <v>18087.3</v>
      </c>
      <c r="H27" s="236" t="s">
        <v>9</v>
      </c>
      <c r="I27" s="236">
        <v>74.3</v>
      </c>
      <c r="J27" s="236">
        <v>144</v>
      </c>
      <c r="K27" s="236" t="s">
        <v>9</v>
      </c>
      <c r="L27" s="236">
        <v>14319.5</v>
      </c>
      <c r="M27" s="236" t="s">
        <v>9</v>
      </c>
      <c r="N27" s="236">
        <v>63.5</v>
      </c>
      <c r="O27" s="236">
        <v>135.30000000000001</v>
      </c>
      <c r="P27" s="236" t="s">
        <v>9</v>
      </c>
      <c r="Q27" s="249"/>
      <c r="R27" s="249"/>
      <c r="S27" s="249"/>
      <c r="T27" s="249"/>
    </row>
    <row r="28" spans="1:20">
      <c r="A28" s="248">
        <v>1984</v>
      </c>
      <c r="B28" s="236">
        <v>12277.7</v>
      </c>
      <c r="C28" s="236" t="s">
        <v>9</v>
      </c>
      <c r="D28" s="236">
        <v>43.3</v>
      </c>
      <c r="E28" s="236">
        <v>95.7</v>
      </c>
      <c r="F28" s="236" t="s">
        <v>9</v>
      </c>
      <c r="G28" s="236">
        <v>18331.7</v>
      </c>
      <c r="H28" s="236" t="s">
        <v>9</v>
      </c>
      <c r="I28" s="236">
        <v>68.900000000000006</v>
      </c>
      <c r="J28" s="236">
        <v>141.5</v>
      </c>
      <c r="K28" s="236" t="s">
        <v>9</v>
      </c>
      <c r="L28" s="236">
        <v>14750.2</v>
      </c>
      <c r="M28" s="236" t="s">
        <v>9</v>
      </c>
      <c r="N28" s="236">
        <v>58.5</v>
      </c>
      <c r="O28" s="236">
        <v>133.1</v>
      </c>
      <c r="P28" s="236" t="s">
        <v>9</v>
      </c>
      <c r="Q28" s="249"/>
      <c r="R28" s="249"/>
      <c r="S28" s="249"/>
      <c r="T28" s="249"/>
    </row>
    <row r="29" spans="1:20">
      <c r="A29" s="248">
        <v>1985</v>
      </c>
      <c r="B29" s="236">
        <v>13146.3</v>
      </c>
      <c r="C29" s="236" t="s">
        <v>9</v>
      </c>
      <c r="D29" s="236">
        <v>41.8</v>
      </c>
      <c r="E29" s="236">
        <v>100.9</v>
      </c>
      <c r="F29" s="236" t="s">
        <v>9</v>
      </c>
      <c r="G29" s="236">
        <v>18736.400000000001</v>
      </c>
      <c r="H29" s="236" t="s">
        <v>9</v>
      </c>
      <c r="I29" s="236">
        <v>64.5</v>
      </c>
      <c r="J29" s="236">
        <v>141.30000000000001</v>
      </c>
      <c r="K29" s="236" t="s">
        <v>9</v>
      </c>
      <c r="L29" s="236">
        <v>15320</v>
      </c>
      <c r="M29" s="236" t="s">
        <v>9</v>
      </c>
      <c r="N29" s="236">
        <v>54.7</v>
      </c>
      <c r="O29" s="236">
        <v>133.19999999999999</v>
      </c>
      <c r="P29" s="236" t="s">
        <v>9</v>
      </c>
      <c r="Q29" s="249"/>
      <c r="R29" s="249"/>
      <c r="S29" s="249"/>
      <c r="T29" s="249"/>
    </row>
    <row r="30" spans="1:20">
      <c r="A30" s="248">
        <v>1986</v>
      </c>
      <c r="B30" s="236">
        <v>14029.6</v>
      </c>
      <c r="C30" s="236" t="s">
        <v>9</v>
      </c>
      <c r="D30" s="236">
        <v>39.6</v>
      </c>
      <c r="E30" s="236">
        <v>106.8</v>
      </c>
      <c r="F30" s="236" t="s">
        <v>9</v>
      </c>
      <c r="G30" s="236">
        <v>19172.2</v>
      </c>
      <c r="H30" s="236" t="s">
        <v>9</v>
      </c>
      <c r="I30" s="236">
        <v>60.7</v>
      </c>
      <c r="J30" s="236">
        <v>144.1</v>
      </c>
      <c r="K30" s="236" t="s">
        <v>9</v>
      </c>
      <c r="L30" s="236">
        <v>15910.1</v>
      </c>
      <c r="M30" s="236" t="s">
        <v>9</v>
      </c>
      <c r="N30" s="236">
        <v>51.3</v>
      </c>
      <c r="O30" s="236">
        <v>136.1</v>
      </c>
      <c r="P30" s="236" t="s">
        <v>9</v>
      </c>
      <c r="Q30" s="249"/>
      <c r="R30" s="249"/>
      <c r="S30" s="249"/>
      <c r="T30" s="249"/>
    </row>
    <row r="31" spans="1:20">
      <c r="A31" s="248">
        <v>1987</v>
      </c>
      <c r="B31" s="236">
        <v>14866</v>
      </c>
      <c r="C31" s="236" t="s">
        <v>9</v>
      </c>
      <c r="D31" s="236">
        <v>38.5</v>
      </c>
      <c r="E31" s="236">
        <v>110.2</v>
      </c>
      <c r="F31" s="236" t="s">
        <v>9</v>
      </c>
      <c r="G31" s="236">
        <v>19712.2</v>
      </c>
      <c r="H31" s="236" t="s">
        <v>9</v>
      </c>
      <c r="I31" s="236">
        <v>58</v>
      </c>
      <c r="J31" s="236">
        <v>147.5</v>
      </c>
      <c r="K31" s="236" t="s">
        <v>9</v>
      </c>
      <c r="L31" s="236">
        <v>16637.900000000001</v>
      </c>
      <c r="M31" s="236" t="s">
        <v>9</v>
      </c>
      <c r="N31" s="236">
        <v>48.9</v>
      </c>
      <c r="O31" s="236">
        <v>139.5</v>
      </c>
      <c r="P31" s="236" t="s">
        <v>9</v>
      </c>
      <c r="Q31" s="249"/>
      <c r="R31" s="249"/>
      <c r="S31" s="249"/>
      <c r="T31" s="249"/>
    </row>
    <row r="32" spans="1:20">
      <c r="A32" s="248">
        <v>1988</v>
      </c>
      <c r="B32" s="236">
        <v>15955.6</v>
      </c>
      <c r="C32" s="236" t="s">
        <v>9</v>
      </c>
      <c r="D32" s="236">
        <v>38.200000000000003</v>
      </c>
      <c r="E32" s="236">
        <v>119.1</v>
      </c>
      <c r="F32" s="236" t="s">
        <v>9</v>
      </c>
      <c r="G32" s="236">
        <v>20480.599999999999</v>
      </c>
      <c r="H32" s="236" t="s">
        <v>9</v>
      </c>
      <c r="I32" s="236">
        <v>56.7</v>
      </c>
      <c r="J32" s="236">
        <v>158.69999999999999</v>
      </c>
      <c r="K32" s="236" t="s">
        <v>9</v>
      </c>
      <c r="L32" s="236">
        <v>17598.400000000001</v>
      </c>
      <c r="M32" s="236" t="s">
        <v>9</v>
      </c>
      <c r="N32" s="236">
        <v>48.1</v>
      </c>
      <c r="O32" s="236">
        <v>150.69999999999999</v>
      </c>
      <c r="P32" s="236" t="s">
        <v>9</v>
      </c>
      <c r="Q32" s="249"/>
      <c r="R32" s="249"/>
      <c r="S32" s="249"/>
      <c r="T32" s="249"/>
    </row>
    <row r="33" spans="1:20">
      <c r="A33" s="248">
        <v>1989</v>
      </c>
      <c r="B33" s="236">
        <v>17234.400000000001</v>
      </c>
      <c r="C33" s="236" t="s">
        <v>9</v>
      </c>
      <c r="D33" s="236">
        <v>39.700000000000003</v>
      </c>
      <c r="E33" s="236">
        <v>133.69999999999999</v>
      </c>
      <c r="F33" s="236" t="s">
        <v>9</v>
      </c>
      <c r="G33" s="236">
        <v>21414.2</v>
      </c>
      <c r="H33" s="236" t="s">
        <v>9</v>
      </c>
      <c r="I33" s="236">
        <v>56.6</v>
      </c>
      <c r="J33" s="236">
        <v>172.8</v>
      </c>
      <c r="K33" s="236" t="s">
        <v>9</v>
      </c>
      <c r="L33" s="236">
        <v>18668.2</v>
      </c>
      <c r="M33" s="236" t="s">
        <v>9</v>
      </c>
      <c r="N33" s="236">
        <v>48.3</v>
      </c>
      <c r="O33" s="236">
        <v>164.5</v>
      </c>
      <c r="P33" s="236" t="s">
        <v>9</v>
      </c>
      <c r="Q33" s="249"/>
      <c r="R33" s="249"/>
      <c r="S33" s="249"/>
      <c r="T33" s="249"/>
    </row>
    <row r="34" spans="1:20">
      <c r="A34" s="248">
        <v>1990</v>
      </c>
      <c r="B34" s="236">
        <v>18419.7</v>
      </c>
      <c r="C34" s="236" t="s">
        <v>9</v>
      </c>
      <c r="D34" s="236">
        <v>40.9</v>
      </c>
      <c r="E34" s="236">
        <v>140</v>
      </c>
      <c r="F34" s="236" t="s">
        <v>9</v>
      </c>
      <c r="G34" s="236">
        <v>22244.5</v>
      </c>
      <c r="H34" s="236" t="s">
        <v>9</v>
      </c>
      <c r="I34" s="236">
        <v>55.8</v>
      </c>
      <c r="J34" s="236">
        <v>177.8</v>
      </c>
      <c r="K34" s="236" t="s">
        <v>9</v>
      </c>
      <c r="L34" s="236">
        <v>19557.8</v>
      </c>
      <c r="M34" s="236" t="s">
        <v>9</v>
      </c>
      <c r="N34" s="236">
        <v>47.9</v>
      </c>
      <c r="O34" s="236">
        <v>169.3</v>
      </c>
      <c r="P34" s="236" t="s">
        <v>9</v>
      </c>
      <c r="Q34" s="249"/>
      <c r="R34" s="249"/>
      <c r="S34" s="249"/>
      <c r="T34" s="249"/>
    </row>
    <row r="35" spans="1:20">
      <c r="A35" s="248">
        <v>1991</v>
      </c>
      <c r="B35" s="236">
        <v>18410.7</v>
      </c>
      <c r="C35" s="236" t="s">
        <v>9</v>
      </c>
      <c r="D35" s="236">
        <v>37.5</v>
      </c>
      <c r="E35" s="236">
        <v>137.4</v>
      </c>
      <c r="F35" s="236" t="s">
        <v>9</v>
      </c>
      <c r="G35" s="236">
        <v>22814.6</v>
      </c>
      <c r="H35" s="236" t="s">
        <v>9</v>
      </c>
      <c r="I35" s="236">
        <v>53.1</v>
      </c>
      <c r="J35" s="236">
        <v>176.9</v>
      </c>
      <c r="K35" s="236" t="s">
        <v>9</v>
      </c>
      <c r="L35" s="236">
        <v>20195.099999999999</v>
      </c>
      <c r="M35" s="236" t="s">
        <v>9</v>
      </c>
      <c r="N35" s="236">
        <v>45.6</v>
      </c>
      <c r="O35" s="236">
        <v>168.8</v>
      </c>
      <c r="P35" s="236" t="s">
        <v>9</v>
      </c>
      <c r="Q35" s="249"/>
      <c r="R35" s="249"/>
      <c r="S35" s="249"/>
      <c r="T35" s="249"/>
    </row>
    <row r="36" spans="1:20">
      <c r="A36" s="248">
        <v>1992</v>
      </c>
      <c r="B36" s="236">
        <v>19038.2</v>
      </c>
      <c r="C36" s="236" t="s">
        <v>9</v>
      </c>
      <c r="D36" s="236">
        <v>36.4</v>
      </c>
      <c r="E36" s="236">
        <v>138.9</v>
      </c>
      <c r="F36" s="236" t="s">
        <v>9</v>
      </c>
      <c r="G36" s="236">
        <v>23244</v>
      </c>
      <c r="H36" s="236" t="s">
        <v>9</v>
      </c>
      <c r="I36" s="236">
        <v>50.4</v>
      </c>
      <c r="J36" s="236">
        <v>173.1</v>
      </c>
      <c r="K36" s="236" t="s">
        <v>9</v>
      </c>
      <c r="L36" s="236">
        <v>20776.099999999999</v>
      </c>
      <c r="M36" s="236" t="s">
        <v>9</v>
      </c>
      <c r="N36" s="236">
        <v>43.1</v>
      </c>
      <c r="O36" s="236">
        <v>165.3</v>
      </c>
      <c r="P36" s="236" t="s">
        <v>9</v>
      </c>
      <c r="Q36" s="249"/>
      <c r="R36" s="249"/>
      <c r="S36" s="249"/>
      <c r="T36" s="249"/>
    </row>
    <row r="37" spans="1:20">
      <c r="A37" s="248">
        <v>1993</v>
      </c>
      <c r="B37" s="236">
        <v>19721.599999999999</v>
      </c>
      <c r="C37" s="236" t="s">
        <v>9</v>
      </c>
      <c r="D37" s="236">
        <v>37.200000000000003</v>
      </c>
      <c r="E37" s="236">
        <v>140.80000000000001</v>
      </c>
      <c r="F37" s="236" t="s">
        <v>9</v>
      </c>
      <c r="G37" s="236">
        <v>23582.400000000001</v>
      </c>
      <c r="H37" s="236" t="s">
        <v>9</v>
      </c>
      <c r="I37" s="236">
        <v>50.4</v>
      </c>
      <c r="J37" s="236">
        <v>168.2</v>
      </c>
      <c r="K37" s="236" t="s">
        <v>9</v>
      </c>
      <c r="L37" s="236">
        <v>21267.200000000001</v>
      </c>
      <c r="M37" s="236" t="s">
        <v>9</v>
      </c>
      <c r="N37" s="236">
        <v>43.4</v>
      </c>
      <c r="O37" s="236">
        <v>161.5</v>
      </c>
      <c r="P37" s="236" t="s">
        <v>9</v>
      </c>
      <c r="Q37" s="249"/>
      <c r="R37" s="249"/>
      <c r="S37" s="249"/>
      <c r="T37" s="249"/>
    </row>
    <row r="38" spans="1:20">
      <c r="A38" s="248">
        <v>1994</v>
      </c>
      <c r="B38" s="236">
        <v>20689.3</v>
      </c>
      <c r="C38" s="236" t="s">
        <v>9</v>
      </c>
      <c r="D38" s="236">
        <v>48.7</v>
      </c>
      <c r="E38" s="236">
        <v>156.80000000000001</v>
      </c>
      <c r="F38" s="236" t="s">
        <v>9</v>
      </c>
      <c r="G38" s="236">
        <v>23993.9</v>
      </c>
      <c r="H38" s="236" t="s">
        <v>9</v>
      </c>
      <c r="I38" s="236">
        <v>61.3</v>
      </c>
      <c r="J38" s="236">
        <v>178.6</v>
      </c>
      <c r="K38" s="236" t="s">
        <v>9</v>
      </c>
      <c r="L38" s="236">
        <v>21778.7</v>
      </c>
      <c r="M38" s="236" t="s">
        <v>9</v>
      </c>
      <c r="N38" s="236">
        <v>54.7</v>
      </c>
      <c r="O38" s="236">
        <v>172.3</v>
      </c>
      <c r="P38" s="236" t="s">
        <v>9</v>
      </c>
      <c r="Q38" s="249"/>
      <c r="R38" s="249"/>
      <c r="S38" s="249"/>
      <c r="T38" s="249"/>
    </row>
    <row r="39" spans="1:20">
      <c r="A39" s="248">
        <v>1995</v>
      </c>
      <c r="B39" s="236">
        <v>21692.400000000001</v>
      </c>
      <c r="C39" s="236" t="s">
        <v>9</v>
      </c>
      <c r="D39" s="236">
        <v>59.4</v>
      </c>
      <c r="E39" s="236">
        <v>189.8</v>
      </c>
      <c r="F39" s="236" t="s">
        <v>9</v>
      </c>
      <c r="G39" s="236">
        <v>24514.799999999999</v>
      </c>
      <c r="H39" s="236" t="s">
        <v>9</v>
      </c>
      <c r="I39" s="236">
        <v>69.900000000000006</v>
      </c>
      <c r="J39" s="236">
        <v>207.8</v>
      </c>
      <c r="K39" s="236" t="s">
        <v>9</v>
      </c>
      <c r="L39" s="236">
        <v>22421.9</v>
      </c>
      <c r="M39" s="236" t="s">
        <v>9</v>
      </c>
      <c r="N39" s="236">
        <v>63.8</v>
      </c>
      <c r="O39" s="236">
        <v>201.4</v>
      </c>
      <c r="P39" s="236" t="s">
        <v>9</v>
      </c>
      <c r="Q39" s="249"/>
      <c r="R39" s="249"/>
      <c r="S39" s="249"/>
      <c r="T39" s="249"/>
    </row>
    <row r="40" spans="1:20">
      <c r="A40" s="248">
        <v>1996</v>
      </c>
      <c r="B40" s="236">
        <v>22681.4</v>
      </c>
      <c r="C40" s="236" t="s">
        <v>9</v>
      </c>
      <c r="D40" s="236">
        <v>60.3</v>
      </c>
      <c r="E40" s="236">
        <v>225.5</v>
      </c>
      <c r="F40" s="236" t="s">
        <v>9</v>
      </c>
      <c r="G40" s="236">
        <v>25025.4</v>
      </c>
      <c r="H40" s="236" t="s">
        <v>9</v>
      </c>
      <c r="I40" s="236">
        <v>68.7</v>
      </c>
      <c r="J40" s="236">
        <v>240.3</v>
      </c>
      <c r="K40" s="236" t="s">
        <v>9</v>
      </c>
      <c r="L40" s="236">
        <v>23137.200000000001</v>
      </c>
      <c r="M40" s="236" t="s">
        <v>9</v>
      </c>
      <c r="N40" s="236">
        <v>62.8</v>
      </c>
      <c r="O40" s="236">
        <v>234.4</v>
      </c>
      <c r="P40" s="236" t="s">
        <v>9</v>
      </c>
      <c r="Q40" s="249"/>
      <c r="R40" s="249"/>
      <c r="S40" s="249"/>
      <c r="T40" s="249"/>
    </row>
    <row r="41" spans="1:20">
      <c r="A41" s="248">
        <v>1997</v>
      </c>
      <c r="B41" s="236">
        <v>24075.200000000001</v>
      </c>
      <c r="C41" s="236" t="s">
        <v>9</v>
      </c>
      <c r="D41" s="236">
        <v>63.7</v>
      </c>
      <c r="E41" s="236">
        <v>272.8</v>
      </c>
      <c r="F41" s="236" t="s">
        <v>9</v>
      </c>
      <c r="G41" s="236">
        <v>25672.400000000001</v>
      </c>
      <c r="H41" s="236" t="s">
        <v>9</v>
      </c>
      <c r="I41" s="236">
        <v>70.099999999999994</v>
      </c>
      <c r="J41" s="236">
        <v>279</v>
      </c>
      <c r="K41" s="236" t="s">
        <v>9</v>
      </c>
      <c r="L41" s="236">
        <v>24035</v>
      </c>
      <c r="M41" s="236" t="s">
        <v>9</v>
      </c>
      <c r="N41" s="236">
        <v>64.3</v>
      </c>
      <c r="O41" s="236">
        <v>273.89999999999998</v>
      </c>
      <c r="P41" s="236" t="s">
        <v>9</v>
      </c>
      <c r="Q41" s="249"/>
      <c r="R41" s="249"/>
      <c r="S41" s="249"/>
      <c r="T41" s="249"/>
    </row>
    <row r="42" spans="1:20">
      <c r="A42" s="248">
        <v>1998</v>
      </c>
      <c r="B42" s="236">
        <v>25644.3</v>
      </c>
      <c r="C42" s="236" t="s">
        <v>9</v>
      </c>
      <c r="D42" s="236">
        <v>67</v>
      </c>
      <c r="E42" s="236">
        <v>315.89999999999998</v>
      </c>
      <c r="F42" s="236" t="s">
        <v>9</v>
      </c>
      <c r="G42" s="236">
        <v>26516.799999999999</v>
      </c>
      <c r="H42" s="236" t="s">
        <v>9</v>
      </c>
      <c r="I42" s="236">
        <v>70</v>
      </c>
      <c r="J42" s="236">
        <v>307.10000000000002</v>
      </c>
      <c r="K42" s="236" t="s">
        <v>9</v>
      </c>
      <c r="L42" s="236">
        <v>25255.1</v>
      </c>
      <c r="M42" s="236" t="s">
        <v>9</v>
      </c>
      <c r="N42" s="236">
        <v>65.3</v>
      </c>
      <c r="O42" s="236">
        <v>304</v>
      </c>
      <c r="P42" s="236" t="s">
        <v>9</v>
      </c>
      <c r="Q42" s="249"/>
      <c r="R42" s="249"/>
      <c r="S42" s="249"/>
      <c r="T42" s="249"/>
    </row>
    <row r="43" spans="1:20">
      <c r="A43" s="248">
        <v>1999</v>
      </c>
      <c r="B43" s="236">
        <v>27122.7</v>
      </c>
      <c r="C43" s="236" t="s">
        <v>9</v>
      </c>
      <c r="D43" s="236">
        <v>73.7</v>
      </c>
      <c r="E43" s="236">
        <v>336.1</v>
      </c>
      <c r="F43" s="236" t="s">
        <v>9</v>
      </c>
      <c r="G43" s="236">
        <v>27628.2</v>
      </c>
      <c r="H43" s="236" t="s">
        <v>9</v>
      </c>
      <c r="I43" s="236">
        <v>72.900000000000006</v>
      </c>
      <c r="J43" s="236">
        <v>322.5</v>
      </c>
      <c r="K43" s="236" t="s">
        <v>9</v>
      </c>
      <c r="L43" s="236">
        <v>26793.1</v>
      </c>
      <c r="M43" s="236" t="s">
        <v>9</v>
      </c>
      <c r="N43" s="236">
        <v>70.5</v>
      </c>
      <c r="O43" s="236">
        <v>319.5</v>
      </c>
      <c r="P43" s="236" t="s">
        <v>9</v>
      </c>
      <c r="Q43" s="249"/>
      <c r="R43" s="249"/>
      <c r="S43" s="249"/>
      <c r="T43" s="249"/>
    </row>
    <row r="44" spans="1:20">
      <c r="A44" s="248">
        <v>2000</v>
      </c>
      <c r="B44" s="236">
        <v>29121.4</v>
      </c>
      <c r="C44" s="236" t="s">
        <v>9</v>
      </c>
      <c r="D44" s="236" t="s">
        <v>9</v>
      </c>
      <c r="E44" s="236">
        <v>371.8</v>
      </c>
      <c r="F44" s="236" t="s">
        <v>9</v>
      </c>
      <c r="G44" s="236">
        <v>28914.6</v>
      </c>
      <c r="H44" s="236" t="s">
        <v>9</v>
      </c>
      <c r="I44" s="236" t="s">
        <v>9</v>
      </c>
      <c r="J44" s="236">
        <v>350.8</v>
      </c>
      <c r="K44" s="236" t="s">
        <v>9</v>
      </c>
      <c r="L44" s="236">
        <v>28444.5</v>
      </c>
      <c r="M44" s="236" t="s">
        <v>9</v>
      </c>
      <c r="N44" s="236" t="s">
        <v>9</v>
      </c>
      <c r="O44" s="236">
        <v>347.7</v>
      </c>
      <c r="P44" s="236" t="s">
        <v>9</v>
      </c>
      <c r="Q44" s="249"/>
      <c r="R44" s="249"/>
      <c r="S44" s="249"/>
      <c r="T44" s="249"/>
    </row>
    <row r="45" spans="1:20">
      <c r="A45" s="248">
        <v>2001</v>
      </c>
      <c r="B45" s="236">
        <v>30880.400000000001</v>
      </c>
      <c r="C45" s="236" t="s">
        <v>9</v>
      </c>
      <c r="D45" s="236" t="s">
        <v>9</v>
      </c>
      <c r="E45" s="236">
        <v>393.2</v>
      </c>
      <c r="F45" s="236" t="s">
        <v>9</v>
      </c>
      <c r="G45" s="236">
        <v>29937.8</v>
      </c>
      <c r="H45" s="236" t="s">
        <v>9</v>
      </c>
      <c r="I45" s="236" t="s">
        <v>9</v>
      </c>
      <c r="J45" s="236">
        <v>357.5</v>
      </c>
      <c r="K45" s="236" t="s">
        <v>9</v>
      </c>
      <c r="L45" s="236">
        <v>29702.1</v>
      </c>
      <c r="M45" s="236" t="s">
        <v>9</v>
      </c>
      <c r="N45" s="236" t="s">
        <v>9</v>
      </c>
      <c r="O45" s="236">
        <v>355.9</v>
      </c>
      <c r="P45" s="236" t="s">
        <v>9</v>
      </c>
      <c r="Q45" s="249"/>
      <c r="R45" s="249"/>
      <c r="S45" s="249"/>
      <c r="T45" s="249"/>
    </row>
    <row r="46" spans="1:20">
      <c r="A46" s="248">
        <v>2002</v>
      </c>
      <c r="B46" s="236">
        <v>32085.599999999999</v>
      </c>
      <c r="C46" s="236" t="s">
        <v>9</v>
      </c>
      <c r="D46" s="236" t="s">
        <v>9</v>
      </c>
      <c r="E46" s="236">
        <v>376.1</v>
      </c>
      <c r="F46" s="236" t="s">
        <v>9</v>
      </c>
      <c r="G46" s="236">
        <v>30792.5</v>
      </c>
      <c r="H46" s="236" t="s">
        <v>9</v>
      </c>
      <c r="I46" s="236" t="s">
        <v>9</v>
      </c>
      <c r="J46" s="236">
        <v>334.9</v>
      </c>
      <c r="K46" s="236" t="s">
        <v>9</v>
      </c>
      <c r="L46" s="236">
        <v>30561.5</v>
      </c>
      <c r="M46" s="236" t="s">
        <v>9</v>
      </c>
      <c r="N46" s="236" t="s">
        <v>9</v>
      </c>
      <c r="O46" s="236">
        <v>332.3</v>
      </c>
      <c r="P46" s="236" t="s">
        <v>9</v>
      </c>
      <c r="Q46" s="249"/>
      <c r="R46" s="249"/>
      <c r="S46" s="249"/>
      <c r="T46" s="249"/>
    </row>
    <row r="47" spans="1:20">
      <c r="A47" s="248">
        <v>2003</v>
      </c>
      <c r="B47" s="236">
        <v>31832</v>
      </c>
      <c r="C47" s="236" t="s">
        <v>9</v>
      </c>
      <c r="D47" s="236" t="s">
        <v>9</v>
      </c>
      <c r="E47" s="236">
        <v>333.2</v>
      </c>
      <c r="F47" s="236" t="s">
        <v>9</v>
      </c>
      <c r="G47" s="236">
        <v>31661.200000000001</v>
      </c>
      <c r="H47" s="236" t="s">
        <v>9</v>
      </c>
      <c r="I47" s="236" t="s">
        <v>9</v>
      </c>
      <c r="J47" s="236">
        <v>316.8</v>
      </c>
      <c r="K47" s="236" t="s">
        <v>9</v>
      </c>
      <c r="L47" s="236">
        <v>31383</v>
      </c>
      <c r="M47" s="236" t="s">
        <v>9</v>
      </c>
      <c r="N47" s="236" t="s">
        <v>9</v>
      </c>
      <c r="O47" s="236">
        <v>313</v>
      </c>
      <c r="P47" s="236" t="s">
        <v>9</v>
      </c>
      <c r="Q47" s="249"/>
      <c r="R47" s="249"/>
      <c r="S47" s="249"/>
      <c r="T47" s="249"/>
    </row>
    <row r="48" spans="1:20">
      <c r="A48" s="248">
        <v>2004</v>
      </c>
      <c r="B48" s="236">
        <v>32520.2</v>
      </c>
      <c r="C48" s="236" t="s">
        <v>9</v>
      </c>
      <c r="D48" s="236" t="s">
        <v>9</v>
      </c>
      <c r="E48" s="236">
        <v>326.3</v>
      </c>
      <c r="F48" s="236" t="s">
        <v>9</v>
      </c>
      <c r="G48" s="236">
        <v>32659.9</v>
      </c>
      <c r="H48" s="236" t="s">
        <v>9</v>
      </c>
      <c r="I48" s="236" t="s">
        <v>9</v>
      </c>
      <c r="J48" s="236">
        <v>315.3</v>
      </c>
      <c r="K48" s="236" t="s">
        <v>9</v>
      </c>
      <c r="L48" s="236">
        <v>32450</v>
      </c>
      <c r="M48" s="236" t="s">
        <v>9</v>
      </c>
      <c r="N48" s="236" t="s">
        <v>9</v>
      </c>
      <c r="O48" s="236">
        <v>313</v>
      </c>
      <c r="P48" s="236" t="s">
        <v>9</v>
      </c>
      <c r="Q48" s="249"/>
      <c r="R48" s="249"/>
      <c r="S48" s="249"/>
      <c r="T48" s="249"/>
    </row>
    <row r="49" spans="1:20">
      <c r="A49" s="248">
        <v>2005</v>
      </c>
      <c r="B49" s="236">
        <v>33746.6</v>
      </c>
      <c r="C49" s="236" t="s">
        <v>9</v>
      </c>
      <c r="D49" s="236" t="s">
        <v>9</v>
      </c>
      <c r="E49" s="236">
        <v>332.3</v>
      </c>
      <c r="F49" s="236" t="s">
        <v>9</v>
      </c>
      <c r="G49" s="236">
        <v>33892.1</v>
      </c>
      <c r="H49" s="236" t="s">
        <v>9</v>
      </c>
      <c r="I49" s="236" t="s">
        <v>9</v>
      </c>
      <c r="J49" s="236">
        <v>324.7</v>
      </c>
      <c r="K49" s="236" t="s">
        <v>9</v>
      </c>
      <c r="L49" s="236">
        <v>33799.800000000003</v>
      </c>
      <c r="M49" s="236" t="s">
        <v>9</v>
      </c>
      <c r="N49" s="236" t="s">
        <v>9</v>
      </c>
      <c r="O49" s="236">
        <v>324</v>
      </c>
      <c r="P49" s="236" t="s">
        <v>9</v>
      </c>
      <c r="Q49" s="249"/>
      <c r="R49" s="249"/>
      <c r="S49" s="249"/>
      <c r="T49" s="249"/>
    </row>
    <row r="50" spans="1:20">
      <c r="A50" s="248">
        <v>2006</v>
      </c>
      <c r="B50" s="236">
        <v>35087.300000000003</v>
      </c>
      <c r="C50" s="236" t="s">
        <v>9</v>
      </c>
      <c r="D50" s="236" t="s">
        <v>9</v>
      </c>
      <c r="E50" s="236">
        <v>339.5</v>
      </c>
      <c r="F50" s="236" t="s">
        <v>9</v>
      </c>
      <c r="G50" s="236">
        <v>35189.5</v>
      </c>
      <c r="H50" s="236" t="s">
        <v>9</v>
      </c>
      <c r="I50" s="236" t="s">
        <v>9</v>
      </c>
      <c r="J50" s="236">
        <v>336.3</v>
      </c>
      <c r="K50" s="236" t="s">
        <v>9</v>
      </c>
      <c r="L50" s="236">
        <v>35173</v>
      </c>
      <c r="M50" s="236" t="s">
        <v>9</v>
      </c>
      <c r="N50" s="236" t="s">
        <v>9</v>
      </c>
      <c r="O50" s="236">
        <v>336.3</v>
      </c>
      <c r="P50" s="236" t="s">
        <v>9</v>
      </c>
      <c r="Q50" s="249"/>
      <c r="R50" s="249"/>
      <c r="S50" s="249"/>
      <c r="T50" s="249"/>
    </row>
    <row r="51" spans="1:20">
      <c r="A51" s="248">
        <v>2007</v>
      </c>
      <c r="B51" s="236">
        <v>36547.199999999997</v>
      </c>
      <c r="C51" s="236" t="s">
        <v>9</v>
      </c>
      <c r="D51" s="236" t="s">
        <v>9</v>
      </c>
      <c r="E51" s="236">
        <v>350.5</v>
      </c>
      <c r="F51" s="236" t="s">
        <v>9</v>
      </c>
      <c r="G51" s="236">
        <v>36547.199999999997</v>
      </c>
      <c r="H51" s="236" t="s">
        <v>9</v>
      </c>
      <c r="I51" s="236" t="s">
        <v>9</v>
      </c>
      <c r="J51" s="236">
        <v>350.5</v>
      </c>
      <c r="K51" s="236" t="s">
        <v>9</v>
      </c>
      <c r="L51" s="236">
        <v>36547.199999999997</v>
      </c>
      <c r="M51" s="236" t="s">
        <v>9</v>
      </c>
      <c r="N51" s="236" t="s">
        <v>9</v>
      </c>
      <c r="O51" s="236">
        <v>350.5</v>
      </c>
      <c r="P51" s="236" t="s">
        <v>9</v>
      </c>
      <c r="Q51" s="249"/>
      <c r="R51" s="249"/>
      <c r="S51" s="249"/>
      <c r="T51" s="249"/>
    </row>
    <row r="52" spans="1:20">
      <c r="A52" s="248">
        <v>2008</v>
      </c>
      <c r="B52" s="236">
        <v>39037</v>
      </c>
      <c r="C52" s="236" t="s">
        <v>9</v>
      </c>
      <c r="D52" s="236" t="s">
        <v>9</v>
      </c>
      <c r="E52" s="236">
        <v>360</v>
      </c>
      <c r="F52" s="236" t="s">
        <v>9</v>
      </c>
      <c r="G52" s="236">
        <v>37953.199999999997</v>
      </c>
      <c r="H52" s="236" t="s">
        <v>9</v>
      </c>
      <c r="I52" s="236" t="s">
        <v>9</v>
      </c>
      <c r="J52" s="236">
        <v>350.9</v>
      </c>
      <c r="K52" s="236" t="s">
        <v>9</v>
      </c>
      <c r="L52" s="236">
        <v>37939.199999999997</v>
      </c>
      <c r="M52" s="236" t="s">
        <v>9</v>
      </c>
      <c r="N52" s="236" t="s">
        <v>9</v>
      </c>
      <c r="O52" s="236">
        <v>350.8</v>
      </c>
      <c r="P52" s="236" t="s">
        <v>9</v>
      </c>
      <c r="Q52" s="249"/>
      <c r="R52" s="249"/>
      <c r="S52" s="249"/>
      <c r="T52" s="249"/>
    </row>
    <row r="53" spans="1:20">
      <c r="A53" s="248">
        <v>2009</v>
      </c>
      <c r="B53" s="236">
        <v>41209.800000000003</v>
      </c>
      <c r="C53" s="236" t="s">
        <v>9</v>
      </c>
      <c r="D53" s="236" t="s">
        <v>9</v>
      </c>
      <c r="E53" s="236">
        <v>358.7</v>
      </c>
      <c r="F53" s="236" t="s">
        <v>9</v>
      </c>
      <c r="G53" s="236">
        <v>38689.4</v>
      </c>
      <c r="H53" s="236" t="s">
        <v>9</v>
      </c>
      <c r="I53" s="236" t="s">
        <v>9</v>
      </c>
      <c r="J53" s="236">
        <v>332.9</v>
      </c>
      <c r="K53" s="236" t="s">
        <v>9</v>
      </c>
      <c r="L53" s="236">
        <v>38658.9</v>
      </c>
      <c r="M53" s="236" t="s">
        <v>9</v>
      </c>
      <c r="N53" s="236" t="s">
        <v>9</v>
      </c>
      <c r="O53" s="236">
        <v>332.6</v>
      </c>
      <c r="P53" s="236" t="s">
        <v>9</v>
      </c>
      <c r="Q53" s="249"/>
      <c r="R53" s="249"/>
      <c r="S53" s="249"/>
      <c r="T53" s="249"/>
    </row>
    <row r="54" spans="1:20">
      <c r="A54" s="248">
        <v>2010</v>
      </c>
      <c r="B54" s="236">
        <v>40536</v>
      </c>
      <c r="C54" s="236" t="s">
        <v>9</v>
      </c>
      <c r="D54" s="236" t="s">
        <v>9</v>
      </c>
      <c r="E54" s="236">
        <v>329.3</v>
      </c>
      <c r="F54" s="236" t="s">
        <v>9</v>
      </c>
      <c r="G54" s="236">
        <v>39094</v>
      </c>
      <c r="H54" s="236" t="s">
        <v>9</v>
      </c>
      <c r="I54" s="236" t="s">
        <v>9</v>
      </c>
      <c r="J54" s="236">
        <v>320.7</v>
      </c>
      <c r="K54" s="236" t="s">
        <v>9</v>
      </c>
      <c r="L54" s="236">
        <v>39057.599999999999</v>
      </c>
      <c r="M54" s="236" t="s">
        <v>9</v>
      </c>
      <c r="N54" s="236" t="s">
        <v>9</v>
      </c>
      <c r="O54" s="236">
        <v>320.2</v>
      </c>
      <c r="P54" s="236" t="s">
        <v>9</v>
      </c>
      <c r="Q54" s="249"/>
      <c r="R54" s="249"/>
      <c r="S54" s="249"/>
      <c r="T54" s="249"/>
    </row>
    <row r="55" spans="1:20">
      <c r="A55" s="248">
        <v>2011</v>
      </c>
      <c r="B55" s="236">
        <v>41645.300000000003</v>
      </c>
      <c r="C55" s="236" t="s">
        <v>9</v>
      </c>
      <c r="D55" s="236" t="s">
        <v>9</v>
      </c>
      <c r="E55" s="236">
        <v>323.3</v>
      </c>
      <c r="F55" s="236" t="s">
        <v>9</v>
      </c>
      <c r="G55" s="236">
        <v>39899</v>
      </c>
      <c r="H55" s="236" t="s">
        <v>9</v>
      </c>
      <c r="I55" s="236" t="s">
        <v>9</v>
      </c>
      <c r="J55" s="236">
        <v>316.39999999999998</v>
      </c>
      <c r="K55" s="236" t="s">
        <v>9</v>
      </c>
      <c r="L55" s="236">
        <v>39854.6</v>
      </c>
      <c r="M55" s="236" t="s">
        <v>9</v>
      </c>
      <c r="N55" s="236" t="s">
        <v>9</v>
      </c>
      <c r="O55" s="236">
        <v>315.5</v>
      </c>
      <c r="P55" s="236" t="s">
        <v>9</v>
      </c>
      <c r="Q55" s="249"/>
      <c r="R55" s="249"/>
      <c r="S55" s="249"/>
      <c r="T55" s="249"/>
    </row>
    <row r="56" spans="1:20">
      <c r="A56" s="248">
        <v>2012</v>
      </c>
      <c r="B56" s="236">
        <v>43547.9</v>
      </c>
      <c r="C56" s="236" t="s">
        <v>9</v>
      </c>
      <c r="D56" s="236" t="s">
        <v>9</v>
      </c>
      <c r="E56" s="236">
        <v>317.39999999999998</v>
      </c>
      <c r="F56" s="236" t="s">
        <v>9</v>
      </c>
      <c r="G56" s="236">
        <v>41024.699999999997</v>
      </c>
      <c r="H56" s="236" t="s">
        <v>9</v>
      </c>
      <c r="I56" s="236" t="s">
        <v>9</v>
      </c>
      <c r="J56" s="236">
        <v>306.10000000000002</v>
      </c>
      <c r="K56" s="236" t="s">
        <v>9</v>
      </c>
      <c r="L56" s="236">
        <v>40978.9</v>
      </c>
      <c r="M56" s="236" t="s">
        <v>9</v>
      </c>
      <c r="N56" s="236" t="s">
        <v>9</v>
      </c>
      <c r="O56" s="236">
        <v>305.8</v>
      </c>
      <c r="P56" s="236" t="s">
        <v>9</v>
      </c>
      <c r="Q56" s="249"/>
      <c r="R56" s="249"/>
      <c r="S56" s="249"/>
      <c r="T56" s="249"/>
    </row>
    <row r="57" spans="1:20">
      <c r="A57" s="248">
        <v>2013</v>
      </c>
      <c r="B57" s="236">
        <v>45385.4</v>
      </c>
      <c r="C57" s="236" t="s">
        <v>9</v>
      </c>
      <c r="D57" s="236" t="s">
        <v>9</v>
      </c>
      <c r="E57" s="236">
        <v>311.8</v>
      </c>
      <c r="F57" s="236" t="s">
        <v>9</v>
      </c>
      <c r="G57" s="236">
        <v>42220.5</v>
      </c>
      <c r="H57" s="236" t="s">
        <v>9</v>
      </c>
      <c r="I57" s="236" t="s">
        <v>9</v>
      </c>
      <c r="J57" s="236">
        <v>296.39999999999998</v>
      </c>
      <c r="K57" s="236" t="s">
        <v>9</v>
      </c>
      <c r="L57" s="236">
        <v>42180.1</v>
      </c>
      <c r="M57" s="236" t="s">
        <v>9</v>
      </c>
      <c r="N57" s="236" t="s">
        <v>9</v>
      </c>
      <c r="O57" s="236">
        <v>296.5</v>
      </c>
      <c r="P57" s="236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4.6114642652928195</v>
      </c>
      <c r="C60" s="11" t="s">
        <v>10</v>
      </c>
      <c r="D60" s="11" t="s">
        <v>10</v>
      </c>
      <c r="E60" s="11">
        <f t="shared" ref="E60:O60" si="1">((E57/E28)^(1/29)-1)*100</f>
        <v>4.1569897349933216</v>
      </c>
      <c r="F60" s="11" t="s">
        <v>10</v>
      </c>
      <c r="G60" s="11">
        <f t="shared" si="1"/>
        <v>2.9185869608796988</v>
      </c>
      <c r="H60" s="11" t="s">
        <v>10</v>
      </c>
      <c r="I60" s="11" t="s">
        <v>10</v>
      </c>
      <c r="J60" s="11">
        <f t="shared" si="1"/>
        <v>2.5824728909211281</v>
      </c>
      <c r="K60" s="11" t="s">
        <v>10</v>
      </c>
      <c r="L60" s="11">
        <f t="shared" si="1"/>
        <v>3.6895087928254133</v>
      </c>
      <c r="M60" s="11" t="s">
        <v>10</v>
      </c>
      <c r="N60" s="11" t="s">
        <v>10</v>
      </c>
      <c r="O60" s="11">
        <f t="shared" si="1"/>
        <v>2.8003780532977141</v>
      </c>
      <c r="P60" s="11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7.0177535292339055</v>
      </c>
      <c r="C61" s="11" t="s">
        <v>10</v>
      </c>
      <c r="D61" s="11">
        <f t="shared" ref="D61:O61" si="3">((D33/D28)^(1/5)-1)*100</f>
        <v>-1.7210467872798785</v>
      </c>
      <c r="E61" s="11">
        <f t="shared" si="3"/>
        <v>6.9162933453513098</v>
      </c>
      <c r="F61" s="11" t="s">
        <v>10</v>
      </c>
      <c r="G61" s="11">
        <f t="shared" si="3"/>
        <v>3.1572658127252629</v>
      </c>
      <c r="H61" s="11" t="s">
        <v>10</v>
      </c>
      <c r="I61" s="11">
        <f t="shared" si="3"/>
        <v>-3.8566076440789243</v>
      </c>
      <c r="J61" s="11">
        <f t="shared" si="3"/>
        <v>4.0776456996810539</v>
      </c>
      <c r="K61" s="11" t="s">
        <v>10</v>
      </c>
      <c r="L61" s="11">
        <f t="shared" si="3"/>
        <v>4.8240432496311936</v>
      </c>
      <c r="M61" s="11" t="s">
        <v>10</v>
      </c>
      <c r="N61" s="11">
        <f t="shared" si="3"/>
        <v>-3.7594152819204751</v>
      </c>
      <c r="O61" s="11">
        <f t="shared" si="3"/>
        <v>4.3272042510594355</v>
      </c>
      <c r="P61" s="11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4.8843166108939018</v>
      </c>
      <c r="C62" s="11" t="s">
        <v>10</v>
      </c>
      <c r="D62" s="11" t="s">
        <v>10</v>
      </c>
      <c r="E62" s="11">
        <f t="shared" ref="E62:O62" si="5">((E44/E33)^(1/11)-1)*100</f>
        <v>9.7437550588668422</v>
      </c>
      <c r="F62" s="11" t="s">
        <v>10</v>
      </c>
      <c r="G62" s="11">
        <f t="shared" si="5"/>
        <v>2.767534972923813</v>
      </c>
      <c r="H62" s="11" t="s">
        <v>10</v>
      </c>
      <c r="I62" s="11" t="s">
        <v>10</v>
      </c>
      <c r="J62" s="11">
        <f t="shared" si="5"/>
        <v>6.6488031601144915</v>
      </c>
      <c r="K62" s="11" t="s">
        <v>10</v>
      </c>
      <c r="L62" s="11">
        <f t="shared" si="5"/>
        <v>3.9027150881969508</v>
      </c>
      <c r="M62" s="11" t="s">
        <v>10</v>
      </c>
      <c r="N62" s="11" t="s">
        <v>10</v>
      </c>
      <c r="O62" s="11">
        <f t="shared" si="5"/>
        <v>7.0407099159448094</v>
      </c>
      <c r="P62" s="11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3.2979479779196019</v>
      </c>
      <c r="C63" s="11" t="s">
        <v>10</v>
      </c>
      <c r="D63" s="11" t="s">
        <v>10</v>
      </c>
      <c r="E63" s="11">
        <f t="shared" ref="E63:O63" si="6">((E51/E44)^(1/7)-1)*100</f>
        <v>-0.83924945604016976</v>
      </c>
      <c r="F63" s="11" t="s">
        <v>10</v>
      </c>
      <c r="G63" s="11">
        <f t="shared" si="6"/>
        <v>3.4031683043988847</v>
      </c>
      <c r="H63" s="11" t="s">
        <v>10</v>
      </c>
      <c r="I63" s="11" t="s">
        <v>10</v>
      </c>
      <c r="J63" s="11">
        <f t="shared" si="6"/>
        <v>-1.2221453453575837E-2</v>
      </c>
      <c r="K63" s="11" t="s">
        <v>10</v>
      </c>
      <c r="L63" s="11">
        <f t="shared" si="6"/>
        <v>3.6455903097653453</v>
      </c>
      <c r="M63" s="11" t="s">
        <v>10</v>
      </c>
      <c r="N63" s="11" t="s">
        <v>10</v>
      </c>
      <c r="O63" s="11">
        <f t="shared" si="6"/>
        <v>0.11464663279139309</v>
      </c>
      <c r="P63" s="11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3.6757079416962712</v>
      </c>
      <c r="C64" s="11" t="s">
        <v>10</v>
      </c>
      <c r="D64" s="11" t="s">
        <v>10</v>
      </c>
      <c r="E64" s="11">
        <f t="shared" ref="E64:O64" si="7">((E57/E51)^(1/6)-1)*100</f>
        <v>-1.931090047676709</v>
      </c>
      <c r="F64" s="11" t="s">
        <v>10</v>
      </c>
      <c r="G64" s="11">
        <f t="shared" si="7"/>
        <v>2.4341757199009439</v>
      </c>
      <c r="H64" s="11" t="s">
        <v>10</v>
      </c>
      <c r="I64" s="11" t="s">
        <v>10</v>
      </c>
      <c r="J64" s="11">
        <f t="shared" si="7"/>
        <v>-2.7555040664424491</v>
      </c>
      <c r="K64" s="11" t="s">
        <v>10</v>
      </c>
      <c r="L64" s="11">
        <f t="shared" si="7"/>
        <v>2.4178329810933041</v>
      </c>
      <c r="M64" s="11" t="s">
        <v>10</v>
      </c>
      <c r="N64" s="11" t="s">
        <v>10</v>
      </c>
      <c r="O64" s="11">
        <f t="shared" si="7"/>
        <v>-2.7500367458998976</v>
      </c>
      <c r="P64" s="11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3.4721273901771266</v>
      </c>
      <c r="C65" s="11" t="s">
        <v>10</v>
      </c>
      <c r="D65" s="11" t="s">
        <v>10</v>
      </c>
      <c r="E65" s="11">
        <f t="shared" ref="E65:O65" si="9">((E57/E44)^(1/13)-1)*100</f>
        <v>-1.3446782422410597</v>
      </c>
      <c r="F65" s="11" t="s">
        <v>10</v>
      </c>
      <c r="G65" s="11">
        <f t="shared" si="9"/>
        <v>2.9548071637092832</v>
      </c>
      <c r="H65" s="11" t="s">
        <v>10</v>
      </c>
      <c r="I65" s="11" t="s">
        <v>10</v>
      </c>
      <c r="J65" s="11">
        <f t="shared" si="9"/>
        <v>-1.2878382942879019</v>
      </c>
      <c r="K65" s="11" t="s">
        <v>10</v>
      </c>
      <c r="L65" s="11">
        <f t="shared" si="9"/>
        <v>3.0771148170984253</v>
      </c>
      <c r="M65" s="11" t="s">
        <v>10</v>
      </c>
      <c r="N65" s="11" t="s">
        <v>10</v>
      </c>
      <c r="O65" s="11">
        <f t="shared" si="9"/>
        <v>-1.2178527972702802</v>
      </c>
      <c r="P65" s="11" t="s">
        <v>10</v>
      </c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  <c r="B68" s="231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291</v>
      </c>
      <c r="B70" s="229"/>
      <c r="C70" s="229"/>
      <c r="D70" s="229"/>
      <c r="E70" s="229"/>
      <c r="F70" s="229"/>
    </row>
  </sheetData>
  <mergeCells count="5">
    <mergeCell ref="A1:P1"/>
    <mergeCell ref="B2:F2"/>
    <mergeCell ref="G2:K2"/>
    <mergeCell ref="L2:P2"/>
    <mergeCell ref="A59:F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6.140625" style="225" customWidth="1"/>
    <col min="13" max="16384" width="9.140625" style="225"/>
  </cols>
  <sheetData>
    <row r="1" spans="1:20" ht="36" customHeight="1">
      <c r="A1" s="454" t="s">
        <v>293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1667.8</v>
      </c>
      <c r="C5" s="236" t="s">
        <v>9</v>
      </c>
      <c r="D5" s="236" t="s">
        <v>9</v>
      </c>
      <c r="E5" s="236">
        <v>7.4</v>
      </c>
      <c r="F5" s="236">
        <v>37.4</v>
      </c>
      <c r="G5" s="236">
        <v>10647.9</v>
      </c>
      <c r="H5" s="236" t="s">
        <v>9</v>
      </c>
      <c r="I5" s="236" t="s">
        <v>9</v>
      </c>
      <c r="J5" s="236">
        <v>51.4</v>
      </c>
      <c r="K5" s="236">
        <v>259.89999999999998</v>
      </c>
      <c r="L5" s="236">
        <v>6921.3</v>
      </c>
      <c r="M5" s="236" t="s">
        <v>9</v>
      </c>
      <c r="N5" s="236" t="s">
        <v>9</v>
      </c>
      <c r="O5" s="236">
        <v>44.5</v>
      </c>
      <c r="P5" s="236">
        <v>240</v>
      </c>
      <c r="Q5" s="249"/>
      <c r="R5" s="249"/>
      <c r="S5" s="249"/>
      <c r="T5" s="249"/>
    </row>
    <row r="6" spans="1:20">
      <c r="A6" s="248">
        <v>1962</v>
      </c>
      <c r="B6" s="236">
        <v>1782.5</v>
      </c>
      <c r="C6" s="236" t="s">
        <v>9</v>
      </c>
      <c r="D6" s="236" t="s">
        <v>9</v>
      </c>
      <c r="E6" s="236">
        <v>7.4</v>
      </c>
      <c r="F6" s="236">
        <v>37.299999999999997</v>
      </c>
      <c r="G6" s="236">
        <v>11255.1</v>
      </c>
      <c r="H6" s="236" t="s">
        <v>9</v>
      </c>
      <c r="I6" s="236" t="s">
        <v>9</v>
      </c>
      <c r="J6" s="236">
        <v>51.6</v>
      </c>
      <c r="K6" s="236">
        <v>259.89999999999998</v>
      </c>
      <c r="L6" s="236">
        <v>7303.9</v>
      </c>
      <c r="M6" s="236" t="s">
        <v>9</v>
      </c>
      <c r="N6" s="236" t="s">
        <v>9</v>
      </c>
      <c r="O6" s="236">
        <v>44.5</v>
      </c>
      <c r="P6" s="236">
        <v>239.8</v>
      </c>
      <c r="Q6" s="249"/>
      <c r="R6" s="249"/>
      <c r="S6" s="249"/>
      <c r="T6" s="249"/>
    </row>
    <row r="7" spans="1:20">
      <c r="A7" s="248">
        <v>1963</v>
      </c>
      <c r="B7" s="236">
        <v>1948</v>
      </c>
      <c r="C7" s="236" t="s">
        <v>9</v>
      </c>
      <c r="D7" s="236" t="s">
        <v>9</v>
      </c>
      <c r="E7" s="236">
        <v>7.7</v>
      </c>
      <c r="F7" s="236">
        <v>39.9</v>
      </c>
      <c r="G7" s="236">
        <v>11887.3</v>
      </c>
      <c r="H7" s="236" t="s">
        <v>9</v>
      </c>
      <c r="I7" s="236" t="s">
        <v>9</v>
      </c>
      <c r="J7" s="236">
        <v>52.2</v>
      </c>
      <c r="K7" s="236">
        <v>264.5</v>
      </c>
      <c r="L7" s="236">
        <v>7708.1</v>
      </c>
      <c r="M7" s="236" t="s">
        <v>9</v>
      </c>
      <c r="N7" s="236" t="s">
        <v>9</v>
      </c>
      <c r="O7" s="236">
        <v>45.1</v>
      </c>
      <c r="P7" s="236">
        <v>244</v>
      </c>
      <c r="Q7" s="249"/>
      <c r="R7" s="249"/>
      <c r="S7" s="249"/>
      <c r="T7" s="249"/>
    </row>
    <row r="8" spans="1:20">
      <c r="A8" s="248">
        <v>1964</v>
      </c>
      <c r="B8" s="236">
        <v>2100.4</v>
      </c>
      <c r="C8" s="236" t="s">
        <v>9</v>
      </c>
      <c r="D8" s="236" t="s">
        <v>9</v>
      </c>
      <c r="E8" s="236">
        <v>8.3000000000000007</v>
      </c>
      <c r="F8" s="236">
        <v>43.5</v>
      </c>
      <c r="G8" s="236">
        <v>12585</v>
      </c>
      <c r="H8" s="236" t="s">
        <v>9</v>
      </c>
      <c r="I8" s="236" t="s">
        <v>9</v>
      </c>
      <c r="J8" s="236">
        <v>54.2</v>
      </c>
      <c r="K8" s="236">
        <v>279</v>
      </c>
      <c r="L8" s="236">
        <v>8172.5</v>
      </c>
      <c r="M8" s="236" t="s">
        <v>9</v>
      </c>
      <c r="N8" s="236" t="s">
        <v>9</v>
      </c>
      <c r="O8" s="236">
        <v>47</v>
      </c>
      <c r="P8" s="236">
        <v>257.8</v>
      </c>
      <c r="Q8" s="249"/>
      <c r="R8" s="249"/>
      <c r="S8" s="249"/>
      <c r="T8" s="249"/>
    </row>
    <row r="9" spans="1:20">
      <c r="A9" s="248">
        <v>1965</v>
      </c>
      <c r="B9" s="236">
        <v>2368</v>
      </c>
      <c r="C9" s="236" t="s">
        <v>9</v>
      </c>
      <c r="D9" s="236" t="s">
        <v>9</v>
      </c>
      <c r="E9" s="236">
        <v>9.5</v>
      </c>
      <c r="F9" s="236">
        <v>51.4</v>
      </c>
      <c r="G9" s="236">
        <v>13473.4</v>
      </c>
      <c r="H9" s="236" t="s">
        <v>9</v>
      </c>
      <c r="I9" s="236" t="s">
        <v>9</v>
      </c>
      <c r="J9" s="236">
        <v>58.2</v>
      </c>
      <c r="K9" s="236">
        <v>312</v>
      </c>
      <c r="L9" s="236">
        <v>8789.1</v>
      </c>
      <c r="M9" s="236" t="s">
        <v>9</v>
      </c>
      <c r="N9" s="236" t="s">
        <v>9</v>
      </c>
      <c r="O9" s="236">
        <v>50.7</v>
      </c>
      <c r="P9" s="236">
        <v>289.10000000000002</v>
      </c>
      <c r="Q9" s="249"/>
      <c r="R9" s="249"/>
      <c r="S9" s="249"/>
      <c r="T9" s="249"/>
    </row>
    <row r="10" spans="1:20">
      <c r="A10" s="248">
        <v>1966</v>
      </c>
      <c r="B10" s="236">
        <v>2675.7</v>
      </c>
      <c r="C10" s="236" t="s">
        <v>9</v>
      </c>
      <c r="D10" s="236" t="s">
        <v>9</v>
      </c>
      <c r="E10" s="236">
        <v>10.5</v>
      </c>
      <c r="F10" s="236">
        <v>58.4</v>
      </c>
      <c r="G10" s="236">
        <v>14589.1</v>
      </c>
      <c r="H10" s="236" t="s">
        <v>9</v>
      </c>
      <c r="I10" s="236" t="s">
        <v>9</v>
      </c>
      <c r="J10" s="236">
        <v>62.5</v>
      </c>
      <c r="K10" s="236">
        <v>345.9</v>
      </c>
      <c r="L10" s="236">
        <v>9570</v>
      </c>
      <c r="M10" s="236" t="s">
        <v>9</v>
      </c>
      <c r="N10" s="236" t="s">
        <v>9</v>
      </c>
      <c r="O10" s="236">
        <v>54.7</v>
      </c>
      <c r="P10" s="236">
        <v>320.89999999999998</v>
      </c>
      <c r="Q10" s="249"/>
      <c r="R10" s="249"/>
      <c r="S10" s="249"/>
      <c r="T10" s="249"/>
    </row>
    <row r="11" spans="1:20">
      <c r="A11" s="248">
        <v>1967</v>
      </c>
      <c r="B11" s="236">
        <v>2963.5</v>
      </c>
      <c r="C11" s="236" t="s">
        <v>9</v>
      </c>
      <c r="D11" s="236" t="s">
        <v>9</v>
      </c>
      <c r="E11" s="236">
        <v>11</v>
      </c>
      <c r="F11" s="236">
        <v>61.8</v>
      </c>
      <c r="G11" s="236">
        <v>15724.9</v>
      </c>
      <c r="H11" s="236" t="s">
        <v>9</v>
      </c>
      <c r="I11" s="236" t="s">
        <v>9</v>
      </c>
      <c r="J11" s="236">
        <v>64.900000000000006</v>
      </c>
      <c r="K11" s="236">
        <v>365.6</v>
      </c>
      <c r="L11" s="236">
        <v>10372.1</v>
      </c>
      <c r="M11" s="236" t="s">
        <v>9</v>
      </c>
      <c r="N11" s="236" t="s">
        <v>9</v>
      </c>
      <c r="O11" s="236">
        <v>56.9</v>
      </c>
      <c r="P11" s="236">
        <v>339.8</v>
      </c>
      <c r="Q11" s="249"/>
      <c r="R11" s="249"/>
      <c r="S11" s="249"/>
      <c r="T11" s="249"/>
    </row>
    <row r="12" spans="1:20">
      <c r="A12" s="248">
        <v>1968</v>
      </c>
      <c r="B12" s="236">
        <v>3190.2</v>
      </c>
      <c r="C12" s="236" t="s">
        <v>9</v>
      </c>
      <c r="D12" s="236" t="s">
        <v>9</v>
      </c>
      <c r="E12" s="236">
        <v>11.2</v>
      </c>
      <c r="F12" s="236">
        <v>62.6</v>
      </c>
      <c r="G12" s="236">
        <v>16656.099999999999</v>
      </c>
      <c r="H12" s="236" t="s">
        <v>9</v>
      </c>
      <c r="I12" s="236" t="s">
        <v>9</v>
      </c>
      <c r="J12" s="236">
        <v>65.599999999999994</v>
      </c>
      <c r="K12" s="236">
        <v>369.1</v>
      </c>
      <c r="L12" s="236">
        <v>11034.2</v>
      </c>
      <c r="M12" s="236" t="s">
        <v>9</v>
      </c>
      <c r="N12" s="236" t="s">
        <v>9</v>
      </c>
      <c r="O12" s="236">
        <v>57.5</v>
      </c>
      <c r="P12" s="236">
        <v>343.4</v>
      </c>
      <c r="Q12" s="249"/>
      <c r="R12" s="249"/>
      <c r="S12" s="249"/>
      <c r="T12" s="249"/>
    </row>
    <row r="13" spans="1:20">
      <c r="A13" s="248">
        <v>1969</v>
      </c>
      <c r="B13" s="236">
        <v>3500</v>
      </c>
      <c r="C13" s="236" t="s">
        <v>9</v>
      </c>
      <c r="D13" s="236" t="s">
        <v>9</v>
      </c>
      <c r="E13" s="236">
        <v>12.3</v>
      </c>
      <c r="F13" s="236">
        <v>64.3</v>
      </c>
      <c r="G13" s="236">
        <v>17511.900000000001</v>
      </c>
      <c r="H13" s="236" t="s">
        <v>9</v>
      </c>
      <c r="I13" s="236" t="s">
        <v>9</v>
      </c>
      <c r="J13" s="236">
        <v>69.2</v>
      </c>
      <c r="K13" s="236">
        <v>365</v>
      </c>
      <c r="L13" s="236">
        <v>11666.5</v>
      </c>
      <c r="M13" s="236" t="s">
        <v>9</v>
      </c>
      <c r="N13" s="236" t="s">
        <v>9</v>
      </c>
      <c r="O13" s="236">
        <v>60.9</v>
      </c>
      <c r="P13" s="236">
        <v>339.5</v>
      </c>
      <c r="Q13" s="249"/>
      <c r="R13" s="249"/>
      <c r="S13" s="249"/>
      <c r="T13" s="249"/>
    </row>
    <row r="14" spans="1:20">
      <c r="A14" s="248">
        <v>1970</v>
      </c>
      <c r="B14" s="236">
        <v>3895.3</v>
      </c>
      <c r="C14" s="236" t="s">
        <v>9</v>
      </c>
      <c r="D14" s="236" t="s">
        <v>9</v>
      </c>
      <c r="E14" s="236">
        <v>14.1</v>
      </c>
      <c r="F14" s="236">
        <v>70.8</v>
      </c>
      <c r="G14" s="236">
        <v>18485.8</v>
      </c>
      <c r="H14" s="236" t="s">
        <v>9</v>
      </c>
      <c r="I14" s="236" t="s">
        <v>9</v>
      </c>
      <c r="J14" s="236">
        <v>74.5</v>
      </c>
      <c r="K14" s="236">
        <v>374.1</v>
      </c>
      <c r="L14" s="236">
        <v>12379.8</v>
      </c>
      <c r="M14" s="236" t="s">
        <v>9</v>
      </c>
      <c r="N14" s="236" t="s">
        <v>9</v>
      </c>
      <c r="O14" s="236">
        <v>66</v>
      </c>
      <c r="P14" s="236">
        <v>348.3</v>
      </c>
      <c r="Q14" s="249"/>
      <c r="R14" s="249"/>
      <c r="S14" s="249"/>
      <c r="T14" s="249"/>
    </row>
    <row r="15" spans="1:20">
      <c r="A15" s="248">
        <v>1971</v>
      </c>
      <c r="B15" s="236">
        <v>4281.6000000000004</v>
      </c>
      <c r="C15" s="236" t="s">
        <v>9</v>
      </c>
      <c r="D15" s="236" t="s">
        <v>9</v>
      </c>
      <c r="E15" s="236">
        <v>15.1</v>
      </c>
      <c r="F15" s="236">
        <v>76.099999999999994</v>
      </c>
      <c r="G15" s="236">
        <v>19469.5</v>
      </c>
      <c r="H15" s="236" t="s">
        <v>9</v>
      </c>
      <c r="I15" s="236" t="s">
        <v>9</v>
      </c>
      <c r="J15" s="236">
        <v>77</v>
      </c>
      <c r="K15" s="236">
        <v>390.8</v>
      </c>
      <c r="L15" s="236">
        <v>13065.6</v>
      </c>
      <c r="M15" s="236" t="s">
        <v>9</v>
      </c>
      <c r="N15" s="236" t="s">
        <v>9</v>
      </c>
      <c r="O15" s="236">
        <v>68.400000000000006</v>
      </c>
      <c r="P15" s="236">
        <v>363.9</v>
      </c>
      <c r="Q15" s="249"/>
      <c r="R15" s="249"/>
      <c r="S15" s="249"/>
      <c r="T15" s="249"/>
    </row>
    <row r="16" spans="1:20">
      <c r="A16" s="248">
        <v>1972</v>
      </c>
      <c r="B16" s="236">
        <v>4685.5</v>
      </c>
      <c r="C16" s="236" t="s">
        <v>9</v>
      </c>
      <c r="D16" s="236" t="s">
        <v>9</v>
      </c>
      <c r="E16" s="236">
        <v>16.5</v>
      </c>
      <c r="F16" s="236">
        <v>78.900000000000006</v>
      </c>
      <c r="G16" s="236">
        <v>20391</v>
      </c>
      <c r="H16" s="236" t="s">
        <v>9</v>
      </c>
      <c r="I16" s="236" t="s">
        <v>9</v>
      </c>
      <c r="J16" s="236">
        <v>81.400000000000006</v>
      </c>
      <c r="K16" s="236">
        <v>393.5</v>
      </c>
      <c r="L16" s="236">
        <v>13727.5</v>
      </c>
      <c r="M16" s="236" t="s">
        <v>9</v>
      </c>
      <c r="N16" s="236" t="s">
        <v>9</v>
      </c>
      <c r="O16" s="236">
        <v>72.400000000000006</v>
      </c>
      <c r="P16" s="236">
        <v>366.2</v>
      </c>
      <c r="Q16" s="249"/>
      <c r="R16" s="249"/>
      <c r="S16" s="249"/>
      <c r="T16" s="249"/>
    </row>
    <row r="17" spans="1:20">
      <c r="A17" s="248">
        <v>1973</v>
      </c>
      <c r="B17" s="236">
        <v>5306.7</v>
      </c>
      <c r="C17" s="236" t="s">
        <v>9</v>
      </c>
      <c r="D17" s="236" t="s">
        <v>9</v>
      </c>
      <c r="E17" s="236">
        <v>21</v>
      </c>
      <c r="F17" s="236">
        <v>84.3</v>
      </c>
      <c r="G17" s="236">
        <v>21431.200000000001</v>
      </c>
      <c r="H17" s="236" t="s">
        <v>9</v>
      </c>
      <c r="I17" s="236" t="s">
        <v>9</v>
      </c>
      <c r="J17" s="236">
        <v>94.5</v>
      </c>
      <c r="K17" s="236">
        <v>388.3</v>
      </c>
      <c r="L17" s="236">
        <v>14513.5</v>
      </c>
      <c r="M17" s="236" t="s">
        <v>9</v>
      </c>
      <c r="N17" s="236" t="s">
        <v>9</v>
      </c>
      <c r="O17" s="236">
        <v>84.5</v>
      </c>
      <c r="P17" s="236">
        <v>361.6</v>
      </c>
      <c r="Q17" s="249"/>
      <c r="R17" s="249"/>
      <c r="S17" s="249"/>
      <c r="T17" s="249"/>
    </row>
    <row r="18" spans="1:20">
      <c r="A18" s="248">
        <v>1974</v>
      </c>
      <c r="B18" s="236">
        <v>6502.5</v>
      </c>
      <c r="C18" s="236" t="s">
        <v>9</v>
      </c>
      <c r="D18" s="236" t="s">
        <v>9</v>
      </c>
      <c r="E18" s="236">
        <v>30</v>
      </c>
      <c r="F18" s="236">
        <v>101.1</v>
      </c>
      <c r="G18" s="236">
        <v>22635.9</v>
      </c>
      <c r="H18" s="236" t="s">
        <v>9</v>
      </c>
      <c r="I18" s="236" t="s">
        <v>9</v>
      </c>
      <c r="J18" s="236">
        <v>115.6</v>
      </c>
      <c r="K18" s="236">
        <v>400.3</v>
      </c>
      <c r="L18" s="236">
        <v>15451.5</v>
      </c>
      <c r="M18" s="236" t="s">
        <v>9</v>
      </c>
      <c r="N18" s="236" t="s">
        <v>9</v>
      </c>
      <c r="O18" s="236">
        <v>104.2</v>
      </c>
      <c r="P18" s="236">
        <v>373.7</v>
      </c>
      <c r="Q18" s="249"/>
      <c r="R18" s="249"/>
      <c r="S18" s="249"/>
      <c r="T18" s="249"/>
    </row>
    <row r="19" spans="1:20">
      <c r="A19" s="248">
        <v>1975</v>
      </c>
      <c r="B19" s="236">
        <v>7699.2</v>
      </c>
      <c r="C19" s="236" t="s">
        <v>9</v>
      </c>
      <c r="D19" s="236" t="s">
        <v>9</v>
      </c>
      <c r="E19" s="236">
        <v>39.6</v>
      </c>
      <c r="F19" s="236">
        <v>125.9</v>
      </c>
      <c r="G19" s="236">
        <v>23818.400000000001</v>
      </c>
      <c r="H19" s="236" t="s">
        <v>9</v>
      </c>
      <c r="I19" s="236" t="s">
        <v>9</v>
      </c>
      <c r="J19" s="236">
        <v>132.9</v>
      </c>
      <c r="K19" s="236">
        <v>429.9</v>
      </c>
      <c r="L19" s="236">
        <v>16386.3</v>
      </c>
      <c r="M19" s="236" t="s">
        <v>9</v>
      </c>
      <c r="N19" s="236" t="s">
        <v>9</v>
      </c>
      <c r="O19" s="236">
        <v>120.5</v>
      </c>
      <c r="P19" s="236">
        <v>402.6</v>
      </c>
      <c r="Q19" s="249"/>
      <c r="R19" s="249"/>
      <c r="S19" s="249"/>
      <c r="T19" s="249"/>
    </row>
    <row r="20" spans="1:20">
      <c r="A20" s="248">
        <v>1976</v>
      </c>
      <c r="B20" s="236">
        <v>8515.2000000000007</v>
      </c>
      <c r="C20" s="236" t="s">
        <v>9</v>
      </c>
      <c r="D20" s="236" t="s">
        <v>9</v>
      </c>
      <c r="E20" s="236">
        <v>43.5</v>
      </c>
      <c r="F20" s="236">
        <v>148.19999999999999</v>
      </c>
      <c r="G20" s="236">
        <v>24785</v>
      </c>
      <c r="H20" s="236" t="s">
        <v>9</v>
      </c>
      <c r="I20" s="236" t="s">
        <v>9</v>
      </c>
      <c r="J20" s="236">
        <v>137.69999999999999</v>
      </c>
      <c r="K20" s="236">
        <v>471.5</v>
      </c>
      <c r="L20" s="236">
        <v>17152</v>
      </c>
      <c r="M20" s="236" t="s">
        <v>9</v>
      </c>
      <c r="N20" s="236" t="s">
        <v>9</v>
      </c>
      <c r="O20" s="236">
        <v>125</v>
      </c>
      <c r="P20" s="236">
        <v>443.6</v>
      </c>
      <c r="Q20" s="249"/>
      <c r="R20" s="249"/>
      <c r="S20" s="249"/>
      <c r="T20" s="249"/>
    </row>
    <row r="21" spans="1:20">
      <c r="A21" s="248">
        <v>1977</v>
      </c>
      <c r="B21" s="236">
        <v>9429.7000000000007</v>
      </c>
      <c r="C21" s="236" t="s">
        <v>9</v>
      </c>
      <c r="D21" s="236" t="s">
        <v>9</v>
      </c>
      <c r="E21" s="236">
        <v>46.2</v>
      </c>
      <c r="F21" s="236">
        <v>174.8</v>
      </c>
      <c r="G21" s="236">
        <v>25555.9</v>
      </c>
      <c r="H21" s="236" t="s">
        <v>9</v>
      </c>
      <c r="I21" s="236" t="s">
        <v>9</v>
      </c>
      <c r="J21" s="236">
        <v>134.69999999999999</v>
      </c>
      <c r="K21" s="236">
        <v>506.1</v>
      </c>
      <c r="L21" s="236">
        <v>17816.099999999999</v>
      </c>
      <c r="M21" s="236" t="s">
        <v>9</v>
      </c>
      <c r="N21" s="236" t="s">
        <v>9</v>
      </c>
      <c r="O21" s="236">
        <v>122.1</v>
      </c>
      <c r="P21" s="236">
        <v>477.6</v>
      </c>
      <c r="Q21" s="249"/>
      <c r="R21" s="249"/>
      <c r="S21" s="249"/>
      <c r="T21" s="249"/>
    </row>
    <row r="22" spans="1:20">
      <c r="A22" s="248">
        <v>1978</v>
      </c>
      <c r="B22" s="236">
        <v>10539.8</v>
      </c>
      <c r="C22" s="236" t="s">
        <v>9</v>
      </c>
      <c r="D22" s="236" t="s">
        <v>9</v>
      </c>
      <c r="E22" s="236">
        <v>49.6</v>
      </c>
      <c r="F22" s="236">
        <v>194.6</v>
      </c>
      <c r="G22" s="236">
        <v>26195.5</v>
      </c>
      <c r="H22" s="236" t="s">
        <v>9</v>
      </c>
      <c r="I22" s="236" t="s">
        <v>9</v>
      </c>
      <c r="J22" s="236">
        <v>130.19999999999999</v>
      </c>
      <c r="K22" s="236">
        <v>501.8</v>
      </c>
      <c r="L22" s="236">
        <v>18434.099999999999</v>
      </c>
      <c r="M22" s="236" t="s">
        <v>9</v>
      </c>
      <c r="N22" s="236" t="s">
        <v>9</v>
      </c>
      <c r="O22" s="236">
        <v>117.5</v>
      </c>
      <c r="P22" s="236">
        <v>473.2</v>
      </c>
      <c r="Q22" s="249"/>
      <c r="R22" s="249"/>
      <c r="S22" s="249"/>
      <c r="T22" s="249"/>
    </row>
    <row r="23" spans="1:20">
      <c r="A23" s="248">
        <v>1979</v>
      </c>
      <c r="B23" s="236">
        <v>11938.5</v>
      </c>
      <c r="C23" s="236" t="s">
        <v>9</v>
      </c>
      <c r="D23" s="236" t="s">
        <v>9</v>
      </c>
      <c r="E23" s="236">
        <v>54</v>
      </c>
      <c r="F23" s="236">
        <v>211.4</v>
      </c>
      <c r="G23" s="236">
        <v>26819.9</v>
      </c>
      <c r="H23" s="236" t="s">
        <v>9</v>
      </c>
      <c r="I23" s="236" t="s">
        <v>9</v>
      </c>
      <c r="J23" s="236">
        <v>126.9</v>
      </c>
      <c r="K23" s="236">
        <v>485.4</v>
      </c>
      <c r="L23" s="236">
        <v>19048.400000000001</v>
      </c>
      <c r="M23" s="236" t="s">
        <v>9</v>
      </c>
      <c r="N23" s="236" t="s">
        <v>9</v>
      </c>
      <c r="O23" s="236">
        <v>114.5</v>
      </c>
      <c r="P23" s="236">
        <v>458.5</v>
      </c>
      <c r="Q23" s="249"/>
      <c r="R23" s="249"/>
      <c r="S23" s="249"/>
      <c r="T23" s="249"/>
    </row>
    <row r="24" spans="1:20">
      <c r="A24" s="248">
        <v>1980</v>
      </c>
      <c r="B24" s="236">
        <v>13555.2</v>
      </c>
      <c r="C24" s="236" t="s">
        <v>9</v>
      </c>
      <c r="D24" s="236" t="s">
        <v>9</v>
      </c>
      <c r="E24" s="236">
        <v>61.2</v>
      </c>
      <c r="F24" s="236">
        <v>242.3</v>
      </c>
      <c r="G24" s="236">
        <v>27603.599999999999</v>
      </c>
      <c r="H24" s="236" t="s">
        <v>9</v>
      </c>
      <c r="I24" s="236" t="s">
        <v>9</v>
      </c>
      <c r="J24" s="236">
        <v>127.4</v>
      </c>
      <c r="K24" s="236">
        <v>490.7</v>
      </c>
      <c r="L24" s="236">
        <v>19816</v>
      </c>
      <c r="M24" s="236" t="s">
        <v>9</v>
      </c>
      <c r="N24" s="236" t="s">
        <v>9</v>
      </c>
      <c r="O24" s="236">
        <v>115.5</v>
      </c>
      <c r="P24" s="236">
        <v>465.9</v>
      </c>
      <c r="Q24" s="249"/>
      <c r="R24" s="249"/>
      <c r="S24" s="249"/>
      <c r="T24" s="249"/>
    </row>
    <row r="25" spans="1:20">
      <c r="A25" s="248">
        <v>1981</v>
      </c>
      <c r="B25" s="236">
        <v>15566.2</v>
      </c>
      <c r="C25" s="236" t="s">
        <v>9</v>
      </c>
      <c r="D25" s="236" t="s">
        <v>9</v>
      </c>
      <c r="E25" s="236">
        <v>69.099999999999994</v>
      </c>
      <c r="F25" s="236">
        <v>296.89999999999998</v>
      </c>
      <c r="G25" s="236">
        <v>28555.4</v>
      </c>
      <c r="H25" s="236" t="s">
        <v>9</v>
      </c>
      <c r="I25" s="236" t="s">
        <v>9</v>
      </c>
      <c r="J25" s="236">
        <v>129.30000000000001</v>
      </c>
      <c r="K25" s="236">
        <v>536.20000000000005</v>
      </c>
      <c r="L25" s="236">
        <v>20814.7</v>
      </c>
      <c r="M25" s="236" t="s">
        <v>9</v>
      </c>
      <c r="N25" s="236" t="s">
        <v>9</v>
      </c>
      <c r="O25" s="236">
        <v>117.6</v>
      </c>
      <c r="P25" s="236">
        <v>511.3</v>
      </c>
      <c r="Q25" s="249"/>
      <c r="R25" s="249"/>
      <c r="S25" s="249"/>
      <c r="T25" s="249"/>
    </row>
    <row r="26" spans="1:20">
      <c r="A26" s="248">
        <v>1982</v>
      </c>
      <c r="B26" s="236">
        <v>17408.400000000001</v>
      </c>
      <c r="C26" s="236" t="s">
        <v>9</v>
      </c>
      <c r="D26" s="236" t="s">
        <v>9</v>
      </c>
      <c r="E26" s="236">
        <v>74.099999999999994</v>
      </c>
      <c r="F26" s="236">
        <v>358.1</v>
      </c>
      <c r="G26" s="236">
        <v>29332.1</v>
      </c>
      <c r="H26" s="236" t="s">
        <v>9</v>
      </c>
      <c r="I26" s="236" t="s">
        <v>9</v>
      </c>
      <c r="J26" s="236">
        <v>128.30000000000001</v>
      </c>
      <c r="K26" s="236">
        <v>595</v>
      </c>
      <c r="L26" s="236">
        <v>21691.5</v>
      </c>
      <c r="M26" s="236" t="s">
        <v>9</v>
      </c>
      <c r="N26" s="236" t="s">
        <v>9</v>
      </c>
      <c r="O26" s="236">
        <v>116.6</v>
      </c>
      <c r="P26" s="236">
        <v>569</v>
      </c>
      <c r="Q26" s="249"/>
      <c r="R26" s="249"/>
      <c r="S26" s="249"/>
      <c r="T26" s="249"/>
    </row>
    <row r="27" spans="1:20">
      <c r="A27" s="248">
        <v>1983</v>
      </c>
      <c r="B27" s="236">
        <v>18413.099999999999</v>
      </c>
      <c r="C27" s="236" t="s">
        <v>9</v>
      </c>
      <c r="D27" s="236" t="s">
        <v>9</v>
      </c>
      <c r="E27" s="236">
        <v>73.5</v>
      </c>
      <c r="F27" s="236">
        <v>369.5</v>
      </c>
      <c r="G27" s="236">
        <v>29809.1</v>
      </c>
      <c r="H27" s="236" t="s">
        <v>9</v>
      </c>
      <c r="I27" s="236" t="s">
        <v>9</v>
      </c>
      <c r="J27" s="236">
        <v>123.9</v>
      </c>
      <c r="K27" s="236">
        <v>599.4</v>
      </c>
      <c r="L27" s="236">
        <v>22441.8</v>
      </c>
      <c r="M27" s="236" t="s">
        <v>9</v>
      </c>
      <c r="N27" s="236" t="s">
        <v>9</v>
      </c>
      <c r="O27" s="236">
        <v>112.8</v>
      </c>
      <c r="P27" s="236">
        <v>573.4</v>
      </c>
      <c r="Q27" s="249"/>
      <c r="R27" s="249"/>
      <c r="S27" s="249"/>
      <c r="T27" s="249"/>
    </row>
    <row r="28" spans="1:20">
      <c r="A28" s="248">
        <v>1984</v>
      </c>
      <c r="B28" s="236">
        <v>19748.2</v>
      </c>
      <c r="C28" s="236" t="s">
        <v>9</v>
      </c>
      <c r="D28" s="236" t="s">
        <v>9</v>
      </c>
      <c r="E28" s="236">
        <v>74.900000000000006</v>
      </c>
      <c r="F28" s="236">
        <v>371.6</v>
      </c>
      <c r="G28" s="236">
        <v>30383.5</v>
      </c>
      <c r="H28" s="236" t="s">
        <v>9</v>
      </c>
      <c r="I28" s="236" t="s">
        <v>9</v>
      </c>
      <c r="J28" s="236">
        <v>120.6</v>
      </c>
      <c r="K28" s="236">
        <v>575.5</v>
      </c>
      <c r="L28" s="236">
        <v>23322.9</v>
      </c>
      <c r="M28" s="236" t="s">
        <v>9</v>
      </c>
      <c r="N28" s="236" t="s">
        <v>9</v>
      </c>
      <c r="O28" s="236">
        <v>109.8</v>
      </c>
      <c r="P28" s="236">
        <v>549.6</v>
      </c>
      <c r="Q28" s="249"/>
      <c r="R28" s="249"/>
      <c r="S28" s="249"/>
      <c r="T28" s="249"/>
    </row>
    <row r="29" spans="1:20">
      <c r="A29" s="248">
        <v>1985</v>
      </c>
      <c r="B29" s="236">
        <v>21439.200000000001</v>
      </c>
      <c r="C29" s="236" t="s">
        <v>9</v>
      </c>
      <c r="D29" s="236" t="s">
        <v>9</v>
      </c>
      <c r="E29" s="236">
        <v>77.099999999999994</v>
      </c>
      <c r="F29" s="236">
        <v>398.2</v>
      </c>
      <c r="G29" s="236">
        <v>31170.2</v>
      </c>
      <c r="H29" s="236" t="s">
        <v>9</v>
      </c>
      <c r="I29" s="236" t="s">
        <v>9</v>
      </c>
      <c r="J29" s="236">
        <v>117.4</v>
      </c>
      <c r="K29" s="236">
        <v>580.29999999999995</v>
      </c>
      <c r="L29" s="236">
        <v>24395</v>
      </c>
      <c r="M29" s="236" t="s">
        <v>9</v>
      </c>
      <c r="N29" s="236" t="s">
        <v>9</v>
      </c>
      <c r="O29" s="236">
        <v>106.9</v>
      </c>
      <c r="P29" s="236">
        <v>556.20000000000005</v>
      </c>
      <c r="Q29" s="249"/>
      <c r="R29" s="249"/>
      <c r="S29" s="249"/>
      <c r="T29" s="249"/>
    </row>
    <row r="30" spans="1:20">
      <c r="A30" s="248">
        <v>1986</v>
      </c>
      <c r="B30" s="236">
        <v>23108.6</v>
      </c>
      <c r="C30" s="236" t="s">
        <v>9</v>
      </c>
      <c r="D30" s="236" t="s">
        <v>9</v>
      </c>
      <c r="E30" s="236">
        <v>76.8</v>
      </c>
      <c r="F30" s="236">
        <v>414.5</v>
      </c>
      <c r="G30" s="236">
        <v>32236.2</v>
      </c>
      <c r="H30" s="236" t="s">
        <v>9</v>
      </c>
      <c r="I30" s="236" t="s">
        <v>9</v>
      </c>
      <c r="J30" s="236">
        <v>113.2</v>
      </c>
      <c r="K30" s="236">
        <v>582.4</v>
      </c>
      <c r="L30" s="236">
        <v>25666.5</v>
      </c>
      <c r="M30" s="236" t="s">
        <v>9</v>
      </c>
      <c r="N30" s="236" t="s">
        <v>9</v>
      </c>
      <c r="O30" s="236">
        <v>103</v>
      </c>
      <c r="P30" s="236">
        <v>560.79999999999995</v>
      </c>
      <c r="Q30" s="249"/>
      <c r="R30" s="249"/>
      <c r="S30" s="249"/>
      <c r="T30" s="249"/>
    </row>
    <row r="31" spans="1:20">
      <c r="A31" s="248">
        <v>1987</v>
      </c>
      <c r="B31" s="236">
        <v>24924.6</v>
      </c>
      <c r="C31" s="236" t="s">
        <v>9</v>
      </c>
      <c r="D31" s="236" t="s">
        <v>9</v>
      </c>
      <c r="E31" s="236">
        <v>81.400000000000006</v>
      </c>
      <c r="F31" s="236">
        <v>410.1</v>
      </c>
      <c r="G31" s="236">
        <v>33574.300000000003</v>
      </c>
      <c r="H31" s="236" t="s">
        <v>9</v>
      </c>
      <c r="I31" s="236" t="s">
        <v>9</v>
      </c>
      <c r="J31" s="236">
        <v>117.2</v>
      </c>
      <c r="K31" s="236">
        <v>568.29999999999995</v>
      </c>
      <c r="L31" s="236">
        <v>27195.1</v>
      </c>
      <c r="M31" s="236" t="s">
        <v>9</v>
      </c>
      <c r="N31" s="236" t="s">
        <v>9</v>
      </c>
      <c r="O31" s="236">
        <v>107.5</v>
      </c>
      <c r="P31" s="236">
        <v>549.6</v>
      </c>
      <c r="Q31" s="249"/>
      <c r="R31" s="249"/>
      <c r="S31" s="249"/>
      <c r="T31" s="249"/>
    </row>
    <row r="32" spans="1:20">
      <c r="A32" s="248">
        <v>1988</v>
      </c>
      <c r="B32" s="236">
        <v>27181.1</v>
      </c>
      <c r="C32" s="236" t="s">
        <v>9</v>
      </c>
      <c r="D32" s="236" t="s">
        <v>9</v>
      </c>
      <c r="E32" s="236">
        <v>94.9</v>
      </c>
      <c r="F32" s="236">
        <v>423.6</v>
      </c>
      <c r="G32" s="236">
        <v>35353.5</v>
      </c>
      <c r="H32" s="236" t="s">
        <v>9</v>
      </c>
      <c r="I32" s="236" t="s">
        <v>9</v>
      </c>
      <c r="J32" s="236">
        <v>133.69999999999999</v>
      </c>
      <c r="K32" s="236">
        <v>580</v>
      </c>
      <c r="L32" s="236">
        <v>29143.200000000001</v>
      </c>
      <c r="M32" s="236" t="s">
        <v>9</v>
      </c>
      <c r="N32" s="236" t="s">
        <v>9</v>
      </c>
      <c r="O32" s="236">
        <v>124</v>
      </c>
      <c r="P32" s="236">
        <v>565.20000000000005</v>
      </c>
      <c r="Q32" s="249"/>
      <c r="R32" s="249"/>
      <c r="S32" s="249"/>
      <c r="T32" s="249"/>
    </row>
    <row r="33" spans="1:20">
      <c r="A33" s="248">
        <v>1989</v>
      </c>
      <c r="B33" s="236">
        <v>29939.4</v>
      </c>
      <c r="C33" s="236" t="s">
        <v>9</v>
      </c>
      <c r="D33" s="236" t="s">
        <v>9</v>
      </c>
      <c r="E33" s="236">
        <v>109.9</v>
      </c>
      <c r="F33" s="236">
        <v>488.6</v>
      </c>
      <c r="G33" s="236">
        <v>37441.300000000003</v>
      </c>
      <c r="H33" s="236" t="s">
        <v>9</v>
      </c>
      <c r="I33" s="236" t="s">
        <v>9</v>
      </c>
      <c r="J33" s="236">
        <v>149</v>
      </c>
      <c r="K33" s="236">
        <v>643.29999999999995</v>
      </c>
      <c r="L33" s="236">
        <v>31412.799999999999</v>
      </c>
      <c r="M33" s="236" t="s">
        <v>9</v>
      </c>
      <c r="N33" s="236" t="s">
        <v>9</v>
      </c>
      <c r="O33" s="236">
        <v>138.9</v>
      </c>
      <c r="P33" s="236">
        <v>633.20000000000005</v>
      </c>
      <c r="Q33" s="249"/>
      <c r="R33" s="249"/>
      <c r="S33" s="249"/>
      <c r="T33" s="249"/>
    </row>
    <row r="34" spans="1:20">
      <c r="A34" s="248">
        <v>1990</v>
      </c>
      <c r="B34" s="236">
        <v>32088.9</v>
      </c>
      <c r="C34" s="236" t="s">
        <v>9</v>
      </c>
      <c r="D34" s="236" t="s">
        <v>9</v>
      </c>
      <c r="E34" s="236">
        <v>113.1</v>
      </c>
      <c r="F34" s="236">
        <v>551.70000000000005</v>
      </c>
      <c r="G34" s="236">
        <v>39029.800000000003</v>
      </c>
      <c r="H34" s="236" t="s">
        <v>9</v>
      </c>
      <c r="I34" s="236" t="s">
        <v>9</v>
      </c>
      <c r="J34" s="236">
        <v>150.6</v>
      </c>
      <c r="K34" s="236">
        <v>709.9</v>
      </c>
      <c r="L34" s="236">
        <v>33243</v>
      </c>
      <c r="M34" s="236" t="s">
        <v>9</v>
      </c>
      <c r="N34" s="236" t="s">
        <v>9</v>
      </c>
      <c r="O34" s="236">
        <v>140.5</v>
      </c>
      <c r="P34" s="236">
        <v>703.6</v>
      </c>
      <c r="Q34" s="249"/>
      <c r="R34" s="249"/>
      <c r="S34" s="249"/>
      <c r="T34" s="249"/>
    </row>
    <row r="35" spans="1:20">
      <c r="A35" s="248">
        <v>1991</v>
      </c>
      <c r="B35" s="236">
        <v>32108.6</v>
      </c>
      <c r="C35" s="236" t="s">
        <v>9</v>
      </c>
      <c r="D35" s="236" t="s">
        <v>9</v>
      </c>
      <c r="E35" s="236">
        <v>105.4</v>
      </c>
      <c r="F35" s="236">
        <v>551.9</v>
      </c>
      <c r="G35" s="236">
        <v>40107.800000000003</v>
      </c>
      <c r="H35" s="236" t="s">
        <v>9</v>
      </c>
      <c r="I35" s="236" t="s">
        <v>9</v>
      </c>
      <c r="J35" s="236">
        <v>143.19999999999999</v>
      </c>
      <c r="K35" s="236">
        <v>718.5</v>
      </c>
      <c r="L35" s="236">
        <v>34556.1</v>
      </c>
      <c r="M35" s="236" t="s">
        <v>9</v>
      </c>
      <c r="N35" s="236" t="s">
        <v>9</v>
      </c>
      <c r="O35" s="236">
        <v>133.19999999999999</v>
      </c>
      <c r="P35" s="236">
        <v>714.4</v>
      </c>
      <c r="Q35" s="249"/>
      <c r="R35" s="249"/>
      <c r="S35" s="249"/>
      <c r="T35" s="249"/>
    </row>
    <row r="36" spans="1:20">
      <c r="A36" s="248">
        <v>1992</v>
      </c>
      <c r="B36" s="236">
        <v>33199.599999999999</v>
      </c>
      <c r="C36" s="236" t="s">
        <v>9</v>
      </c>
      <c r="D36" s="236" t="s">
        <v>9</v>
      </c>
      <c r="E36" s="236">
        <v>101.4</v>
      </c>
      <c r="F36" s="236">
        <v>555</v>
      </c>
      <c r="G36" s="236">
        <v>40863.599999999999</v>
      </c>
      <c r="H36" s="236" t="s">
        <v>9</v>
      </c>
      <c r="I36" s="236" t="s">
        <v>9</v>
      </c>
      <c r="J36" s="236">
        <v>133.6</v>
      </c>
      <c r="K36" s="236">
        <v>696.9</v>
      </c>
      <c r="L36" s="236">
        <v>35699.800000000003</v>
      </c>
      <c r="M36" s="236" t="s">
        <v>9</v>
      </c>
      <c r="N36" s="236" t="s">
        <v>9</v>
      </c>
      <c r="O36" s="236">
        <v>124.2</v>
      </c>
      <c r="P36" s="236">
        <v>694.2</v>
      </c>
      <c r="Q36" s="249"/>
      <c r="R36" s="249"/>
      <c r="S36" s="249"/>
      <c r="T36" s="249"/>
    </row>
    <row r="37" spans="1:20">
      <c r="A37" s="248">
        <v>1993</v>
      </c>
      <c r="B37" s="236">
        <v>34497.9</v>
      </c>
      <c r="C37" s="236" t="s">
        <v>9</v>
      </c>
      <c r="D37" s="236" t="s">
        <v>9</v>
      </c>
      <c r="E37" s="236">
        <v>99.9</v>
      </c>
      <c r="F37" s="236">
        <v>562.20000000000005</v>
      </c>
      <c r="G37" s="236">
        <v>41351.300000000003</v>
      </c>
      <c r="H37" s="236" t="s">
        <v>9</v>
      </c>
      <c r="I37" s="236" t="s">
        <v>9</v>
      </c>
      <c r="J37" s="236">
        <v>125.7</v>
      </c>
      <c r="K37" s="236">
        <v>673.1</v>
      </c>
      <c r="L37" s="236">
        <v>36588.1</v>
      </c>
      <c r="M37" s="236" t="s">
        <v>9</v>
      </c>
      <c r="N37" s="236" t="s">
        <v>9</v>
      </c>
      <c r="O37" s="236">
        <v>117.4</v>
      </c>
      <c r="P37" s="236">
        <v>673.9</v>
      </c>
      <c r="Q37" s="249"/>
      <c r="R37" s="249"/>
      <c r="S37" s="249"/>
      <c r="T37" s="249"/>
    </row>
    <row r="38" spans="1:20">
      <c r="A38" s="248">
        <v>1994</v>
      </c>
      <c r="B38" s="236">
        <v>36284</v>
      </c>
      <c r="C38" s="236" t="s">
        <v>9</v>
      </c>
      <c r="D38" s="236" t="s">
        <v>9</v>
      </c>
      <c r="E38" s="236">
        <v>104.9</v>
      </c>
      <c r="F38" s="236">
        <v>569.70000000000005</v>
      </c>
      <c r="G38" s="236">
        <v>42085.7</v>
      </c>
      <c r="H38" s="236" t="s">
        <v>9</v>
      </c>
      <c r="I38" s="236" t="s">
        <v>9</v>
      </c>
      <c r="J38" s="236">
        <v>126</v>
      </c>
      <c r="K38" s="236">
        <v>651.5</v>
      </c>
      <c r="L38" s="236">
        <v>37619.5</v>
      </c>
      <c r="M38" s="236" t="s">
        <v>9</v>
      </c>
      <c r="N38" s="236" t="s">
        <v>9</v>
      </c>
      <c r="O38" s="236">
        <v>118</v>
      </c>
      <c r="P38" s="236">
        <v>652.79999999999995</v>
      </c>
      <c r="Q38" s="249"/>
      <c r="R38" s="249"/>
      <c r="S38" s="249"/>
      <c r="T38" s="249"/>
    </row>
    <row r="39" spans="1:20">
      <c r="A39" s="248">
        <v>1995</v>
      </c>
      <c r="B39" s="236">
        <v>38398.9</v>
      </c>
      <c r="C39" s="236" t="s">
        <v>9</v>
      </c>
      <c r="D39" s="236" t="s">
        <v>9</v>
      </c>
      <c r="E39" s="236">
        <v>125</v>
      </c>
      <c r="F39" s="236">
        <v>629.6</v>
      </c>
      <c r="G39" s="236">
        <v>43282.1</v>
      </c>
      <c r="H39" s="236" t="s">
        <v>9</v>
      </c>
      <c r="I39" s="236" t="s">
        <v>9</v>
      </c>
      <c r="J39" s="236">
        <v>143.80000000000001</v>
      </c>
      <c r="K39" s="236">
        <v>695.9</v>
      </c>
      <c r="L39" s="236">
        <v>39182.300000000003</v>
      </c>
      <c r="M39" s="236" t="s">
        <v>9</v>
      </c>
      <c r="N39" s="236" t="s">
        <v>9</v>
      </c>
      <c r="O39" s="236">
        <v>135.9</v>
      </c>
      <c r="P39" s="236">
        <v>697.3</v>
      </c>
      <c r="Q39" s="249"/>
      <c r="R39" s="249"/>
      <c r="S39" s="249"/>
      <c r="T39" s="249"/>
    </row>
    <row r="40" spans="1:20">
      <c r="A40" s="248">
        <v>1996</v>
      </c>
      <c r="B40" s="236">
        <v>40687.9</v>
      </c>
      <c r="C40" s="236" t="s">
        <v>9</v>
      </c>
      <c r="D40" s="236" t="s">
        <v>9</v>
      </c>
      <c r="E40" s="236">
        <v>143.6</v>
      </c>
      <c r="F40" s="236">
        <v>720.2</v>
      </c>
      <c r="G40" s="236">
        <v>44694.2</v>
      </c>
      <c r="H40" s="236" t="s">
        <v>9</v>
      </c>
      <c r="I40" s="236" t="s">
        <v>9</v>
      </c>
      <c r="J40" s="236">
        <v>160.1</v>
      </c>
      <c r="K40" s="236">
        <v>775</v>
      </c>
      <c r="L40" s="236">
        <v>41106.9</v>
      </c>
      <c r="M40" s="236" t="s">
        <v>9</v>
      </c>
      <c r="N40" s="236" t="s">
        <v>9</v>
      </c>
      <c r="O40" s="236">
        <v>152.80000000000001</v>
      </c>
      <c r="P40" s="236">
        <v>782.3</v>
      </c>
      <c r="Q40" s="249"/>
      <c r="R40" s="249"/>
      <c r="S40" s="249"/>
      <c r="T40" s="249"/>
    </row>
    <row r="41" spans="1:20">
      <c r="A41" s="248">
        <v>1997</v>
      </c>
      <c r="B41" s="236">
        <v>43522.7</v>
      </c>
      <c r="C41" s="236" t="s">
        <v>9</v>
      </c>
      <c r="D41" s="236" t="s">
        <v>9</v>
      </c>
      <c r="E41" s="236">
        <v>156.6</v>
      </c>
      <c r="F41" s="236">
        <v>747.2</v>
      </c>
      <c r="G41" s="236">
        <v>46478.9</v>
      </c>
      <c r="H41" s="236" t="s">
        <v>9</v>
      </c>
      <c r="I41" s="236" t="s">
        <v>9</v>
      </c>
      <c r="J41" s="236">
        <v>170.3</v>
      </c>
      <c r="K41" s="236">
        <v>782.7</v>
      </c>
      <c r="L41" s="236">
        <v>43367.8</v>
      </c>
      <c r="M41" s="236" t="s">
        <v>9</v>
      </c>
      <c r="N41" s="236" t="s">
        <v>9</v>
      </c>
      <c r="O41" s="236">
        <v>162.9</v>
      </c>
      <c r="P41" s="236">
        <v>792.4</v>
      </c>
      <c r="Q41" s="249"/>
      <c r="R41" s="249"/>
      <c r="S41" s="249"/>
      <c r="T41" s="249"/>
    </row>
    <row r="42" spans="1:20">
      <c r="A42" s="248">
        <v>1998</v>
      </c>
      <c r="B42" s="236">
        <v>47077.1</v>
      </c>
      <c r="C42" s="236" t="s">
        <v>9</v>
      </c>
      <c r="D42" s="236" t="s">
        <v>9</v>
      </c>
      <c r="E42" s="236">
        <v>176.3</v>
      </c>
      <c r="F42" s="236">
        <v>763.6</v>
      </c>
      <c r="G42" s="236">
        <v>48551.8</v>
      </c>
      <c r="H42" s="236" t="s">
        <v>9</v>
      </c>
      <c r="I42" s="236" t="s">
        <v>9</v>
      </c>
      <c r="J42" s="236">
        <v>179.5</v>
      </c>
      <c r="K42" s="236">
        <v>750.1</v>
      </c>
      <c r="L42" s="236">
        <v>45845.9</v>
      </c>
      <c r="M42" s="236" t="s">
        <v>9</v>
      </c>
      <c r="N42" s="236" t="s">
        <v>9</v>
      </c>
      <c r="O42" s="236">
        <v>172.2</v>
      </c>
      <c r="P42" s="236">
        <v>758.6</v>
      </c>
      <c r="Q42" s="249"/>
      <c r="R42" s="249"/>
      <c r="S42" s="249"/>
      <c r="T42" s="249"/>
    </row>
    <row r="43" spans="1:20">
      <c r="A43" s="248">
        <v>1999</v>
      </c>
      <c r="B43" s="236">
        <v>49662.1</v>
      </c>
      <c r="C43" s="236" t="s">
        <v>9</v>
      </c>
      <c r="D43" s="236" t="s">
        <v>9</v>
      </c>
      <c r="E43" s="236">
        <v>180.2</v>
      </c>
      <c r="F43" s="236">
        <v>739.6</v>
      </c>
      <c r="G43" s="236">
        <v>50661.9</v>
      </c>
      <c r="H43" s="236" t="s">
        <v>9</v>
      </c>
      <c r="I43" s="236" t="s">
        <v>9</v>
      </c>
      <c r="J43" s="236">
        <v>180</v>
      </c>
      <c r="K43" s="236">
        <v>718.3</v>
      </c>
      <c r="L43" s="236">
        <v>48559.8</v>
      </c>
      <c r="M43" s="236" t="s">
        <v>9</v>
      </c>
      <c r="N43" s="236" t="s">
        <v>9</v>
      </c>
      <c r="O43" s="236">
        <v>173.4</v>
      </c>
      <c r="P43" s="236">
        <v>724.9</v>
      </c>
      <c r="Q43" s="249"/>
      <c r="R43" s="249"/>
      <c r="S43" s="249"/>
      <c r="T43" s="249"/>
    </row>
    <row r="44" spans="1:20">
      <c r="A44" s="248">
        <v>2000</v>
      </c>
      <c r="B44" s="236">
        <v>53367.8</v>
      </c>
      <c r="C44" s="236" t="s">
        <v>9</v>
      </c>
      <c r="D44" s="236" t="s">
        <v>9</v>
      </c>
      <c r="E44" s="236">
        <v>185.4</v>
      </c>
      <c r="F44" s="236">
        <v>737.6</v>
      </c>
      <c r="G44" s="236">
        <v>52723.3</v>
      </c>
      <c r="H44" s="236" t="s">
        <v>9</v>
      </c>
      <c r="I44" s="236" t="s">
        <v>9</v>
      </c>
      <c r="J44" s="236">
        <v>180.6</v>
      </c>
      <c r="K44" s="236">
        <v>705.3</v>
      </c>
      <c r="L44" s="236">
        <v>51372.3</v>
      </c>
      <c r="M44" s="236" t="s">
        <v>9</v>
      </c>
      <c r="N44" s="236" t="s">
        <v>9</v>
      </c>
      <c r="O44" s="236">
        <v>174.5</v>
      </c>
      <c r="P44" s="236">
        <v>708.5</v>
      </c>
      <c r="Q44" s="249"/>
      <c r="R44" s="249"/>
      <c r="S44" s="249"/>
      <c r="T44" s="249"/>
    </row>
    <row r="45" spans="1:20">
      <c r="A45" s="248">
        <v>2001</v>
      </c>
      <c r="B45" s="236">
        <v>56528.9</v>
      </c>
      <c r="C45" s="236" t="s">
        <v>9</v>
      </c>
      <c r="D45" s="236" t="s">
        <v>9</v>
      </c>
      <c r="E45" s="236">
        <v>189.3</v>
      </c>
      <c r="F45" s="236">
        <v>756.5</v>
      </c>
      <c r="G45" s="236">
        <v>54405.3</v>
      </c>
      <c r="H45" s="236" t="s">
        <v>9</v>
      </c>
      <c r="I45" s="236" t="s">
        <v>9</v>
      </c>
      <c r="J45" s="236">
        <v>177</v>
      </c>
      <c r="K45" s="236">
        <v>699.3</v>
      </c>
      <c r="L45" s="236">
        <v>53697.1</v>
      </c>
      <c r="M45" s="236" t="s">
        <v>9</v>
      </c>
      <c r="N45" s="236" t="s">
        <v>9</v>
      </c>
      <c r="O45" s="236">
        <v>171.9</v>
      </c>
      <c r="P45" s="236">
        <v>699.5</v>
      </c>
      <c r="Q45" s="249"/>
      <c r="R45" s="249"/>
      <c r="S45" s="249"/>
      <c r="T45" s="249"/>
    </row>
    <row r="46" spans="1:20">
      <c r="A46" s="248">
        <v>2002</v>
      </c>
      <c r="B46" s="236">
        <v>58102.2</v>
      </c>
      <c r="C46" s="236" t="s">
        <v>9</v>
      </c>
      <c r="D46" s="236" t="s">
        <v>9</v>
      </c>
      <c r="E46" s="236">
        <v>183.3</v>
      </c>
      <c r="F46" s="236">
        <v>735</v>
      </c>
      <c r="G46" s="236">
        <v>55760.9</v>
      </c>
      <c r="H46" s="236" t="s">
        <v>9</v>
      </c>
      <c r="I46" s="236" t="s">
        <v>9</v>
      </c>
      <c r="J46" s="236">
        <v>169.1</v>
      </c>
      <c r="K46" s="236">
        <v>672.4</v>
      </c>
      <c r="L46" s="236">
        <v>55284.6</v>
      </c>
      <c r="M46" s="236" t="s">
        <v>9</v>
      </c>
      <c r="N46" s="236" t="s">
        <v>9</v>
      </c>
      <c r="O46" s="236">
        <v>164.6</v>
      </c>
      <c r="P46" s="236">
        <v>671.3</v>
      </c>
      <c r="Q46" s="249"/>
      <c r="R46" s="249"/>
      <c r="S46" s="249"/>
      <c r="T46" s="249"/>
    </row>
    <row r="47" spans="1:20">
      <c r="A47" s="248">
        <v>2003</v>
      </c>
      <c r="B47" s="236">
        <v>57841.3</v>
      </c>
      <c r="C47" s="236" t="s">
        <v>9</v>
      </c>
      <c r="D47" s="236" t="s">
        <v>9</v>
      </c>
      <c r="E47" s="236">
        <v>168.9</v>
      </c>
      <c r="F47" s="236">
        <v>674.4</v>
      </c>
      <c r="G47" s="236">
        <v>57068.4</v>
      </c>
      <c r="H47" s="236" t="s">
        <v>9</v>
      </c>
      <c r="I47" s="236" t="s">
        <v>9</v>
      </c>
      <c r="J47" s="236">
        <v>162.69999999999999</v>
      </c>
      <c r="K47" s="236">
        <v>649.6</v>
      </c>
      <c r="L47" s="236">
        <v>56596.9</v>
      </c>
      <c r="M47" s="236" t="s">
        <v>9</v>
      </c>
      <c r="N47" s="236" t="s">
        <v>9</v>
      </c>
      <c r="O47" s="236">
        <v>159.4</v>
      </c>
      <c r="P47" s="236">
        <v>648.79999999999995</v>
      </c>
      <c r="Q47" s="249"/>
      <c r="R47" s="249"/>
      <c r="S47" s="249"/>
      <c r="T47" s="249"/>
    </row>
    <row r="48" spans="1:20">
      <c r="A48" s="248">
        <v>2004</v>
      </c>
      <c r="B48" s="236">
        <v>58863</v>
      </c>
      <c r="C48" s="236" t="s">
        <v>9</v>
      </c>
      <c r="D48" s="236" t="s">
        <v>9</v>
      </c>
      <c r="E48" s="236">
        <v>168</v>
      </c>
      <c r="F48" s="236">
        <v>647.20000000000005</v>
      </c>
      <c r="G48" s="236">
        <v>58784.2</v>
      </c>
      <c r="H48" s="236" t="s">
        <v>9</v>
      </c>
      <c r="I48" s="236" t="s">
        <v>9</v>
      </c>
      <c r="J48" s="236">
        <v>163.19999999999999</v>
      </c>
      <c r="K48" s="236">
        <v>634.6</v>
      </c>
      <c r="L48" s="236">
        <v>58432.4</v>
      </c>
      <c r="M48" s="236" t="s">
        <v>9</v>
      </c>
      <c r="N48" s="236" t="s">
        <v>9</v>
      </c>
      <c r="O48" s="236">
        <v>162.1</v>
      </c>
      <c r="P48" s="236">
        <v>633.1</v>
      </c>
      <c r="Q48" s="249"/>
      <c r="R48" s="249"/>
      <c r="S48" s="249"/>
      <c r="T48" s="249"/>
    </row>
    <row r="49" spans="1:20">
      <c r="A49" s="248">
        <v>2005</v>
      </c>
      <c r="B49" s="236">
        <v>61094.2</v>
      </c>
      <c r="C49" s="236" t="s">
        <v>9</v>
      </c>
      <c r="D49" s="236" t="s">
        <v>9</v>
      </c>
      <c r="E49" s="236">
        <v>173.2</v>
      </c>
      <c r="F49" s="236">
        <v>614.9</v>
      </c>
      <c r="G49" s="236">
        <v>61376</v>
      </c>
      <c r="H49" s="236" t="s">
        <v>9</v>
      </c>
      <c r="I49" s="236" t="s">
        <v>9</v>
      </c>
      <c r="J49" s="236">
        <v>170.3</v>
      </c>
      <c r="K49" s="236">
        <v>611</v>
      </c>
      <c r="L49" s="236">
        <v>61200.5</v>
      </c>
      <c r="M49" s="236" t="s">
        <v>9</v>
      </c>
      <c r="N49" s="236" t="s">
        <v>9</v>
      </c>
      <c r="O49" s="236">
        <v>170.4</v>
      </c>
      <c r="P49" s="236">
        <v>609.9</v>
      </c>
      <c r="Q49" s="249"/>
      <c r="R49" s="249"/>
      <c r="S49" s="249"/>
      <c r="T49" s="249"/>
    </row>
    <row r="50" spans="1:20">
      <c r="A50" s="248">
        <v>2006</v>
      </c>
      <c r="B50" s="236">
        <v>64285.3</v>
      </c>
      <c r="C50" s="236" t="s">
        <v>9</v>
      </c>
      <c r="D50" s="236" t="s">
        <v>9</v>
      </c>
      <c r="E50" s="236">
        <v>173.9</v>
      </c>
      <c r="F50" s="236">
        <v>582.29999999999995</v>
      </c>
      <c r="G50" s="236">
        <v>64586.7</v>
      </c>
      <c r="H50" s="236" t="s">
        <v>9</v>
      </c>
      <c r="I50" s="236" t="s">
        <v>9</v>
      </c>
      <c r="J50" s="236">
        <v>173.4</v>
      </c>
      <c r="K50" s="236">
        <v>582.1</v>
      </c>
      <c r="L50" s="236">
        <v>64552.7</v>
      </c>
      <c r="M50" s="236" t="s">
        <v>9</v>
      </c>
      <c r="N50" s="236" t="s">
        <v>9</v>
      </c>
      <c r="O50" s="236">
        <v>173.5</v>
      </c>
      <c r="P50" s="236">
        <v>581.9</v>
      </c>
      <c r="Q50" s="249"/>
      <c r="R50" s="249"/>
      <c r="S50" s="249"/>
      <c r="T50" s="249"/>
    </row>
    <row r="51" spans="1:20">
      <c r="A51" s="248">
        <v>2007</v>
      </c>
      <c r="B51" s="236">
        <v>67518.7</v>
      </c>
      <c r="C51" s="236" t="s">
        <v>9</v>
      </c>
      <c r="D51" s="236" t="s">
        <v>9</v>
      </c>
      <c r="E51" s="236">
        <v>172.6</v>
      </c>
      <c r="F51" s="236">
        <v>554.9</v>
      </c>
      <c r="G51" s="236">
        <v>67518.7</v>
      </c>
      <c r="H51" s="236" t="s">
        <v>9</v>
      </c>
      <c r="I51" s="236" t="s">
        <v>9</v>
      </c>
      <c r="J51" s="236">
        <v>172.6</v>
      </c>
      <c r="K51" s="236">
        <v>554.9</v>
      </c>
      <c r="L51" s="236">
        <v>67518.7</v>
      </c>
      <c r="M51" s="236" t="s">
        <v>9</v>
      </c>
      <c r="N51" s="236" t="s">
        <v>9</v>
      </c>
      <c r="O51" s="236">
        <v>172.6</v>
      </c>
      <c r="P51" s="236">
        <v>554.9</v>
      </c>
      <c r="Q51" s="249"/>
      <c r="R51" s="249"/>
      <c r="S51" s="249"/>
      <c r="T51" s="249"/>
    </row>
    <row r="52" spans="1:20">
      <c r="A52" s="248">
        <v>2008</v>
      </c>
      <c r="B52" s="236">
        <v>72238.899999999994</v>
      </c>
      <c r="C52" s="236" t="s">
        <v>9</v>
      </c>
      <c r="D52" s="236" t="s">
        <v>9</v>
      </c>
      <c r="E52" s="236">
        <v>176.5</v>
      </c>
      <c r="F52" s="236">
        <v>549.9</v>
      </c>
      <c r="G52" s="236">
        <v>69867.199999999997</v>
      </c>
      <c r="H52" s="236" t="s">
        <v>9</v>
      </c>
      <c r="I52" s="236" t="s">
        <v>9</v>
      </c>
      <c r="J52" s="236">
        <v>169</v>
      </c>
      <c r="K52" s="236">
        <v>528.70000000000005</v>
      </c>
      <c r="L52" s="236">
        <v>69846.7</v>
      </c>
      <c r="M52" s="236" t="s">
        <v>9</v>
      </c>
      <c r="N52" s="236" t="s">
        <v>9</v>
      </c>
      <c r="O52" s="236">
        <v>169</v>
      </c>
      <c r="P52" s="236">
        <v>528.6</v>
      </c>
      <c r="Q52" s="249"/>
      <c r="R52" s="249"/>
      <c r="S52" s="249"/>
      <c r="T52" s="249"/>
    </row>
    <row r="53" spans="1:20">
      <c r="A53" s="248">
        <v>2009</v>
      </c>
      <c r="B53" s="236">
        <v>75111.8</v>
      </c>
      <c r="C53" s="236" t="s">
        <v>9</v>
      </c>
      <c r="D53" s="236" t="s">
        <v>9</v>
      </c>
      <c r="E53" s="236">
        <v>169.6</v>
      </c>
      <c r="F53" s="236">
        <v>532.20000000000005</v>
      </c>
      <c r="G53" s="236">
        <v>70504.899999999994</v>
      </c>
      <c r="H53" s="236" t="s">
        <v>9</v>
      </c>
      <c r="I53" s="236" t="s">
        <v>9</v>
      </c>
      <c r="J53" s="236">
        <v>156.5</v>
      </c>
      <c r="K53" s="236">
        <v>491.4</v>
      </c>
      <c r="L53" s="236">
        <v>70478.399999999994</v>
      </c>
      <c r="M53" s="236" t="s">
        <v>9</v>
      </c>
      <c r="N53" s="236" t="s">
        <v>9</v>
      </c>
      <c r="O53" s="236">
        <v>156.69999999999999</v>
      </c>
      <c r="P53" s="236">
        <v>491.2</v>
      </c>
      <c r="Q53" s="249"/>
      <c r="R53" s="249"/>
      <c r="S53" s="249"/>
      <c r="T53" s="249"/>
    </row>
    <row r="54" spans="1:20">
      <c r="A54" s="248">
        <v>2010</v>
      </c>
      <c r="B54" s="236">
        <v>73049.7</v>
      </c>
      <c r="C54" s="236" t="s">
        <v>9</v>
      </c>
      <c r="D54" s="236" t="s">
        <v>9</v>
      </c>
      <c r="E54" s="236" t="s">
        <v>9</v>
      </c>
      <c r="F54" s="236">
        <v>461.1</v>
      </c>
      <c r="G54" s="236">
        <v>70861.3</v>
      </c>
      <c r="H54" s="236" t="s">
        <v>9</v>
      </c>
      <c r="I54" s="236" t="s">
        <v>9</v>
      </c>
      <c r="J54" s="236" t="s">
        <v>9</v>
      </c>
      <c r="K54" s="236">
        <v>447</v>
      </c>
      <c r="L54" s="236">
        <v>70883</v>
      </c>
      <c r="M54" s="236" t="s">
        <v>9</v>
      </c>
      <c r="N54" s="236" t="s">
        <v>9</v>
      </c>
      <c r="O54" s="236" t="s">
        <v>9</v>
      </c>
      <c r="P54" s="236">
        <v>446.8</v>
      </c>
      <c r="Q54" s="249"/>
      <c r="R54" s="249"/>
      <c r="S54" s="249"/>
      <c r="T54" s="249"/>
    </row>
    <row r="55" spans="1:20">
      <c r="A55" s="248">
        <v>2011</v>
      </c>
      <c r="B55" s="236">
        <v>75147.399999999994</v>
      </c>
      <c r="C55" s="236" t="s">
        <v>9</v>
      </c>
      <c r="D55" s="236" t="s">
        <v>9</v>
      </c>
      <c r="E55" s="236" t="s">
        <v>9</v>
      </c>
      <c r="F55" s="236">
        <v>423.7</v>
      </c>
      <c r="G55" s="236">
        <v>72487.899999999994</v>
      </c>
      <c r="H55" s="236" t="s">
        <v>9</v>
      </c>
      <c r="I55" s="236" t="s">
        <v>9</v>
      </c>
      <c r="J55" s="236" t="s">
        <v>9</v>
      </c>
      <c r="K55" s="236">
        <v>411.8</v>
      </c>
      <c r="L55" s="236">
        <v>72514.600000000006</v>
      </c>
      <c r="M55" s="236" t="s">
        <v>9</v>
      </c>
      <c r="N55" s="236" t="s">
        <v>9</v>
      </c>
      <c r="O55" s="236" t="s">
        <v>9</v>
      </c>
      <c r="P55" s="236">
        <v>412.1</v>
      </c>
      <c r="Q55" s="249"/>
      <c r="R55" s="249"/>
      <c r="S55" s="249"/>
      <c r="T55" s="249"/>
    </row>
    <row r="56" spans="1:20">
      <c r="A56" s="248">
        <v>2012</v>
      </c>
      <c r="B56" s="236">
        <v>77755.100000000006</v>
      </c>
      <c r="C56" s="236" t="s">
        <v>9</v>
      </c>
      <c r="D56" s="236" t="s">
        <v>9</v>
      </c>
      <c r="E56" s="236" t="s">
        <v>9</v>
      </c>
      <c r="F56" s="236">
        <v>411.2</v>
      </c>
      <c r="G56" s="236">
        <v>73888.7</v>
      </c>
      <c r="H56" s="236" t="s">
        <v>9</v>
      </c>
      <c r="I56" s="236" t="s">
        <v>9</v>
      </c>
      <c r="J56" s="236" t="s">
        <v>9</v>
      </c>
      <c r="K56" s="236">
        <v>394</v>
      </c>
      <c r="L56" s="236">
        <v>73861.8</v>
      </c>
      <c r="M56" s="236" t="s">
        <v>9</v>
      </c>
      <c r="N56" s="236" t="s">
        <v>9</v>
      </c>
      <c r="O56" s="236" t="s">
        <v>9</v>
      </c>
      <c r="P56" s="236">
        <v>393.9</v>
      </c>
      <c r="Q56" s="249"/>
      <c r="R56" s="249"/>
      <c r="S56" s="249"/>
      <c r="T56" s="249"/>
    </row>
    <row r="57" spans="1:20">
      <c r="A57" s="248">
        <v>2013</v>
      </c>
      <c r="B57" s="236">
        <v>79701.2</v>
      </c>
      <c r="C57" s="236" t="s">
        <v>9</v>
      </c>
      <c r="D57" s="236" t="s">
        <v>9</v>
      </c>
      <c r="E57" s="236" t="s">
        <v>9</v>
      </c>
      <c r="F57" s="236">
        <v>416.5</v>
      </c>
      <c r="G57" s="236">
        <v>74964</v>
      </c>
      <c r="H57" s="236" t="s">
        <v>9</v>
      </c>
      <c r="I57" s="236" t="s">
        <v>9</v>
      </c>
      <c r="J57" s="236" t="s">
        <v>9</v>
      </c>
      <c r="K57" s="236">
        <v>394.8</v>
      </c>
      <c r="L57" s="236">
        <v>74925.8</v>
      </c>
      <c r="M57" s="236" t="s">
        <v>9</v>
      </c>
      <c r="N57" s="236" t="s">
        <v>9</v>
      </c>
      <c r="O57" s="236" t="s">
        <v>9</v>
      </c>
      <c r="P57" s="236">
        <v>393.4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F60" si="0">((B57/B28)^(1/29)-1)*100</f>
        <v>4.9287238922341103</v>
      </c>
      <c r="C60" s="7" t="s">
        <v>10</v>
      </c>
      <c r="D60" s="7" t="s">
        <v>10</v>
      </c>
      <c r="E60" s="7" t="s">
        <v>10</v>
      </c>
      <c r="F60" s="11">
        <f t="shared" si="0"/>
        <v>0.39411409392238195</v>
      </c>
      <c r="G60" s="11">
        <f t="shared" ref="G60" si="1">((G57/G28)^(1/29)-1)*100</f>
        <v>3.1631640178979126</v>
      </c>
      <c r="H60" s="7" t="s">
        <v>10</v>
      </c>
      <c r="I60" s="7" t="s">
        <v>10</v>
      </c>
      <c r="J60" s="7" t="s">
        <v>10</v>
      </c>
      <c r="K60" s="11">
        <f t="shared" ref="K60:P60" si="2">((K57/K28)^(1/29)-1)*100</f>
        <v>-1.291109703196236</v>
      </c>
      <c r="L60" s="11">
        <f t="shared" si="2"/>
        <v>4.1064281243784695</v>
      </c>
      <c r="M60" s="7" t="s">
        <v>10</v>
      </c>
      <c r="N60" s="7" t="s">
        <v>10</v>
      </c>
      <c r="O60" s="7" t="s">
        <v>10</v>
      </c>
      <c r="P60" s="11">
        <f t="shared" si="2"/>
        <v>-1.1463574132621446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F61" si="3">((B33/B28)^(1/5)-1)*100</f>
        <v>8.6783697667347059</v>
      </c>
      <c r="C61" s="7" t="s">
        <v>10</v>
      </c>
      <c r="D61" s="7" t="s">
        <v>10</v>
      </c>
      <c r="E61" s="11">
        <f t="shared" si="3"/>
        <v>7.9700182908022166</v>
      </c>
      <c r="F61" s="11">
        <f t="shared" si="3"/>
        <v>5.6271474507014307</v>
      </c>
      <c r="G61" s="11">
        <f t="shared" ref="G61" si="4">((G33/G28)^(1/5)-1)*100</f>
        <v>4.2659786183959714</v>
      </c>
      <c r="H61" s="7" t="s">
        <v>10</v>
      </c>
      <c r="I61" s="7" t="s">
        <v>10</v>
      </c>
      <c r="J61" s="11">
        <f t="shared" ref="J61:P61" si="5">((J33/J28)^(1/5)-1)*100</f>
        <v>4.3200513400807328</v>
      </c>
      <c r="K61" s="11">
        <f t="shared" si="5"/>
        <v>2.2524316480433182</v>
      </c>
      <c r="L61" s="11">
        <f t="shared" si="5"/>
        <v>6.1365141134961609</v>
      </c>
      <c r="M61" s="7" t="s">
        <v>10</v>
      </c>
      <c r="N61" s="7" t="s">
        <v>10</v>
      </c>
      <c r="O61" s="11">
        <f t="shared" si="5"/>
        <v>4.8141655406285011</v>
      </c>
      <c r="P61" s="11">
        <f t="shared" si="5"/>
        <v>2.872391576809763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F62" si="6">((B44/B33)^(1/11)-1)*100</f>
        <v>5.3953555824822974</v>
      </c>
      <c r="C62" s="7" t="s">
        <v>10</v>
      </c>
      <c r="D62" s="7" t="s">
        <v>10</v>
      </c>
      <c r="E62" s="11">
        <f t="shared" si="6"/>
        <v>4.8688604628562837</v>
      </c>
      <c r="F62" s="11">
        <f t="shared" si="6"/>
        <v>3.815135910028955</v>
      </c>
      <c r="G62" s="11">
        <f t="shared" ref="G62" si="7">((G44/G33)^(1/11)-1)*100</f>
        <v>3.160582992302019</v>
      </c>
      <c r="H62" s="7" t="s">
        <v>10</v>
      </c>
      <c r="I62" s="7" t="s">
        <v>10</v>
      </c>
      <c r="J62" s="11">
        <f t="shared" ref="J62:P62" si="8">((J44/J33)^(1/11)-1)*100</f>
        <v>1.763906598799303</v>
      </c>
      <c r="K62" s="11">
        <f t="shared" si="8"/>
        <v>0.83998153848285906</v>
      </c>
      <c r="L62" s="11">
        <f t="shared" si="8"/>
        <v>4.5731558721338272</v>
      </c>
      <c r="M62" s="7" t="s">
        <v>10</v>
      </c>
      <c r="N62" s="7" t="s">
        <v>10</v>
      </c>
      <c r="O62" s="11">
        <f t="shared" si="8"/>
        <v>2.0959398503012094</v>
      </c>
      <c r="P62" s="11">
        <f t="shared" si="8"/>
        <v>1.0267234679817383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3.4170416667007597</v>
      </c>
      <c r="C63" s="7" t="s">
        <v>10</v>
      </c>
      <c r="D63" s="7" t="s">
        <v>10</v>
      </c>
      <c r="E63" s="11">
        <f t="shared" ref="E63:P63" si="9">((E51/E44)^(1/7)-1)*100</f>
        <v>-1.0167794103457362</v>
      </c>
      <c r="F63" s="11">
        <f t="shared" si="9"/>
        <v>-3.9843616055057152</v>
      </c>
      <c r="G63" s="11">
        <f t="shared" si="9"/>
        <v>3.5967012303606216</v>
      </c>
      <c r="H63" s="7" t="s">
        <v>10</v>
      </c>
      <c r="I63" s="7" t="s">
        <v>10</v>
      </c>
      <c r="J63" s="11">
        <f t="shared" si="9"/>
        <v>-0.64516499191811238</v>
      </c>
      <c r="K63" s="11">
        <f t="shared" si="9"/>
        <v>-3.3681887095009744</v>
      </c>
      <c r="L63" s="11">
        <f t="shared" si="9"/>
        <v>3.9815860202935482</v>
      </c>
      <c r="M63" s="7" t="s">
        <v>10</v>
      </c>
      <c r="N63" s="7" t="s">
        <v>10</v>
      </c>
      <c r="O63" s="11">
        <f t="shared" si="9"/>
        <v>-0.15627723109361558</v>
      </c>
      <c r="P63" s="11">
        <f t="shared" si="9"/>
        <v>-3.4306591257184382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2.8032389945928493</v>
      </c>
      <c r="C64" s="7" t="s">
        <v>10</v>
      </c>
      <c r="D64" s="7" t="s">
        <v>10</v>
      </c>
      <c r="E64" s="7" t="s">
        <v>10</v>
      </c>
      <c r="F64" s="11">
        <f t="shared" ref="F64:P64" si="10">((F57/F51)^(1/6)-1)*100</f>
        <v>-4.669168700175474</v>
      </c>
      <c r="G64" s="11">
        <f t="shared" si="10"/>
        <v>1.758675774008589</v>
      </c>
      <c r="H64" s="7" t="s">
        <v>10</v>
      </c>
      <c r="I64" s="7" t="s">
        <v>10</v>
      </c>
      <c r="J64" s="7" t="s">
        <v>10</v>
      </c>
      <c r="K64" s="11">
        <f t="shared" si="10"/>
        <v>-5.5155361110301833</v>
      </c>
      <c r="L64" s="11">
        <f t="shared" si="10"/>
        <v>1.7500316092225576</v>
      </c>
      <c r="M64" s="7" t="s">
        <v>10</v>
      </c>
      <c r="N64" s="7" t="s">
        <v>10</v>
      </c>
      <c r="O64" s="7" t="s">
        <v>10</v>
      </c>
      <c r="P64" s="11">
        <f t="shared" si="10"/>
        <v>-5.5714606807034333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F65" si="11">((B57/B44)^(1/13)-1)*100</f>
        <v>3.1332940556653366</v>
      </c>
      <c r="C65" s="7" t="s">
        <v>10</v>
      </c>
      <c r="D65" s="7" t="s">
        <v>10</v>
      </c>
      <c r="E65" s="7" t="s">
        <v>10</v>
      </c>
      <c r="F65" s="11">
        <f t="shared" si="11"/>
        <v>-4.301035562301692</v>
      </c>
      <c r="G65" s="11">
        <f t="shared" ref="G65" si="12">((G57/G44)^(1/13)-1)*100</f>
        <v>2.744292310485319</v>
      </c>
      <c r="H65" s="7" t="s">
        <v>10</v>
      </c>
      <c r="I65" s="7" t="s">
        <v>10</v>
      </c>
      <c r="J65" s="7" t="s">
        <v>10</v>
      </c>
      <c r="K65" s="11">
        <f t="shared" ref="K65:P65" si="13">((K57/K44)^(1/13)-1)*100</f>
        <v>-4.3652701520301314</v>
      </c>
      <c r="L65" s="11">
        <f t="shared" si="13"/>
        <v>2.9456204139354902</v>
      </c>
      <c r="M65" s="7" t="s">
        <v>10</v>
      </c>
      <c r="N65" s="7" t="s">
        <v>10</v>
      </c>
      <c r="O65" s="7" t="s">
        <v>10</v>
      </c>
      <c r="P65" s="11">
        <f t="shared" si="13"/>
        <v>-4.4246865862906155</v>
      </c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20">
      <c r="A68" s="229" t="s">
        <v>56</v>
      </c>
      <c r="B68" s="2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9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5.140625" style="225" customWidth="1"/>
    <col min="13" max="16384" width="9.140625" style="225"/>
  </cols>
  <sheetData>
    <row r="1" spans="1:20" ht="29.25" customHeight="1">
      <c r="A1" s="454" t="s">
        <v>294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556.4</v>
      </c>
      <c r="C5" s="236" t="s">
        <v>9</v>
      </c>
      <c r="D5" s="236">
        <v>6.2</v>
      </c>
      <c r="E5" s="236">
        <v>4.2</v>
      </c>
      <c r="F5" s="236" t="s">
        <v>9</v>
      </c>
      <c r="G5" s="236">
        <v>2649.5</v>
      </c>
      <c r="H5" s="236" t="s">
        <v>9</v>
      </c>
      <c r="I5" s="236">
        <v>32.1</v>
      </c>
      <c r="J5" s="236">
        <v>25.1</v>
      </c>
      <c r="K5" s="236" t="s">
        <v>9</v>
      </c>
      <c r="L5" s="236">
        <v>1404.3</v>
      </c>
      <c r="M5" s="236" t="s">
        <v>9</v>
      </c>
      <c r="N5" s="236">
        <v>29.2</v>
      </c>
      <c r="O5" s="236">
        <v>23</v>
      </c>
      <c r="P5" s="236" t="s">
        <v>9</v>
      </c>
      <c r="Q5" s="249"/>
      <c r="R5" s="249"/>
      <c r="S5" s="249"/>
      <c r="T5" s="249"/>
    </row>
    <row r="6" spans="1:20">
      <c r="A6" s="248">
        <v>1962</v>
      </c>
      <c r="B6" s="236">
        <v>572.29999999999995</v>
      </c>
      <c r="C6" s="236" t="s">
        <v>9</v>
      </c>
      <c r="D6" s="236">
        <v>6.2</v>
      </c>
      <c r="E6" s="236">
        <v>4.4000000000000004</v>
      </c>
      <c r="F6" s="236" t="s">
        <v>9</v>
      </c>
      <c r="G6" s="236">
        <v>2671.2</v>
      </c>
      <c r="H6" s="236" t="s">
        <v>9</v>
      </c>
      <c r="I6" s="236">
        <v>31.3</v>
      </c>
      <c r="J6" s="236">
        <v>26</v>
      </c>
      <c r="K6" s="236" t="s">
        <v>9</v>
      </c>
      <c r="L6" s="236">
        <v>1432.3</v>
      </c>
      <c r="M6" s="236" t="s">
        <v>9</v>
      </c>
      <c r="N6" s="236">
        <v>28.5</v>
      </c>
      <c r="O6" s="236">
        <v>23.9</v>
      </c>
      <c r="P6" s="236" t="s">
        <v>9</v>
      </c>
      <c r="Q6" s="249"/>
      <c r="R6" s="249"/>
      <c r="S6" s="249"/>
      <c r="T6" s="249"/>
    </row>
    <row r="7" spans="1:20">
      <c r="A7" s="248">
        <v>1963</v>
      </c>
      <c r="B7" s="236">
        <v>603.6</v>
      </c>
      <c r="C7" s="236" t="s">
        <v>9</v>
      </c>
      <c r="D7" s="236">
        <v>6.2</v>
      </c>
      <c r="E7" s="236">
        <v>4.8</v>
      </c>
      <c r="F7" s="236" t="s">
        <v>9</v>
      </c>
      <c r="G7" s="236">
        <v>2713.7</v>
      </c>
      <c r="H7" s="236" t="s">
        <v>9</v>
      </c>
      <c r="I7" s="236">
        <v>30.5</v>
      </c>
      <c r="J7" s="236">
        <v>27</v>
      </c>
      <c r="K7" s="236" t="s">
        <v>9</v>
      </c>
      <c r="L7" s="236">
        <v>1469.4</v>
      </c>
      <c r="M7" s="236" t="s">
        <v>9</v>
      </c>
      <c r="N7" s="236">
        <v>27.8</v>
      </c>
      <c r="O7" s="236">
        <v>24.9</v>
      </c>
      <c r="P7" s="236" t="s">
        <v>9</v>
      </c>
      <c r="Q7" s="249"/>
      <c r="R7" s="249"/>
      <c r="S7" s="249"/>
      <c r="T7" s="249"/>
    </row>
    <row r="8" spans="1:20">
      <c r="A8" s="248">
        <v>1964</v>
      </c>
      <c r="B8" s="236">
        <v>643.4</v>
      </c>
      <c r="C8" s="236" t="s">
        <v>9</v>
      </c>
      <c r="D8" s="236">
        <v>6.5</v>
      </c>
      <c r="E8" s="236">
        <v>5.5</v>
      </c>
      <c r="F8" s="236" t="s">
        <v>9</v>
      </c>
      <c r="G8" s="236">
        <v>2808.2</v>
      </c>
      <c r="H8" s="236" t="s">
        <v>9</v>
      </c>
      <c r="I8" s="236">
        <v>31.3</v>
      </c>
      <c r="J8" s="236">
        <v>29.4</v>
      </c>
      <c r="K8" s="236" t="s">
        <v>9</v>
      </c>
      <c r="L8" s="236">
        <v>1533.8</v>
      </c>
      <c r="M8" s="236" t="s">
        <v>9</v>
      </c>
      <c r="N8" s="236">
        <v>28.6</v>
      </c>
      <c r="O8" s="236">
        <v>27.1</v>
      </c>
      <c r="P8" s="236" t="s">
        <v>9</v>
      </c>
      <c r="Q8" s="249"/>
      <c r="R8" s="249"/>
      <c r="S8" s="249"/>
      <c r="T8" s="249"/>
    </row>
    <row r="9" spans="1:20">
      <c r="A9" s="248">
        <v>1965</v>
      </c>
      <c r="B9" s="236">
        <v>707.9</v>
      </c>
      <c r="C9" s="236" t="s">
        <v>9</v>
      </c>
      <c r="D9" s="236">
        <v>7.1</v>
      </c>
      <c r="E9" s="236">
        <v>6.2</v>
      </c>
      <c r="F9" s="236" t="s">
        <v>9</v>
      </c>
      <c r="G9" s="236">
        <v>2976.8</v>
      </c>
      <c r="H9" s="236" t="s">
        <v>9</v>
      </c>
      <c r="I9" s="236">
        <v>33.1</v>
      </c>
      <c r="J9" s="236">
        <v>31.8</v>
      </c>
      <c r="K9" s="236" t="s">
        <v>9</v>
      </c>
      <c r="L9" s="236">
        <v>1639.1</v>
      </c>
      <c r="M9" s="236" t="s">
        <v>9</v>
      </c>
      <c r="N9" s="236">
        <v>30.4</v>
      </c>
      <c r="O9" s="236">
        <v>29.3</v>
      </c>
      <c r="P9" s="236" t="s">
        <v>9</v>
      </c>
      <c r="Q9" s="249"/>
      <c r="R9" s="249"/>
      <c r="S9" s="249"/>
      <c r="T9" s="249"/>
    </row>
    <row r="10" spans="1:20">
      <c r="A10" s="248">
        <v>1966</v>
      </c>
      <c r="B10" s="236">
        <v>786</v>
      </c>
      <c r="C10" s="236" t="s">
        <v>9</v>
      </c>
      <c r="D10" s="236">
        <v>7.6</v>
      </c>
      <c r="E10" s="236">
        <v>6.8</v>
      </c>
      <c r="F10" s="236" t="s">
        <v>9</v>
      </c>
      <c r="G10" s="236">
        <v>3232.5</v>
      </c>
      <c r="H10" s="236" t="s">
        <v>9</v>
      </c>
      <c r="I10" s="236">
        <v>34.9</v>
      </c>
      <c r="J10" s="236">
        <v>34.299999999999997</v>
      </c>
      <c r="K10" s="236" t="s">
        <v>9</v>
      </c>
      <c r="L10" s="236">
        <v>1793.4</v>
      </c>
      <c r="M10" s="236" t="s">
        <v>9</v>
      </c>
      <c r="N10" s="236">
        <v>32.200000000000003</v>
      </c>
      <c r="O10" s="236">
        <v>31.7</v>
      </c>
      <c r="P10" s="236" t="s">
        <v>9</v>
      </c>
      <c r="Q10" s="249"/>
      <c r="R10" s="249"/>
      <c r="S10" s="249"/>
      <c r="T10" s="249"/>
    </row>
    <row r="11" spans="1:20">
      <c r="A11" s="248">
        <v>1967</v>
      </c>
      <c r="B11" s="236">
        <v>863.9</v>
      </c>
      <c r="C11" s="236" t="s">
        <v>9</v>
      </c>
      <c r="D11" s="236">
        <v>8.5</v>
      </c>
      <c r="E11" s="236">
        <v>7.5</v>
      </c>
      <c r="F11" s="236" t="s">
        <v>9</v>
      </c>
      <c r="G11" s="236">
        <v>3481.6</v>
      </c>
      <c r="H11" s="236" t="s">
        <v>9</v>
      </c>
      <c r="I11" s="236">
        <v>38.5</v>
      </c>
      <c r="J11" s="236">
        <v>37.9</v>
      </c>
      <c r="K11" s="236" t="s">
        <v>9</v>
      </c>
      <c r="L11" s="236">
        <v>1948.4</v>
      </c>
      <c r="M11" s="236" t="s">
        <v>9</v>
      </c>
      <c r="N11" s="236">
        <v>35.5</v>
      </c>
      <c r="O11" s="236">
        <v>35</v>
      </c>
      <c r="P11" s="236" t="s">
        <v>9</v>
      </c>
      <c r="Q11" s="249"/>
      <c r="R11" s="249"/>
      <c r="S11" s="249"/>
      <c r="T11" s="249"/>
    </row>
    <row r="12" spans="1:20">
      <c r="A12" s="248">
        <v>1968</v>
      </c>
      <c r="B12" s="236">
        <v>926.5</v>
      </c>
      <c r="C12" s="236" t="s">
        <v>9</v>
      </c>
      <c r="D12" s="236">
        <v>9.1999999999999993</v>
      </c>
      <c r="E12" s="236">
        <v>8</v>
      </c>
      <c r="F12" s="236" t="s">
        <v>9</v>
      </c>
      <c r="G12" s="236">
        <v>3646</v>
      </c>
      <c r="H12" s="236" t="s">
        <v>9</v>
      </c>
      <c r="I12" s="236">
        <v>40.799999999999997</v>
      </c>
      <c r="J12" s="236">
        <v>40.5</v>
      </c>
      <c r="K12" s="236" t="s">
        <v>9</v>
      </c>
      <c r="L12" s="236">
        <v>2057.9</v>
      </c>
      <c r="M12" s="236" t="s">
        <v>9</v>
      </c>
      <c r="N12" s="236">
        <v>37.700000000000003</v>
      </c>
      <c r="O12" s="236">
        <v>37.5</v>
      </c>
      <c r="P12" s="236" t="s">
        <v>9</v>
      </c>
      <c r="Q12" s="249"/>
      <c r="R12" s="249"/>
      <c r="S12" s="249"/>
      <c r="T12" s="249"/>
    </row>
    <row r="13" spans="1:20">
      <c r="A13" s="248">
        <v>1969</v>
      </c>
      <c r="B13" s="236">
        <v>998.7</v>
      </c>
      <c r="C13" s="236" t="s">
        <v>9</v>
      </c>
      <c r="D13" s="236">
        <v>9.5</v>
      </c>
      <c r="E13" s="236">
        <v>8.9</v>
      </c>
      <c r="F13" s="236" t="s">
        <v>9</v>
      </c>
      <c r="G13" s="236">
        <v>3778</v>
      </c>
      <c r="H13" s="236" t="s">
        <v>9</v>
      </c>
      <c r="I13" s="236">
        <v>40.6</v>
      </c>
      <c r="J13" s="236">
        <v>43.4</v>
      </c>
      <c r="K13" s="236" t="s">
        <v>9</v>
      </c>
      <c r="L13" s="236">
        <v>2150.4</v>
      </c>
      <c r="M13" s="236" t="s">
        <v>9</v>
      </c>
      <c r="N13" s="236">
        <v>37.5</v>
      </c>
      <c r="O13" s="236">
        <v>40.200000000000003</v>
      </c>
      <c r="P13" s="236" t="s">
        <v>9</v>
      </c>
      <c r="Q13" s="249"/>
      <c r="R13" s="249"/>
      <c r="S13" s="249"/>
      <c r="T13" s="249"/>
    </row>
    <row r="14" spans="1:20">
      <c r="A14" s="248">
        <v>1970</v>
      </c>
      <c r="B14" s="236">
        <v>1078.8</v>
      </c>
      <c r="C14" s="236" t="s">
        <v>9</v>
      </c>
      <c r="D14" s="236">
        <v>9.1999999999999993</v>
      </c>
      <c r="E14" s="236">
        <v>10.1</v>
      </c>
      <c r="F14" s="236" t="s">
        <v>9</v>
      </c>
      <c r="G14" s="236">
        <v>3866</v>
      </c>
      <c r="H14" s="236" t="s">
        <v>9</v>
      </c>
      <c r="I14" s="236">
        <v>38.299999999999997</v>
      </c>
      <c r="J14" s="236">
        <v>46.5</v>
      </c>
      <c r="K14" s="236" t="s">
        <v>9</v>
      </c>
      <c r="L14" s="236">
        <v>2218.1</v>
      </c>
      <c r="M14" s="236" t="s">
        <v>9</v>
      </c>
      <c r="N14" s="236">
        <v>35.1</v>
      </c>
      <c r="O14" s="236">
        <v>43.1</v>
      </c>
      <c r="P14" s="236" t="s">
        <v>9</v>
      </c>
      <c r="Q14" s="249"/>
      <c r="R14" s="249"/>
      <c r="S14" s="249"/>
      <c r="T14" s="249"/>
    </row>
    <row r="15" spans="1:20">
      <c r="A15" s="248">
        <v>1971</v>
      </c>
      <c r="B15" s="236">
        <v>1141.8</v>
      </c>
      <c r="C15" s="236" t="s">
        <v>9</v>
      </c>
      <c r="D15" s="236">
        <v>8.5</v>
      </c>
      <c r="E15" s="236">
        <v>10.9</v>
      </c>
      <c r="F15" s="236" t="s">
        <v>9</v>
      </c>
      <c r="G15" s="236">
        <v>3924.3</v>
      </c>
      <c r="H15" s="236" t="s">
        <v>9</v>
      </c>
      <c r="I15" s="236">
        <v>34.700000000000003</v>
      </c>
      <c r="J15" s="236">
        <v>48.6</v>
      </c>
      <c r="K15" s="236" t="s">
        <v>9</v>
      </c>
      <c r="L15" s="236">
        <v>2267.3000000000002</v>
      </c>
      <c r="M15" s="236" t="s">
        <v>9</v>
      </c>
      <c r="N15" s="236">
        <v>31.8</v>
      </c>
      <c r="O15" s="236">
        <v>45</v>
      </c>
      <c r="P15" s="236" t="s">
        <v>9</v>
      </c>
      <c r="Q15" s="249"/>
      <c r="R15" s="249"/>
      <c r="S15" s="249"/>
      <c r="T15" s="249"/>
    </row>
    <row r="16" spans="1:20">
      <c r="A16" s="248">
        <v>1972</v>
      </c>
      <c r="B16" s="236">
        <v>1237.3</v>
      </c>
      <c r="C16" s="236" t="s">
        <v>9</v>
      </c>
      <c r="D16" s="236">
        <v>8.3000000000000007</v>
      </c>
      <c r="E16" s="236">
        <v>12.8</v>
      </c>
      <c r="F16" s="236" t="s">
        <v>9</v>
      </c>
      <c r="G16" s="236">
        <v>4110.6000000000004</v>
      </c>
      <c r="H16" s="236" t="s">
        <v>9</v>
      </c>
      <c r="I16" s="236">
        <v>33</v>
      </c>
      <c r="J16" s="236">
        <v>55.3</v>
      </c>
      <c r="K16" s="236" t="s">
        <v>9</v>
      </c>
      <c r="L16" s="236">
        <v>2393.4</v>
      </c>
      <c r="M16" s="236" t="s">
        <v>9</v>
      </c>
      <c r="N16" s="236">
        <v>30.3</v>
      </c>
      <c r="O16" s="236">
        <v>51.2</v>
      </c>
      <c r="P16" s="236" t="s">
        <v>9</v>
      </c>
      <c r="Q16" s="249"/>
      <c r="R16" s="249"/>
      <c r="S16" s="249"/>
      <c r="T16" s="249"/>
    </row>
    <row r="17" spans="1:20">
      <c r="A17" s="248">
        <v>1973</v>
      </c>
      <c r="B17" s="236">
        <v>1398.3</v>
      </c>
      <c r="C17" s="236" t="s">
        <v>9</v>
      </c>
      <c r="D17" s="236">
        <v>9.1999999999999993</v>
      </c>
      <c r="E17" s="236">
        <v>17.100000000000001</v>
      </c>
      <c r="F17" s="236" t="s">
        <v>9</v>
      </c>
      <c r="G17" s="236">
        <v>4491.8</v>
      </c>
      <c r="H17" s="236" t="s">
        <v>9</v>
      </c>
      <c r="I17" s="236">
        <v>35.1</v>
      </c>
      <c r="J17" s="236">
        <v>70</v>
      </c>
      <c r="K17" s="236" t="s">
        <v>9</v>
      </c>
      <c r="L17" s="236">
        <v>2627.3</v>
      </c>
      <c r="M17" s="236" t="s">
        <v>9</v>
      </c>
      <c r="N17" s="236">
        <v>32.1</v>
      </c>
      <c r="O17" s="236">
        <v>64.8</v>
      </c>
      <c r="P17" s="236" t="s">
        <v>9</v>
      </c>
      <c r="Q17" s="249"/>
      <c r="R17" s="249"/>
      <c r="S17" s="249"/>
      <c r="T17" s="249"/>
    </row>
    <row r="18" spans="1:20">
      <c r="A18" s="248">
        <v>1974</v>
      </c>
      <c r="B18" s="236">
        <v>1724.5</v>
      </c>
      <c r="C18" s="236" t="s">
        <v>9</v>
      </c>
      <c r="D18" s="236">
        <v>13.6</v>
      </c>
      <c r="E18" s="236">
        <v>24.4</v>
      </c>
      <c r="F18" s="236" t="s">
        <v>9</v>
      </c>
      <c r="G18" s="236">
        <v>4970.6000000000004</v>
      </c>
      <c r="H18" s="236" t="s">
        <v>9</v>
      </c>
      <c r="I18" s="236">
        <v>46.1</v>
      </c>
      <c r="J18" s="236">
        <v>86.3</v>
      </c>
      <c r="K18" s="236" t="s">
        <v>9</v>
      </c>
      <c r="L18" s="236">
        <v>2925.9</v>
      </c>
      <c r="M18" s="236" t="s">
        <v>9</v>
      </c>
      <c r="N18" s="236">
        <v>42</v>
      </c>
      <c r="O18" s="236">
        <v>80.099999999999994</v>
      </c>
      <c r="P18" s="236" t="s">
        <v>9</v>
      </c>
      <c r="Q18" s="249"/>
      <c r="R18" s="249"/>
      <c r="S18" s="249"/>
      <c r="T18" s="249"/>
    </row>
    <row r="19" spans="1:20">
      <c r="A19" s="248">
        <v>1975</v>
      </c>
      <c r="B19" s="236">
        <v>2146.1999999999998</v>
      </c>
      <c r="C19" s="236" t="s">
        <v>9</v>
      </c>
      <c r="D19" s="236">
        <v>19.5</v>
      </c>
      <c r="E19" s="236">
        <v>32.200000000000003</v>
      </c>
      <c r="F19" s="236" t="s">
        <v>9</v>
      </c>
      <c r="G19" s="236">
        <v>5422.6</v>
      </c>
      <c r="H19" s="236" t="s">
        <v>9</v>
      </c>
      <c r="I19" s="236">
        <v>57.9</v>
      </c>
      <c r="J19" s="236">
        <v>97.2</v>
      </c>
      <c r="K19" s="236" t="s">
        <v>9</v>
      </c>
      <c r="L19" s="236">
        <v>3230.4</v>
      </c>
      <c r="M19" s="236" t="s">
        <v>9</v>
      </c>
      <c r="N19" s="236">
        <v>52.7</v>
      </c>
      <c r="O19" s="236">
        <v>90.7</v>
      </c>
      <c r="P19" s="236" t="s">
        <v>9</v>
      </c>
      <c r="Q19" s="249"/>
      <c r="R19" s="249"/>
      <c r="S19" s="249"/>
      <c r="T19" s="249"/>
    </row>
    <row r="20" spans="1:20">
      <c r="A20" s="248">
        <v>1976</v>
      </c>
      <c r="B20" s="236">
        <v>2401.4</v>
      </c>
      <c r="C20" s="236" t="s">
        <v>9</v>
      </c>
      <c r="D20" s="236">
        <v>20.6</v>
      </c>
      <c r="E20" s="236">
        <v>36.1</v>
      </c>
      <c r="F20" s="236" t="s">
        <v>9</v>
      </c>
      <c r="G20" s="236">
        <v>5713.1</v>
      </c>
      <c r="H20" s="236" t="s">
        <v>9</v>
      </c>
      <c r="I20" s="236">
        <v>57.6</v>
      </c>
      <c r="J20" s="236">
        <v>101.7</v>
      </c>
      <c r="K20" s="236" t="s">
        <v>9</v>
      </c>
      <c r="L20" s="236">
        <v>3446</v>
      </c>
      <c r="M20" s="236" t="s">
        <v>9</v>
      </c>
      <c r="N20" s="236">
        <v>52.5</v>
      </c>
      <c r="O20" s="236">
        <v>95.2</v>
      </c>
      <c r="P20" s="236" t="s">
        <v>9</v>
      </c>
      <c r="Q20" s="249"/>
      <c r="R20" s="249"/>
      <c r="S20" s="249"/>
      <c r="T20" s="249"/>
    </row>
    <row r="21" spans="1:20">
      <c r="A21" s="248">
        <v>1977</v>
      </c>
      <c r="B21" s="236">
        <v>2677.8</v>
      </c>
      <c r="C21" s="236" t="s">
        <v>9</v>
      </c>
      <c r="D21" s="236">
        <v>19.7</v>
      </c>
      <c r="E21" s="236">
        <v>39.9</v>
      </c>
      <c r="F21" s="236" t="s">
        <v>9</v>
      </c>
      <c r="G21" s="236">
        <v>5875</v>
      </c>
      <c r="H21" s="236" t="s">
        <v>9</v>
      </c>
      <c r="I21" s="236">
        <v>49.9</v>
      </c>
      <c r="J21" s="236">
        <v>101.7</v>
      </c>
      <c r="K21" s="236" t="s">
        <v>9</v>
      </c>
      <c r="L21" s="236">
        <v>3575</v>
      </c>
      <c r="M21" s="236" t="s">
        <v>9</v>
      </c>
      <c r="N21" s="236">
        <v>45.6</v>
      </c>
      <c r="O21" s="236">
        <v>95.3</v>
      </c>
      <c r="P21" s="236" t="s">
        <v>9</v>
      </c>
      <c r="Q21" s="249"/>
      <c r="R21" s="249"/>
      <c r="S21" s="249"/>
      <c r="T21" s="249"/>
    </row>
    <row r="22" spans="1:20">
      <c r="A22" s="248">
        <v>1978</v>
      </c>
      <c r="B22" s="236">
        <v>3005.4</v>
      </c>
      <c r="C22" s="236" t="s">
        <v>9</v>
      </c>
      <c r="D22" s="236">
        <v>19.5</v>
      </c>
      <c r="E22" s="236">
        <v>44</v>
      </c>
      <c r="F22" s="236" t="s">
        <v>9</v>
      </c>
      <c r="G22" s="236">
        <v>5972.6</v>
      </c>
      <c r="H22" s="236" t="s">
        <v>9</v>
      </c>
      <c r="I22" s="236">
        <v>44.1</v>
      </c>
      <c r="J22" s="236">
        <v>99.2</v>
      </c>
      <c r="K22" s="236" t="s">
        <v>9</v>
      </c>
      <c r="L22" s="236">
        <v>3684.6</v>
      </c>
      <c r="M22" s="236" t="s">
        <v>9</v>
      </c>
      <c r="N22" s="236">
        <v>40.4</v>
      </c>
      <c r="O22" s="236">
        <v>93.2</v>
      </c>
      <c r="P22" s="236" t="s">
        <v>9</v>
      </c>
      <c r="Q22" s="249"/>
      <c r="R22" s="249"/>
      <c r="S22" s="249"/>
      <c r="T22" s="249"/>
    </row>
    <row r="23" spans="1:20">
      <c r="A23" s="248">
        <v>1979</v>
      </c>
      <c r="B23" s="236">
        <v>3412.4</v>
      </c>
      <c r="C23" s="236" t="s">
        <v>9</v>
      </c>
      <c r="D23" s="236">
        <v>21</v>
      </c>
      <c r="E23" s="236">
        <v>48.8</v>
      </c>
      <c r="F23" s="236" t="s">
        <v>9</v>
      </c>
      <c r="G23" s="236">
        <v>6076.7</v>
      </c>
      <c r="H23" s="236" t="s">
        <v>9</v>
      </c>
      <c r="I23" s="236">
        <v>42.2</v>
      </c>
      <c r="J23" s="236">
        <v>98</v>
      </c>
      <c r="K23" s="236" t="s">
        <v>9</v>
      </c>
      <c r="L23" s="236">
        <v>3813.2</v>
      </c>
      <c r="M23" s="236" t="s">
        <v>9</v>
      </c>
      <c r="N23" s="236">
        <v>38.700000000000003</v>
      </c>
      <c r="O23" s="236">
        <v>92.3</v>
      </c>
      <c r="P23" s="236" t="s">
        <v>9</v>
      </c>
      <c r="Q23" s="249"/>
      <c r="R23" s="249"/>
      <c r="S23" s="249"/>
      <c r="T23" s="249"/>
    </row>
    <row r="24" spans="1:20">
      <c r="A24" s="248">
        <v>1980</v>
      </c>
      <c r="B24" s="236">
        <v>3861.5</v>
      </c>
      <c r="C24" s="236" t="s">
        <v>9</v>
      </c>
      <c r="D24" s="236">
        <v>23.3</v>
      </c>
      <c r="E24" s="236">
        <v>55.5</v>
      </c>
      <c r="F24" s="236" t="s">
        <v>9</v>
      </c>
      <c r="G24" s="236">
        <v>6271.7</v>
      </c>
      <c r="H24" s="236" t="s">
        <v>9</v>
      </c>
      <c r="I24" s="236">
        <v>41.9</v>
      </c>
      <c r="J24" s="236">
        <v>99.1</v>
      </c>
      <c r="K24" s="236" t="s">
        <v>9</v>
      </c>
      <c r="L24" s="236">
        <v>4013.4</v>
      </c>
      <c r="M24" s="236" t="s">
        <v>9</v>
      </c>
      <c r="N24" s="236">
        <v>38.4</v>
      </c>
      <c r="O24" s="236">
        <v>93.7</v>
      </c>
      <c r="P24" s="236" t="s">
        <v>9</v>
      </c>
      <c r="Q24" s="249"/>
      <c r="R24" s="249"/>
      <c r="S24" s="249"/>
      <c r="T24" s="249"/>
    </row>
    <row r="25" spans="1:20">
      <c r="A25" s="248">
        <v>1981</v>
      </c>
      <c r="B25" s="236">
        <v>4397.7</v>
      </c>
      <c r="C25" s="236" t="s">
        <v>9</v>
      </c>
      <c r="D25" s="236">
        <v>24.9</v>
      </c>
      <c r="E25" s="236">
        <v>61.9</v>
      </c>
      <c r="F25" s="236" t="s">
        <v>9</v>
      </c>
      <c r="G25" s="236">
        <v>6419</v>
      </c>
      <c r="H25" s="236" t="s">
        <v>9</v>
      </c>
      <c r="I25" s="236">
        <v>40.299999999999997</v>
      </c>
      <c r="J25" s="236">
        <v>98.3</v>
      </c>
      <c r="K25" s="236" t="s">
        <v>9</v>
      </c>
      <c r="L25" s="236">
        <v>4211</v>
      </c>
      <c r="M25" s="236" t="s">
        <v>9</v>
      </c>
      <c r="N25" s="236">
        <v>37</v>
      </c>
      <c r="O25" s="236">
        <v>93.2</v>
      </c>
      <c r="P25" s="236" t="s">
        <v>9</v>
      </c>
      <c r="Q25" s="249"/>
      <c r="R25" s="249"/>
      <c r="S25" s="249"/>
      <c r="T25" s="249"/>
    </row>
    <row r="26" spans="1:20">
      <c r="A26" s="248">
        <v>1982</v>
      </c>
      <c r="B26" s="236">
        <v>4789.3</v>
      </c>
      <c r="C26" s="236" t="s">
        <v>9</v>
      </c>
      <c r="D26" s="236">
        <v>23.3</v>
      </c>
      <c r="E26" s="236">
        <v>68.400000000000006</v>
      </c>
      <c r="F26" s="236" t="s">
        <v>9</v>
      </c>
      <c r="G26" s="236">
        <v>6401.7</v>
      </c>
      <c r="H26" s="236" t="s">
        <v>9</v>
      </c>
      <c r="I26" s="236">
        <v>35.299999999999997</v>
      </c>
      <c r="J26" s="236">
        <v>100.3</v>
      </c>
      <c r="K26" s="236" t="s">
        <v>9</v>
      </c>
      <c r="L26" s="236">
        <v>4293.8999999999996</v>
      </c>
      <c r="M26" s="236" t="s">
        <v>9</v>
      </c>
      <c r="N26" s="236">
        <v>32.4</v>
      </c>
      <c r="O26" s="236">
        <v>95.3</v>
      </c>
      <c r="P26" s="236" t="s">
        <v>9</v>
      </c>
      <c r="Q26" s="249"/>
      <c r="R26" s="249"/>
      <c r="S26" s="249"/>
      <c r="T26" s="249"/>
    </row>
    <row r="27" spans="1:20">
      <c r="A27" s="248">
        <v>1983</v>
      </c>
      <c r="B27" s="236">
        <v>4906.3</v>
      </c>
      <c r="C27" s="236" t="s">
        <v>9</v>
      </c>
      <c r="D27" s="236">
        <v>19.7</v>
      </c>
      <c r="E27" s="236">
        <v>71.8</v>
      </c>
      <c r="F27" s="236" t="s">
        <v>9</v>
      </c>
      <c r="G27" s="236">
        <v>6348.4</v>
      </c>
      <c r="H27" s="236" t="s">
        <v>9</v>
      </c>
      <c r="I27" s="236">
        <v>29</v>
      </c>
      <c r="J27" s="236">
        <v>102.8</v>
      </c>
      <c r="K27" s="236" t="s">
        <v>9</v>
      </c>
      <c r="L27" s="236">
        <v>4382.8</v>
      </c>
      <c r="M27" s="236" t="s">
        <v>9</v>
      </c>
      <c r="N27" s="236">
        <v>26.7</v>
      </c>
      <c r="O27" s="236">
        <v>98.1</v>
      </c>
      <c r="P27" s="236" t="s">
        <v>9</v>
      </c>
      <c r="Q27" s="249"/>
      <c r="R27" s="249"/>
      <c r="S27" s="249"/>
      <c r="T27" s="249"/>
    </row>
    <row r="28" spans="1:20">
      <c r="A28" s="248">
        <v>1984</v>
      </c>
      <c r="B28" s="236">
        <v>5308.3</v>
      </c>
      <c r="C28" s="236" t="s">
        <v>9</v>
      </c>
      <c r="D28" s="236">
        <v>18</v>
      </c>
      <c r="E28" s="236">
        <v>73.5</v>
      </c>
      <c r="F28" s="236" t="s">
        <v>9</v>
      </c>
      <c r="G28" s="236">
        <v>6457.1</v>
      </c>
      <c r="H28" s="236" t="s">
        <v>9</v>
      </c>
      <c r="I28" s="236">
        <v>25.2</v>
      </c>
      <c r="J28" s="236">
        <v>99.8</v>
      </c>
      <c r="K28" s="236" t="s">
        <v>9</v>
      </c>
      <c r="L28" s="236">
        <v>4596.2</v>
      </c>
      <c r="M28" s="236" t="s">
        <v>9</v>
      </c>
      <c r="N28" s="236">
        <v>23.2</v>
      </c>
      <c r="O28" s="236">
        <v>95.5</v>
      </c>
      <c r="P28" s="236" t="s">
        <v>9</v>
      </c>
      <c r="Q28" s="249"/>
      <c r="R28" s="249"/>
      <c r="S28" s="249"/>
      <c r="T28" s="249"/>
    </row>
    <row r="29" spans="1:20">
      <c r="A29" s="248">
        <v>1985</v>
      </c>
      <c r="B29" s="236">
        <v>5802.7</v>
      </c>
      <c r="C29" s="236" t="s">
        <v>9</v>
      </c>
      <c r="D29" s="236">
        <v>16.899999999999999</v>
      </c>
      <c r="E29" s="236">
        <v>77.3</v>
      </c>
      <c r="F29" s="236" t="s">
        <v>9</v>
      </c>
      <c r="G29" s="236">
        <v>6659.3</v>
      </c>
      <c r="H29" s="236" t="s">
        <v>9</v>
      </c>
      <c r="I29" s="236">
        <v>22.4</v>
      </c>
      <c r="J29" s="236">
        <v>99</v>
      </c>
      <c r="K29" s="236" t="s">
        <v>9</v>
      </c>
      <c r="L29" s="236">
        <v>4879.8</v>
      </c>
      <c r="M29" s="236" t="s">
        <v>9</v>
      </c>
      <c r="N29" s="236">
        <v>20.7</v>
      </c>
      <c r="O29" s="236">
        <v>95.1</v>
      </c>
      <c r="P29" s="236" t="s">
        <v>9</v>
      </c>
      <c r="Q29" s="249"/>
      <c r="R29" s="249"/>
      <c r="S29" s="249"/>
      <c r="T29" s="249"/>
    </row>
    <row r="30" spans="1:20">
      <c r="A30" s="248">
        <v>1986</v>
      </c>
      <c r="B30" s="236">
        <v>6268.8</v>
      </c>
      <c r="C30" s="236" t="s">
        <v>9</v>
      </c>
      <c r="D30" s="236">
        <v>15.8</v>
      </c>
      <c r="E30" s="236">
        <v>81.2</v>
      </c>
      <c r="F30" s="236" t="s">
        <v>9</v>
      </c>
      <c r="G30" s="236">
        <v>6861.4</v>
      </c>
      <c r="H30" s="236" t="s">
        <v>9</v>
      </c>
      <c r="I30" s="236">
        <v>20.100000000000001</v>
      </c>
      <c r="J30" s="236">
        <v>100.7</v>
      </c>
      <c r="K30" s="236" t="s">
        <v>9</v>
      </c>
      <c r="L30" s="236">
        <v>5155.6000000000004</v>
      </c>
      <c r="M30" s="236" t="s">
        <v>9</v>
      </c>
      <c r="N30" s="236">
        <v>18.600000000000001</v>
      </c>
      <c r="O30" s="236">
        <v>96.8</v>
      </c>
      <c r="P30" s="236" t="s">
        <v>9</v>
      </c>
      <c r="Q30" s="249"/>
      <c r="R30" s="249"/>
      <c r="S30" s="249"/>
      <c r="T30" s="249"/>
    </row>
    <row r="31" spans="1:20">
      <c r="A31" s="248">
        <v>1987</v>
      </c>
      <c r="B31" s="236">
        <v>6619.3</v>
      </c>
      <c r="C31" s="236" t="s">
        <v>9</v>
      </c>
      <c r="D31" s="236">
        <v>14.9</v>
      </c>
      <c r="E31" s="236">
        <v>82.5</v>
      </c>
      <c r="F31" s="236" t="s">
        <v>9</v>
      </c>
      <c r="G31" s="236">
        <v>7168.5</v>
      </c>
      <c r="H31" s="236" t="s">
        <v>9</v>
      </c>
      <c r="I31" s="236">
        <v>19</v>
      </c>
      <c r="J31" s="236">
        <v>102.9</v>
      </c>
      <c r="K31" s="236" t="s">
        <v>9</v>
      </c>
      <c r="L31" s="236">
        <v>5528.8</v>
      </c>
      <c r="M31" s="236" t="s">
        <v>9</v>
      </c>
      <c r="N31" s="236">
        <v>17.600000000000001</v>
      </c>
      <c r="O31" s="236">
        <v>98.9</v>
      </c>
      <c r="P31" s="236" t="s">
        <v>9</v>
      </c>
      <c r="Q31" s="249"/>
      <c r="R31" s="249"/>
      <c r="S31" s="249"/>
      <c r="T31" s="249"/>
    </row>
    <row r="32" spans="1:20">
      <c r="A32" s="248">
        <v>1988</v>
      </c>
      <c r="B32" s="236">
        <v>7124.4</v>
      </c>
      <c r="C32" s="236" t="s">
        <v>9</v>
      </c>
      <c r="D32" s="236">
        <v>15</v>
      </c>
      <c r="E32" s="236">
        <v>88.8</v>
      </c>
      <c r="F32" s="236" t="s">
        <v>9</v>
      </c>
      <c r="G32" s="236">
        <v>7634.5</v>
      </c>
      <c r="H32" s="236" t="s">
        <v>9</v>
      </c>
      <c r="I32" s="236">
        <v>19.2</v>
      </c>
      <c r="J32" s="236">
        <v>112.4</v>
      </c>
      <c r="K32" s="236" t="s">
        <v>9</v>
      </c>
      <c r="L32" s="236">
        <v>6043</v>
      </c>
      <c r="M32" s="236" t="s">
        <v>9</v>
      </c>
      <c r="N32" s="236">
        <v>17.7</v>
      </c>
      <c r="O32" s="236">
        <v>107.9</v>
      </c>
      <c r="P32" s="236" t="s">
        <v>9</v>
      </c>
      <c r="Q32" s="249"/>
      <c r="R32" s="249"/>
      <c r="S32" s="249"/>
      <c r="T32" s="249"/>
    </row>
    <row r="33" spans="1:20">
      <c r="A33" s="248">
        <v>1989</v>
      </c>
      <c r="B33" s="236">
        <v>7785.1</v>
      </c>
      <c r="C33" s="236" t="s">
        <v>9</v>
      </c>
      <c r="D33" s="236">
        <v>15.9</v>
      </c>
      <c r="E33" s="236">
        <v>100.6</v>
      </c>
      <c r="F33" s="236" t="s">
        <v>9</v>
      </c>
      <c r="G33" s="236">
        <v>8167.6</v>
      </c>
      <c r="H33" s="236" t="s">
        <v>9</v>
      </c>
      <c r="I33" s="236">
        <v>19.600000000000001</v>
      </c>
      <c r="J33" s="236">
        <v>124.2</v>
      </c>
      <c r="K33" s="236" t="s">
        <v>9</v>
      </c>
      <c r="L33" s="236">
        <v>6583.2</v>
      </c>
      <c r="M33" s="236" t="s">
        <v>9</v>
      </c>
      <c r="N33" s="236">
        <v>18.3</v>
      </c>
      <c r="O33" s="236">
        <v>119.1</v>
      </c>
      <c r="P33" s="236" t="s">
        <v>9</v>
      </c>
      <c r="Q33" s="249"/>
      <c r="R33" s="249"/>
      <c r="S33" s="249"/>
      <c r="T33" s="249"/>
    </row>
    <row r="34" spans="1:20">
      <c r="A34" s="248">
        <v>1990</v>
      </c>
      <c r="B34" s="236">
        <v>8265</v>
      </c>
      <c r="C34" s="236" t="s">
        <v>9</v>
      </c>
      <c r="D34" s="236">
        <v>15.9</v>
      </c>
      <c r="E34" s="236">
        <v>105.3</v>
      </c>
      <c r="F34" s="236" t="s">
        <v>9</v>
      </c>
      <c r="G34" s="236">
        <v>8522.6</v>
      </c>
      <c r="H34" s="236" t="s">
        <v>9</v>
      </c>
      <c r="I34" s="236">
        <v>19</v>
      </c>
      <c r="J34" s="236">
        <v>127.9</v>
      </c>
      <c r="K34" s="236" t="s">
        <v>9</v>
      </c>
      <c r="L34" s="236">
        <v>6944.5</v>
      </c>
      <c r="M34" s="236" t="s">
        <v>9</v>
      </c>
      <c r="N34" s="236">
        <v>18</v>
      </c>
      <c r="O34" s="236">
        <v>122.7</v>
      </c>
      <c r="P34" s="236" t="s">
        <v>9</v>
      </c>
      <c r="Q34" s="249"/>
      <c r="R34" s="249"/>
      <c r="S34" s="249"/>
      <c r="T34" s="249"/>
    </row>
    <row r="35" spans="1:20">
      <c r="A35" s="248">
        <v>1991</v>
      </c>
      <c r="B35" s="236">
        <v>8019</v>
      </c>
      <c r="C35" s="236" t="s">
        <v>9</v>
      </c>
      <c r="D35" s="236">
        <v>14.1</v>
      </c>
      <c r="E35" s="236">
        <v>103</v>
      </c>
      <c r="F35" s="236" t="s">
        <v>9</v>
      </c>
      <c r="G35" s="236">
        <v>8658.1</v>
      </c>
      <c r="H35" s="236" t="s">
        <v>9</v>
      </c>
      <c r="I35" s="236">
        <v>16.899999999999999</v>
      </c>
      <c r="J35" s="236">
        <v>126.6</v>
      </c>
      <c r="K35" s="236" t="s">
        <v>9</v>
      </c>
      <c r="L35" s="236">
        <v>7142.9</v>
      </c>
      <c r="M35" s="236" t="s">
        <v>9</v>
      </c>
      <c r="N35" s="236">
        <v>16.100000000000001</v>
      </c>
      <c r="O35" s="236">
        <v>121.6</v>
      </c>
      <c r="P35" s="236" t="s">
        <v>9</v>
      </c>
      <c r="Q35" s="249"/>
      <c r="R35" s="249"/>
      <c r="S35" s="249"/>
      <c r="T35" s="249"/>
    </row>
    <row r="36" spans="1:20">
      <c r="A36" s="248">
        <v>1992</v>
      </c>
      <c r="B36" s="236">
        <v>8440.6</v>
      </c>
      <c r="C36" s="236" t="s">
        <v>9</v>
      </c>
      <c r="D36" s="236">
        <v>13.3</v>
      </c>
      <c r="E36" s="236">
        <v>104.3</v>
      </c>
      <c r="F36" s="236" t="s">
        <v>9</v>
      </c>
      <c r="G36" s="236">
        <v>8766.9</v>
      </c>
      <c r="H36" s="236" t="s">
        <v>9</v>
      </c>
      <c r="I36" s="236">
        <v>15.4</v>
      </c>
      <c r="J36" s="236">
        <v>122.6</v>
      </c>
      <c r="K36" s="236" t="s">
        <v>9</v>
      </c>
      <c r="L36" s="236">
        <v>7365.5</v>
      </c>
      <c r="M36" s="236" t="s">
        <v>9</v>
      </c>
      <c r="N36" s="236">
        <v>14.7</v>
      </c>
      <c r="O36" s="236">
        <v>117.9</v>
      </c>
      <c r="P36" s="236" t="s">
        <v>9</v>
      </c>
      <c r="Q36" s="249"/>
      <c r="R36" s="249"/>
      <c r="S36" s="249"/>
      <c r="T36" s="249"/>
    </row>
    <row r="37" spans="1:20">
      <c r="A37" s="248">
        <v>1993</v>
      </c>
      <c r="B37" s="236">
        <v>8875.5</v>
      </c>
      <c r="C37" s="236" t="s">
        <v>9</v>
      </c>
      <c r="D37" s="236">
        <v>15.1</v>
      </c>
      <c r="E37" s="236">
        <v>106.5</v>
      </c>
      <c r="F37" s="236" t="s">
        <v>9</v>
      </c>
      <c r="G37" s="236">
        <v>8787.4</v>
      </c>
      <c r="H37" s="236" t="s">
        <v>9</v>
      </c>
      <c r="I37" s="236">
        <v>16.7</v>
      </c>
      <c r="J37" s="236">
        <v>117.9</v>
      </c>
      <c r="K37" s="236" t="s">
        <v>9</v>
      </c>
      <c r="L37" s="236">
        <v>7501.9</v>
      </c>
      <c r="M37" s="236" t="s">
        <v>9</v>
      </c>
      <c r="N37" s="236">
        <v>15.9</v>
      </c>
      <c r="O37" s="236">
        <v>114.2</v>
      </c>
      <c r="P37" s="236" t="s">
        <v>9</v>
      </c>
      <c r="Q37" s="249"/>
      <c r="R37" s="249"/>
      <c r="S37" s="249"/>
      <c r="T37" s="249"/>
    </row>
    <row r="38" spans="1:20">
      <c r="A38" s="248">
        <v>1994</v>
      </c>
      <c r="B38" s="236">
        <v>9274.1</v>
      </c>
      <c r="C38" s="236" t="s">
        <v>9</v>
      </c>
      <c r="D38" s="236">
        <v>26.5</v>
      </c>
      <c r="E38" s="236">
        <v>119.5</v>
      </c>
      <c r="F38" s="236" t="s">
        <v>9</v>
      </c>
      <c r="G38" s="236">
        <v>8813.2999999999993</v>
      </c>
      <c r="H38" s="236" t="s">
        <v>9</v>
      </c>
      <c r="I38" s="236">
        <v>28.3</v>
      </c>
      <c r="J38" s="236">
        <v>125.6</v>
      </c>
      <c r="K38" s="236" t="s">
        <v>9</v>
      </c>
      <c r="L38" s="236">
        <v>7602.6</v>
      </c>
      <c r="M38" s="236" t="s">
        <v>9</v>
      </c>
      <c r="N38" s="236">
        <v>26.4</v>
      </c>
      <c r="O38" s="236">
        <v>121.8</v>
      </c>
      <c r="P38" s="236" t="s">
        <v>9</v>
      </c>
      <c r="Q38" s="249"/>
      <c r="R38" s="249"/>
      <c r="S38" s="249"/>
      <c r="T38" s="249"/>
    </row>
    <row r="39" spans="1:20">
      <c r="A39" s="248">
        <v>1995</v>
      </c>
      <c r="B39" s="236">
        <v>9733.5</v>
      </c>
      <c r="C39" s="236" t="s">
        <v>9</v>
      </c>
      <c r="D39" s="236">
        <v>36.700000000000003</v>
      </c>
      <c r="E39" s="236">
        <v>146.69999999999999</v>
      </c>
      <c r="F39" s="236" t="s">
        <v>9</v>
      </c>
      <c r="G39" s="236">
        <v>8956.7999999999993</v>
      </c>
      <c r="H39" s="236" t="s">
        <v>9</v>
      </c>
      <c r="I39" s="236">
        <v>37.700000000000003</v>
      </c>
      <c r="J39" s="236">
        <v>149</v>
      </c>
      <c r="K39" s="236" t="s">
        <v>9</v>
      </c>
      <c r="L39" s="236">
        <v>7821.1</v>
      </c>
      <c r="M39" s="236" t="s">
        <v>9</v>
      </c>
      <c r="N39" s="236">
        <v>34.799999999999997</v>
      </c>
      <c r="O39" s="236">
        <v>143.80000000000001</v>
      </c>
      <c r="P39" s="236" t="s">
        <v>9</v>
      </c>
      <c r="Q39" s="249"/>
      <c r="R39" s="249"/>
      <c r="S39" s="249"/>
      <c r="T39" s="249"/>
    </row>
    <row r="40" spans="1:20">
      <c r="A40" s="248">
        <v>1996</v>
      </c>
      <c r="B40" s="236">
        <v>10136.6</v>
      </c>
      <c r="C40" s="236" t="s">
        <v>9</v>
      </c>
      <c r="D40" s="236">
        <v>37.5</v>
      </c>
      <c r="E40" s="236">
        <v>176.5</v>
      </c>
      <c r="F40" s="236" t="s">
        <v>9</v>
      </c>
      <c r="G40" s="236">
        <v>9120.1</v>
      </c>
      <c r="H40" s="236" t="s">
        <v>9</v>
      </c>
      <c r="I40" s="236">
        <v>37.700000000000003</v>
      </c>
      <c r="J40" s="236">
        <v>175.1</v>
      </c>
      <c r="K40" s="236" t="s">
        <v>9</v>
      </c>
      <c r="L40" s="236">
        <v>8113</v>
      </c>
      <c r="M40" s="236" t="s">
        <v>9</v>
      </c>
      <c r="N40" s="236">
        <v>34.700000000000003</v>
      </c>
      <c r="O40" s="236">
        <v>169.2</v>
      </c>
      <c r="P40" s="236" t="s">
        <v>9</v>
      </c>
      <c r="Q40" s="249"/>
      <c r="R40" s="249"/>
      <c r="S40" s="249"/>
      <c r="T40" s="249"/>
    </row>
    <row r="41" spans="1:20">
      <c r="A41" s="248">
        <v>1997</v>
      </c>
      <c r="B41" s="236">
        <v>10912.6</v>
      </c>
      <c r="C41" s="236" t="s">
        <v>9</v>
      </c>
      <c r="D41" s="236">
        <v>41</v>
      </c>
      <c r="E41" s="236">
        <v>215.6</v>
      </c>
      <c r="F41" s="236" t="s">
        <v>9</v>
      </c>
      <c r="G41" s="236">
        <v>9447.6</v>
      </c>
      <c r="H41" s="236" t="s">
        <v>9</v>
      </c>
      <c r="I41" s="236">
        <v>40</v>
      </c>
      <c r="J41" s="236">
        <v>205.1</v>
      </c>
      <c r="K41" s="236" t="s">
        <v>9</v>
      </c>
      <c r="L41" s="236">
        <v>8573.2000000000007</v>
      </c>
      <c r="M41" s="236" t="s">
        <v>9</v>
      </c>
      <c r="N41" s="236">
        <v>36.5</v>
      </c>
      <c r="O41" s="236">
        <v>198.9</v>
      </c>
      <c r="P41" s="236" t="s">
        <v>9</v>
      </c>
      <c r="Q41" s="249"/>
      <c r="R41" s="249"/>
      <c r="S41" s="249"/>
      <c r="T41" s="249"/>
    </row>
    <row r="42" spans="1:20">
      <c r="A42" s="248">
        <v>1998</v>
      </c>
      <c r="B42" s="236">
        <v>12035.1</v>
      </c>
      <c r="C42" s="236" t="s">
        <v>9</v>
      </c>
      <c r="D42" s="236">
        <v>44.8</v>
      </c>
      <c r="E42" s="236">
        <v>254.1</v>
      </c>
      <c r="F42" s="236" t="s">
        <v>9</v>
      </c>
      <c r="G42" s="236">
        <v>9997.2000000000007</v>
      </c>
      <c r="H42" s="236" t="s">
        <v>9</v>
      </c>
      <c r="I42" s="236">
        <v>40.9</v>
      </c>
      <c r="J42" s="236">
        <v>227.7</v>
      </c>
      <c r="K42" s="236" t="s">
        <v>9</v>
      </c>
      <c r="L42" s="236">
        <v>9303.9</v>
      </c>
      <c r="M42" s="236" t="s">
        <v>9</v>
      </c>
      <c r="N42" s="236">
        <v>37.9</v>
      </c>
      <c r="O42" s="236">
        <v>223</v>
      </c>
      <c r="P42" s="236" t="s">
        <v>9</v>
      </c>
      <c r="Q42" s="249"/>
      <c r="R42" s="249"/>
      <c r="S42" s="249"/>
      <c r="T42" s="249"/>
    </row>
    <row r="43" spans="1:20">
      <c r="A43" s="248">
        <v>1999</v>
      </c>
      <c r="B43" s="236">
        <v>12920.9</v>
      </c>
      <c r="C43" s="236" t="s">
        <v>9</v>
      </c>
      <c r="D43" s="236">
        <v>49.9</v>
      </c>
      <c r="E43" s="236">
        <v>268.5</v>
      </c>
      <c r="F43" s="236" t="s">
        <v>9</v>
      </c>
      <c r="G43" s="236">
        <v>10689.1</v>
      </c>
      <c r="H43" s="236" t="s">
        <v>9</v>
      </c>
      <c r="I43" s="236">
        <v>43.1</v>
      </c>
      <c r="J43" s="236">
        <v>236.5</v>
      </c>
      <c r="K43" s="236" t="s">
        <v>9</v>
      </c>
      <c r="L43" s="236">
        <v>10167.299999999999</v>
      </c>
      <c r="M43" s="236" t="s">
        <v>9</v>
      </c>
      <c r="N43" s="236">
        <v>41.7</v>
      </c>
      <c r="O43" s="236">
        <v>232.8</v>
      </c>
      <c r="P43" s="236" t="s">
        <v>9</v>
      </c>
      <c r="Q43" s="249"/>
      <c r="R43" s="249"/>
      <c r="S43" s="249"/>
      <c r="T43" s="249"/>
    </row>
    <row r="44" spans="1:20">
      <c r="A44" s="248">
        <v>2000</v>
      </c>
      <c r="B44" s="236">
        <v>13964.9</v>
      </c>
      <c r="C44" s="236" t="s">
        <v>9</v>
      </c>
      <c r="D44" s="236" t="s">
        <v>9</v>
      </c>
      <c r="E44" s="236">
        <v>292.8</v>
      </c>
      <c r="F44" s="236" t="s">
        <v>9</v>
      </c>
      <c r="G44" s="236">
        <v>11413.9</v>
      </c>
      <c r="H44" s="236" t="s">
        <v>9</v>
      </c>
      <c r="I44" s="236" t="s">
        <v>9</v>
      </c>
      <c r="J44" s="236">
        <v>255.5</v>
      </c>
      <c r="K44" s="236" t="s">
        <v>9</v>
      </c>
      <c r="L44" s="236">
        <v>11045.9</v>
      </c>
      <c r="M44" s="236" t="s">
        <v>9</v>
      </c>
      <c r="N44" s="236" t="s">
        <v>9</v>
      </c>
      <c r="O44" s="236">
        <v>251.3</v>
      </c>
      <c r="P44" s="236" t="s">
        <v>9</v>
      </c>
      <c r="Q44" s="249"/>
      <c r="R44" s="249"/>
      <c r="S44" s="249"/>
      <c r="T44" s="249"/>
    </row>
    <row r="45" spans="1:20">
      <c r="A45" s="248">
        <v>2001</v>
      </c>
      <c r="B45" s="236">
        <v>14818.8</v>
      </c>
      <c r="C45" s="236" t="s">
        <v>9</v>
      </c>
      <c r="D45" s="236" t="s">
        <v>9</v>
      </c>
      <c r="E45" s="236">
        <v>307.60000000000002</v>
      </c>
      <c r="F45" s="236" t="s">
        <v>9</v>
      </c>
      <c r="G45" s="236">
        <v>11822.3</v>
      </c>
      <c r="H45" s="236" t="s">
        <v>9</v>
      </c>
      <c r="I45" s="236" t="s">
        <v>9</v>
      </c>
      <c r="J45" s="236">
        <v>258.8</v>
      </c>
      <c r="K45" s="236" t="s">
        <v>9</v>
      </c>
      <c r="L45" s="236">
        <v>11572.2</v>
      </c>
      <c r="M45" s="236" t="s">
        <v>9</v>
      </c>
      <c r="N45" s="236" t="s">
        <v>9</v>
      </c>
      <c r="O45" s="236">
        <v>254.6</v>
      </c>
      <c r="P45" s="236" t="s">
        <v>9</v>
      </c>
      <c r="Q45" s="249"/>
      <c r="R45" s="249"/>
      <c r="S45" s="249"/>
      <c r="T45" s="249"/>
    </row>
    <row r="46" spans="1:20">
      <c r="A46" s="248">
        <v>2002</v>
      </c>
      <c r="B46" s="236">
        <v>15067.1</v>
      </c>
      <c r="C46" s="236" t="s">
        <v>9</v>
      </c>
      <c r="D46" s="236" t="s">
        <v>9</v>
      </c>
      <c r="E46" s="236">
        <v>285.10000000000002</v>
      </c>
      <c r="F46" s="236" t="s">
        <v>9</v>
      </c>
      <c r="G46" s="236">
        <v>11885</v>
      </c>
      <c r="H46" s="236" t="s">
        <v>9</v>
      </c>
      <c r="I46" s="236" t="s">
        <v>9</v>
      </c>
      <c r="J46" s="236">
        <v>233.6</v>
      </c>
      <c r="K46" s="236" t="s">
        <v>9</v>
      </c>
      <c r="L46" s="236">
        <v>11688.4</v>
      </c>
      <c r="M46" s="236" t="s">
        <v>9</v>
      </c>
      <c r="N46" s="236" t="s">
        <v>9</v>
      </c>
      <c r="O46" s="236">
        <v>229.8</v>
      </c>
      <c r="P46" s="236" t="s">
        <v>9</v>
      </c>
      <c r="Q46" s="249"/>
      <c r="R46" s="249"/>
      <c r="S46" s="249"/>
      <c r="T46" s="249"/>
    </row>
    <row r="47" spans="1:20">
      <c r="A47" s="248">
        <v>2003</v>
      </c>
      <c r="B47" s="236">
        <v>14018.2</v>
      </c>
      <c r="C47" s="236" t="s">
        <v>9</v>
      </c>
      <c r="D47" s="236" t="s">
        <v>9</v>
      </c>
      <c r="E47" s="236">
        <v>238.5</v>
      </c>
      <c r="F47" s="236" t="s">
        <v>9</v>
      </c>
      <c r="G47" s="236">
        <v>11935</v>
      </c>
      <c r="H47" s="236" t="s">
        <v>9</v>
      </c>
      <c r="I47" s="236" t="s">
        <v>9</v>
      </c>
      <c r="J47" s="236">
        <v>211.8</v>
      </c>
      <c r="K47" s="236" t="s">
        <v>9</v>
      </c>
      <c r="L47" s="236">
        <v>11775.6</v>
      </c>
      <c r="M47" s="236" t="s">
        <v>9</v>
      </c>
      <c r="N47" s="236" t="s">
        <v>9</v>
      </c>
      <c r="O47" s="236">
        <v>209.2</v>
      </c>
      <c r="P47" s="236" t="s">
        <v>9</v>
      </c>
      <c r="Q47" s="249"/>
      <c r="R47" s="249"/>
      <c r="S47" s="249"/>
      <c r="T47" s="249"/>
    </row>
    <row r="48" spans="1:20">
      <c r="A48" s="248">
        <v>2004</v>
      </c>
      <c r="B48" s="236">
        <v>13583.5</v>
      </c>
      <c r="C48" s="236" t="s">
        <v>9</v>
      </c>
      <c r="D48" s="236" t="s">
        <v>9</v>
      </c>
      <c r="E48" s="236">
        <v>224.6</v>
      </c>
      <c r="F48" s="236" t="s">
        <v>9</v>
      </c>
      <c r="G48" s="236">
        <v>12238.5</v>
      </c>
      <c r="H48" s="236" t="s">
        <v>9</v>
      </c>
      <c r="I48" s="236" t="s">
        <v>9</v>
      </c>
      <c r="J48" s="236">
        <v>206.5</v>
      </c>
      <c r="K48" s="236" t="s">
        <v>9</v>
      </c>
      <c r="L48" s="236">
        <v>12129.6</v>
      </c>
      <c r="M48" s="236" t="s">
        <v>9</v>
      </c>
      <c r="N48" s="236" t="s">
        <v>9</v>
      </c>
      <c r="O48" s="236">
        <v>205.3</v>
      </c>
      <c r="P48" s="236" t="s">
        <v>9</v>
      </c>
      <c r="Q48" s="249"/>
      <c r="R48" s="249"/>
      <c r="S48" s="249"/>
      <c r="T48" s="249"/>
    </row>
    <row r="49" spans="1:20">
      <c r="A49" s="248">
        <v>2005</v>
      </c>
      <c r="B49" s="236">
        <v>13637.7</v>
      </c>
      <c r="C49" s="236" t="s">
        <v>9</v>
      </c>
      <c r="D49" s="236" t="s">
        <v>9</v>
      </c>
      <c r="E49" s="236">
        <v>220.4</v>
      </c>
      <c r="F49" s="236" t="s">
        <v>9</v>
      </c>
      <c r="G49" s="236">
        <v>12763.7</v>
      </c>
      <c r="H49" s="236" t="s">
        <v>9</v>
      </c>
      <c r="I49" s="236" t="s">
        <v>9</v>
      </c>
      <c r="J49" s="236">
        <v>209.1</v>
      </c>
      <c r="K49" s="236" t="s">
        <v>9</v>
      </c>
      <c r="L49" s="236">
        <v>12719.9</v>
      </c>
      <c r="M49" s="236" t="s">
        <v>9</v>
      </c>
      <c r="N49" s="236" t="s">
        <v>9</v>
      </c>
      <c r="O49" s="236">
        <v>208.8</v>
      </c>
      <c r="P49" s="236" t="s">
        <v>9</v>
      </c>
      <c r="Q49" s="249"/>
      <c r="R49" s="249"/>
      <c r="S49" s="249"/>
      <c r="T49" s="249"/>
    </row>
    <row r="50" spans="1:20">
      <c r="A50" s="248">
        <v>2006</v>
      </c>
      <c r="B50" s="236">
        <v>13822.3</v>
      </c>
      <c r="C50" s="236" t="s">
        <v>9</v>
      </c>
      <c r="D50" s="236" t="s">
        <v>9</v>
      </c>
      <c r="E50" s="236">
        <v>219.5</v>
      </c>
      <c r="F50" s="236" t="s">
        <v>9</v>
      </c>
      <c r="G50" s="236">
        <v>13394.2</v>
      </c>
      <c r="H50" s="236" t="s">
        <v>9</v>
      </c>
      <c r="I50" s="236" t="s">
        <v>9</v>
      </c>
      <c r="J50" s="236">
        <v>214.1</v>
      </c>
      <c r="K50" s="236" t="s">
        <v>9</v>
      </c>
      <c r="L50" s="236">
        <v>13387.4</v>
      </c>
      <c r="M50" s="236" t="s">
        <v>9</v>
      </c>
      <c r="N50" s="236" t="s">
        <v>9</v>
      </c>
      <c r="O50" s="236">
        <v>214.1</v>
      </c>
      <c r="P50" s="236" t="s">
        <v>9</v>
      </c>
      <c r="Q50" s="249"/>
      <c r="R50" s="249"/>
      <c r="S50" s="249"/>
      <c r="T50" s="249"/>
    </row>
    <row r="51" spans="1:20">
      <c r="A51" s="248">
        <v>2007</v>
      </c>
      <c r="B51" s="236">
        <v>14099.7</v>
      </c>
      <c r="C51" s="236" t="s">
        <v>9</v>
      </c>
      <c r="D51" s="236" t="s">
        <v>9</v>
      </c>
      <c r="E51" s="236">
        <v>224.6</v>
      </c>
      <c r="F51" s="236" t="s">
        <v>9</v>
      </c>
      <c r="G51" s="236">
        <v>14099.7</v>
      </c>
      <c r="H51" s="236" t="s">
        <v>9</v>
      </c>
      <c r="I51" s="236" t="s">
        <v>9</v>
      </c>
      <c r="J51" s="236">
        <v>224.6</v>
      </c>
      <c r="K51" s="236" t="s">
        <v>9</v>
      </c>
      <c r="L51" s="236">
        <v>14099.7</v>
      </c>
      <c r="M51" s="236" t="s">
        <v>9</v>
      </c>
      <c r="N51" s="236" t="s">
        <v>9</v>
      </c>
      <c r="O51" s="236">
        <v>224.6</v>
      </c>
      <c r="P51" s="236" t="s">
        <v>9</v>
      </c>
      <c r="Q51" s="249"/>
      <c r="R51" s="249"/>
      <c r="S51" s="249"/>
      <c r="T51" s="249"/>
    </row>
    <row r="52" spans="1:20">
      <c r="A52" s="248">
        <v>2008</v>
      </c>
      <c r="B52" s="236">
        <v>14740.5</v>
      </c>
      <c r="C52" s="236" t="s">
        <v>9</v>
      </c>
      <c r="D52" s="236" t="s">
        <v>9</v>
      </c>
      <c r="E52" s="236">
        <v>223.3</v>
      </c>
      <c r="F52" s="236" t="s">
        <v>9</v>
      </c>
      <c r="G52" s="236">
        <v>14789</v>
      </c>
      <c r="H52" s="236" t="s">
        <v>9</v>
      </c>
      <c r="I52" s="236" t="s">
        <v>9</v>
      </c>
      <c r="J52" s="236">
        <v>220.2</v>
      </c>
      <c r="K52" s="236" t="s">
        <v>9</v>
      </c>
      <c r="L52" s="236">
        <v>14780.2</v>
      </c>
      <c r="M52" s="236" t="s">
        <v>9</v>
      </c>
      <c r="N52" s="236" t="s">
        <v>9</v>
      </c>
      <c r="O52" s="236">
        <v>220.1</v>
      </c>
      <c r="P52" s="236" t="s">
        <v>9</v>
      </c>
      <c r="Q52" s="249"/>
      <c r="R52" s="249"/>
      <c r="S52" s="249"/>
      <c r="T52" s="249"/>
    </row>
    <row r="53" spans="1:20">
      <c r="A53" s="248">
        <v>2009</v>
      </c>
      <c r="B53" s="236">
        <v>15846.2</v>
      </c>
      <c r="C53" s="236" t="s">
        <v>9</v>
      </c>
      <c r="D53" s="236" t="s">
        <v>9</v>
      </c>
      <c r="E53" s="236">
        <v>213.3</v>
      </c>
      <c r="F53" s="236" t="s">
        <v>9</v>
      </c>
      <c r="G53" s="236">
        <v>15024.3</v>
      </c>
      <c r="H53" s="236" t="s">
        <v>9</v>
      </c>
      <c r="I53" s="236" t="s">
        <v>9</v>
      </c>
      <c r="J53" s="236">
        <v>197.3</v>
      </c>
      <c r="K53" s="236" t="s">
        <v>9</v>
      </c>
      <c r="L53" s="236">
        <v>14996.5</v>
      </c>
      <c r="M53" s="236" t="s">
        <v>9</v>
      </c>
      <c r="N53" s="236" t="s">
        <v>9</v>
      </c>
      <c r="O53" s="236">
        <v>197.3</v>
      </c>
      <c r="P53" s="236" t="s">
        <v>9</v>
      </c>
      <c r="Q53" s="249"/>
      <c r="R53" s="249"/>
      <c r="S53" s="249"/>
      <c r="T53" s="249"/>
    </row>
    <row r="54" spans="1:20">
      <c r="A54" s="248">
        <v>2010</v>
      </c>
      <c r="B54" s="236">
        <v>14251.1</v>
      </c>
      <c r="C54" s="236" t="s">
        <v>9</v>
      </c>
      <c r="D54" s="236" t="s">
        <v>9</v>
      </c>
      <c r="E54" s="236">
        <v>182.6</v>
      </c>
      <c r="F54" s="236" t="s">
        <v>9</v>
      </c>
      <c r="G54" s="236">
        <v>14887.8</v>
      </c>
      <c r="H54" s="236" t="s">
        <v>9</v>
      </c>
      <c r="I54" s="236" t="s">
        <v>9</v>
      </c>
      <c r="J54" s="236">
        <v>183.7</v>
      </c>
      <c r="K54" s="236" t="s">
        <v>9</v>
      </c>
      <c r="L54" s="236">
        <v>14823.4</v>
      </c>
      <c r="M54" s="236" t="s">
        <v>9</v>
      </c>
      <c r="N54" s="236" t="s">
        <v>9</v>
      </c>
      <c r="O54" s="236">
        <v>183.3</v>
      </c>
      <c r="P54" s="236" t="s">
        <v>9</v>
      </c>
      <c r="Q54" s="249"/>
      <c r="R54" s="249"/>
      <c r="S54" s="249"/>
      <c r="T54" s="249"/>
    </row>
    <row r="55" spans="1:20">
      <c r="A55" s="248">
        <v>2011</v>
      </c>
      <c r="B55" s="236">
        <v>13828.6</v>
      </c>
      <c r="C55" s="236" t="s">
        <v>9</v>
      </c>
      <c r="D55" s="236" t="s">
        <v>9</v>
      </c>
      <c r="E55" s="236">
        <v>174.8</v>
      </c>
      <c r="F55" s="236" t="s">
        <v>9</v>
      </c>
      <c r="G55" s="236">
        <v>14898.2</v>
      </c>
      <c r="H55" s="236" t="s">
        <v>9</v>
      </c>
      <c r="I55" s="236" t="s">
        <v>9</v>
      </c>
      <c r="J55" s="236">
        <v>179.7</v>
      </c>
      <c r="K55" s="236" t="s">
        <v>9</v>
      </c>
      <c r="L55" s="236">
        <v>14773.2</v>
      </c>
      <c r="M55" s="236" t="s">
        <v>9</v>
      </c>
      <c r="N55" s="236" t="s">
        <v>9</v>
      </c>
      <c r="O55" s="236">
        <v>178.7</v>
      </c>
      <c r="P55" s="236" t="s">
        <v>9</v>
      </c>
      <c r="Q55" s="249"/>
      <c r="R55" s="249"/>
      <c r="S55" s="249"/>
      <c r="T55" s="249"/>
    </row>
    <row r="56" spans="1:20">
      <c r="A56" s="248">
        <v>2012</v>
      </c>
      <c r="B56" s="236">
        <v>14150.4</v>
      </c>
      <c r="C56" s="236" t="s">
        <v>9</v>
      </c>
      <c r="D56" s="236" t="s">
        <v>9</v>
      </c>
      <c r="E56" s="236">
        <v>168.1</v>
      </c>
      <c r="F56" s="236" t="s">
        <v>9</v>
      </c>
      <c r="G56" s="236">
        <v>15148.6</v>
      </c>
      <c r="H56" s="236" t="s">
        <v>9</v>
      </c>
      <c r="I56" s="236" t="s">
        <v>9</v>
      </c>
      <c r="J56" s="236">
        <v>170.1</v>
      </c>
      <c r="K56" s="236" t="s">
        <v>9</v>
      </c>
      <c r="L56" s="236">
        <v>14984.5</v>
      </c>
      <c r="M56" s="236" t="s">
        <v>9</v>
      </c>
      <c r="N56" s="236" t="s">
        <v>9</v>
      </c>
      <c r="O56" s="236">
        <v>169.4</v>
      </c>
      <c r="P56" s="236" t="s">
        <v>9</v>
      </c>
      <c r="Q56" s="249"/>
      <c r="R56" s="249"/>
      <c r="S56" s="249"/>
      <c r="T56" s="249"/>
    </row>
    <row r="57" spans="1:20">
      <c r="A57" s="248">
        <v>2013</v>
      </c>
      <c r="B57" s="236">
        <v>14608.4</v>
      </c>
      <c r="C57" s="236" t="s">
        <v>9</v>
      </c>
      <c r="D57" s="236" t="s">
        <v>9</v>
      </c>
      <c r="E57" s="236">
        <v>162.80000000000001</v>
      </c>
      <c r="F57" s="236" t="s">
        <v>9</v>
      </c>
      <c r="G57" s="236">
        <v>15542.8</v>
      </c>
      <c r="H57" s="236" t="s">
        <v>9</v>
      </c>
      <c r="I57" s="236" t="s">
        <v>9</v>
      </c>
      <c r="J57" s="236">
        <v>161.5</v>
      </c>
      <c r="K57" s="236" t="s">
        <v>9</v>
      </c>
      <c r="L57" s="236">
        <v>15356.4</v>
      </c>
      <c r="M57" s="236" t="s">
        <v>9</v>
      </c>
      <c r="N57" s="236" t="s">
        <v>9</v>
      </c>
      <c r="O57" s="236">
        <v>161.1</v>
      </c>
      <c r="P57" s="236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>((B57/B28)^(1/29)-1)*100</f>
        <v>3.5524188800063028</v>
      </c>
      <c r="C60" s="7" t="s">
        <v>10</v>
      </c>
      <c r="D60" s="7" t="s">
        <v>10</v>
      </c>
      <c r="E60" s="11">
        <f t="shared" ref="E60:O60" si="0">((E57/E28)^(1/29)-1)*100</f>
        <v>2.7801409704719671</v>
      </c>
      <c r="F60" s="7" t="s">
        <v>10</v>
      </c>
      <c r="G60" s="11">
        <f t="shared" si="0"/>
        <v>3.0753665309272149</v>
      </c>
      <c r="H60" s="7" t="s">
        <v>10</v>
      </c>
      <c r="I60" s="7" t="s">
        <v>10</v>
      </c>
      <c r="J60" s="11">
        <f t="shared" si="0"/>
        <v>1.6736335357298016</v>
      </c>
      <c r="K60" s="7" t="s">
        <v>10</v>
      </c>
      <c r="L60" s="11">
        <f t="shared" si="0"/>
        <v>4.2473897711201802</v>
      </c>
      <c r="M60" s="7" t="s">
        <v>10</v>
      </c>
      <c r="N60" s="7" t="s">
        <v>10</v>
      </c>
      <c r="O60" s="11">
        <f t="shared" si="0"/>
        <v>1.8194541430365918</v>
      </c>
      <c r="P60" s="7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>((B33/B28)^(1/5)-1)*100</f>
        <v>7.9597194398437043</v>
      </c>
      <c r="C61" s="7" t="s">
        <v>10</v>
      </c>
      <c r="D61" s="11">
        <f t="shared" ref="D61:O61" si="1">((D33/D28)^(1/5)-1)*100</f>
        <v>-2.4505278235776751</v>
      </c>
      <c r="E61" s="11">
        <f t="shared" si="1"/>
        <v>6.4785499855286144</v>
      </c>
      <c r="F61" s="7" t="s">
        <v>10</v>
      </c>
      <c r="G61" s="11">
        <f t="shared" si="1"/>
        <v>4.8120920600072115</v>
      </c>
      <c r="H61" s="7" t="s">
        <v>10</v>
      </c>
      <c r="I61" s="11">
        <f t="shared" si="1"/>
        <v>-4.9020607204410371</v>
      </c>
      <c r="J61" s="11">
        <f t="shared" si="1"/>
        <v>4.4715915472863133</v>
      </c>
      <c r="K61" s="7" t="s">
        <v>10</v>
      </c>
      <c r="L61" s="11">
        <f t="shared" si="1"/>
        <v>7.4502984678588513</v>
      </c>
      <c r="M61" s="7" t="s">
        <v>10</v>
      </c>
      <c r="N61" s="11">
        <f t="shared" si="1"/>
        <v>-4.6342077620114663</v>
      </c>
      <c r="O61" s="11">
        <f t="shared" si="1"/>
        <v>4.5157347419100491</v>
      </c>
      <c r="P61" s="7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>((B44/B33)^(1/11)-1)*100</f>
        <v>5.4557659516815571</v>
      </c>
      <c r="C62" s="7" t="s">
        <v>10</v>
      </c>
      <c r="D62" s="7" t="s">
        <v>10</v>
      </c>
      <c r="E62" s="11">
        <f t="shared" ref="E62:O62" si="2">((E44/E33)^(1/11)-1)*100</f>
        <v>10.199436041758435</v>
      </c>
      <c r="F62" s="7" t="s">
        <v>10</v>
      </c>
      <c r="G62" s="11">
        <f t="shared" si="2"/>
        <v>3.0890864815406704</v>
      </c>
      <c r="H62" s="7" t="s">
        <v>10</v>
      </c>
      <c r="I62" s="7" t="s">
        <v>10</v>
      </c>
      <c r="J62" s="11">
        <f t="shared" si="2"/>
        <v>6.7773228863737822</v>
      </c>
      <c r="K62" s="7" t="s">
        <v>10</v>
      </c>
      <c r="L62" s="11">
        <f t="shared" si="2"/>
        <v>4.8173308196768128</v>
      </c>
      <c r="M62" s="7" t="s">
        <v>10</v>
      </c>
      <c r="N62" s="7" t="s">
        <v>10</v>
      </c>
      <c r="O62" s="11">
        <f t="shared" si="2"/>
        <v>7.0237258430096317</v>
      </c>
      <c r="P62" s="7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0.13732966736688113</v>
      </c>
      <c r="C63" s="7" t="s">
        <v>10</v>
      </c>
      <c r="D63" s="7" t="s">
        <v>10</v>
      </c>
      <c r="E63" s="11">
        <f t="shared" ref="E63:O63" si="3">((E51/E44)^(1/7)-1)*100</f>
        <v>-3.7172728753581796</v>
      </c>
      <c r="F63" s="7" t="s">
        <v>10</v>
      </c>
      <c r="G63" s="11">
        <f t="shared" si="3"/>
        <v>3.0649103557949031</v>
      </c>
      <c r="H63" s="7" t="s">
        <v>10</v>
      </c>
      <c r="I63" s="7" t="s">
        <v>10</v>
      </c>
      <c r="J63" s="11">
        <f t="shared" si="3"/>
        <v>-1.8245970422878788</v>
      </c>
      <c r="K63" s="7" t="s">
        <v>10</v>
      </c>
      <c r="L63" s="11">
        <f t="shared" si="3"/>
        <v>3.548570860104916</v>
      </c>
      <c r="M63" s="7" t="s">
        <v>10</v>
      </c>
      <c r="N63" s="7" t="s">
        <v>10</v>
      </c>
      <c r="O63" s="11">
        <f t="shared" si="3"/>
        <v>-1.5918567641550641</v>
      </c>
      <c r="P63" s="7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0.59246794260423563</v>
      </c>
      <c r="C64" s="7" t="s">
        <v>10</v>
      </c>
      <c r="D64" s="7" t="s">
        <v>10</v>
      </c>
      <c r="E64" s="11">
        <f t="shared" ref="E64:O64" si="4">((E57/E51)^(1/6)-1)*100</f>
        <v>-5.2220215101636995</v>
      </c>
      <c r="F64" s="7" t="s">
        <v>10</v>
      </c>
      <c r="G64" s="11">
        <f t="shared" si="4"/>
        <v>1.6373261162061281</v>
      </c>
      <c r="H64" s="7" t="s">
        <v>10</v>
      </c>
      <c r="I64" s="7" t="s">
        <v>10</v>
      </c>
      <c r="J64" s="11">
        <f t="shared" si="4"/>
        <v>-5.3485810225146206</v>
      </c>
      <c r="K64" s="7" t="s">
        <v>10</v>
      </c>
      <c r="L64" s="11">
        <f t="shared" si="4"/>
        <v>1.43315263351107</v>
      </c>
      <c r="M64" s="7" t="s">
        <v>10</v>
      </c>
      <c r="N64" s="7" t="s">
        <v>10</v>
      </c>
      <c r="O64" s="11">
        <f t="shared" si="4"/>
        <v>-5.3876931985999743</v>
      </c>
      <c r="P64" s="7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>((B57/B44)^(1/13)-1)*100</f>
        <v>0.34713703076461044</v>
      </c>
      <c r="C65" s="7" t="s">
        <v>10</v>
      </c>
      <c r="D65" s="7" t="s">
        <v>10</v>
      </c>
      <c r="E65" s="11">
        <f t="shared" ref="E65:O65" si="5">((E57/E44)^(1/13)-1)*100</f>
        <v>-4.414718115201044</v>
      </c>
      <c r="F65" s="7" t="s">
        <v>10</v>
      </c>
      <c r="G65" s="11">
        <f t="shared" si="5"/>
        <v>2.4035506000583462</v>
      </c>
      <c r="H65" s="7" t="s">
        <v>10</v>
      </c>
      <c r="I65" s="7" t="s">
        <v>10</v>
      </c>
      <c r="J65" s="11">
        <f t="shared" si="5"/>
        <v>-3.4670652972787708</v>
      </c>
      <c r="K65" s="7" t="s">
        <v>10</v>
      </c>
      <c r="L65" s="11">
        <f t="shared" si="5"/>
        <v>2.5667969037640903</v>
      </c>
      <c r="M65" s="7" t="s">
        <v>10</v>
      </c>
      <c r="N65" s="7" t="s">
        <v>10</v>
      </c>
      <c r="O65" s="11">
        <f t="shared" si="5"/>
        <v>-3.3623437216272256</v>
      </c>
      <c r="P65" s="7" t="s">
        <v>10</v>
      </c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  <c r="B68" s="231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3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6.140625" style="225" customWidth="1"/>
    <col min="13" max="16384" width="9.140625" style="225"/>
  </cols>
  <sheetData>
    <row r="1" spans="1:20" ht="34.5" customHeight="1">
      <c r="A1" s="454" t="s">
        <v>295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926.9</v>
      </c>
      <c r="C5" s="236" t="s">
        <v>9</v>
      </c>
      <c r="D5" s="236" t="s">
        <v>9</v>
      </c>
      <c r="E5" s="236">
        <v>5.2</v>
      </c>
      <c r="F5" s="236">
        <v>31.4</v>
      </c>
      <c r="G5" s="236">
        <v>4449.1000000000004</v>
      </c>
      <c r="H5" s="236" t="s">
        <v>9</v>
      </c>
      <c r="I5" s="236" t="s">
        <v>9</v>
      </c>
      <c r="J5" s="236">
        <v>31</v>
      </c>
      <c r="K5" s="236">
        <v>205.4</v>
      </c>
      <c r="L5" s="236">
        <v>2332.8000000000002</v>
      </c>
      <c r="M5" s="236" t="s">
        <v>9</v>
      </c>
      <c r="N5" s="236" t="s">
        <v>9</v>
      </c>
      <c r="O5" s="236">
        <v>28.2</v>
      </c>
      <c r="P5" s="236">
        <v>188.1</v>
      </c>
      <c r="Q5" s="249"/>
      <c r="R5" s="249"/>
      <c r="S5" s="249"/>
      <c r="T5" s="249"/>
    </row>
    <row r="6" spans="1:20">
      <c r="A6" s="248">
        <v>1962</v>
      </c>
      <c r="B6" s="236">
        <v>958</v>
      </c>
      <c r="C6" s="236" t="s">
        <v>9</v>
      </c>
      <c r="D6" s="236" t="s">
        <v>9</v>
      </c>
      <c r="E6" s="236">
        <v>5.2</v>
      </c>
      <c r="F6" s="236">
        <v>31.2</v>
      </c>
      <c r="G6" s="236">
        <v>4522.8</v>
      </c>
      <c r="H6" s="236" t="s">
        <v>9</v>
      </c>
      <c r="I6" s="236" t="s">
        <v>9</v>
      </c>
      <c r="J6" s="236">
        <v>30.9</v>
      </c>
      <c r="K6" s="236">
        <v>204.4</v>
      </c>
      <c r="L6" s="236">
        <v>2388.3000000000002</v>
      </c>
      <c r="M6" s="236" t="s">
        <v>9</v>
      </c>
      <c r="N6" s="236" t="s">
        <v>9</v>
      </c>
      <c r="O6" s="236">
        <v>28.1</v>
      </c>
      <c r="P6" s="236">
        <v>187</v>
      </c>
      <c r="Q6" s="249"/>
      <c r="R6" s="249"/>
      <c r="S6" s="249"/>
      <c r="T6" s="249"/>
    </row>
    <row r="7" spans="1:20">
      <c r="A7" s="248">
        <v>1963</v>
      </c>
      <c r="B7" s="236">
        <v>1020.9</v>
      </c>
      <c r="C7" s="236" t="s">
        <v>9</v>
      </c>
      <c r="D7" s="236" t="s">
        <v>9</v>
      </c>
      <c r="E7" s="236">
        <v>5.4</v>
      </c>
      <c r="F7" s="236">
        <v>33.4</v>
      </c>
      <c r="G7" s="236">
        <v>4642.8</v>
      </c>
      <c r="H7" s="236" t="s">
        <v>9</v>
      </c>
      <c r="I7" s="236" t="s">
        <v>9</v>
      </c>
      <c r="J7" s="236">
        <v>31.2</v>
      </c>
      <c r="K7" s="236">
        <v>207.4</v>
      </c>
      <c r="L7" s="236">
        <v>2466.5</v>
      </c>
      <c r="M7" s="236" t="s">
        <v>9</v>
      </c>
      <c r="N7" s="236" t="s">
        <v>9</v>
      </c>
      <c r="O7" s="236">
        <v>28.3</v>
      </c>
      <c r="P7" s="236">
        <v>189.7</v>
      </c>
      <c r="Q7" s="249"/>
      <c r="R7" s="249"/>
      <c r="S7" s="249"/>
      <c r="T7" s="249"/>
    </row>
    <row r="8" spans="1:20">
      <c r="A8" s="248">
        <v>1964</v>
      </c>
      <c r="B8" s="236">
        <v>1091.2</v>
      </c>
      <c r="C8" s="236" t="s">
        <v>9</v>
      </c>
      <c r="D8" s="236" t="s">
        <v>9</v>
      </c>
      <c r="E8" s="236">
        <v>5.9</v>
      </c>
      <c r="F8" s="236">
        <v>36.700000000000003</v>
      </c>
      <c r="G8" s="236">
        <v>4863.5</v>
      </c>
      <c r="H8" s="236" t="s">
        <v>9</v>
      </c>
      <c r="I8" s="236" t="s">
        <v>9</v>
      </c>
      <c r="J8" s="236">
        <v>32.700000000000003</v>
      </c>
      <c r="K8" s="236">
        <v>219.8</v>
      </c>
      <c r="L8" s="236">
        <v>2594.5</v>
      </c>
      <c r="M8" s="236" t="s">
        <v>9</v>
      </c>
      <c r="N8" s="236" t="s">
        <v>9</v>
      </c>
      <c r="O8" s="236">
        <v>29.8</v>
      </c>
      <c r="P8" s="236">
        <v>201</v>
      </c>
      <c r="Q8" s="249"/>
      <c r="R8" s="249"/>
      <c r="S8" s="249"/>
      <c r="T8" s="249"/>
    </row>
    <row r="9" spans="1:20">
      <c r="A9" s="248">
        <v>1965</v>
      </c>
      <c r="B9" s="236">
        <v>1222.2</v>
      </c>
      <c r="C9" s="236" t="s">
        <v>9</v>
      </c>
      <c r="D9" s="236" t="s">
        <v>9</v>
      </c>
      <c r="E9" s="236">
        <v>6.8</v>
      </c>
      <c r="F9" s="236">
        <v>43.6</v>
      </c>
      <c r="G9" s="236">
        <v>5265.6</v>
      </c>
      <c r="H9" s="236" t="s">
        <v>9</v>
      </c>
      <c r="I9" s="236" t="s">
        <v>9</v>
      </c>
      <c r="J9" s="236">
        <v>35.700000000000003</v>
      </c>
      <c r="K9" s="236">
        <v>247.4</v>
      </c>
      <c r="L9" s="236">
        <v>2815.2</v>
      </c>
      <c r="M9" s="236" t="s">
        <v>9</v>
      </c>
      <c r="N9" s="236" t="s">
        <v>9</v>
      </c>
      <c r="O9" s="236">
        <v>32.6</v>
      </c>
      <c r="P9" s="236">
        <v>226.5</v>
      </c>
      <c r="Q9" s="249"/>
      <c r="R9" s="249"/>
      <c r="S9" s="249"/>
      <c r="T9" s="249"/>
    </row>
    <row r="10" spans="1:20">
      <c r="A10" s="248">
        <v>1966</v>
      </c>
      <c r="B10" s="236">
        <v>1372.7</v>
      </c>
      <c r="C10" s="236" t="s">
        <v>9</v>
      </c>
      <c r="D10" s="236" t="s">
        <v>9</v>
      </c>
      <c r="E10" s="236">
        <v>7.6</v>
      </c>
      <c r="F10" s="236">
        <v>49.2</v>
      </c>
      <c r="G10" s="236">
        <v>5806.7</v>
      </c>
      <c r="H10" s="236" t="s">
        <v>9</v>
      </c>
      <c r="I10" s="236" t="s">
        <v>9</v>
      </c>
      <c r="J10" s="236">
        <v>38.9</v>
      </c>
      <c r="K10" s="236">
        <v>274.60000000000002</v>
      </c>
      <c r="L10" s="236">
        <v>3114.7</v>
      </c>
      <c r="M10" s="236" t="s">
        <v>9</v>
      </c>
      <c r="N10" s="236" t="s">
        <v>9</v>
      </c>
      <c r="O10" s="236">
        <v>35.5</v>
      </c>
      <c r="P10" s="236">
        <v>251.6</v>
      </c>
      <c r="Q10" s="249"/>
      <c r="R10" s="249"/>
      <c r="S10" s="249"/>
      <c r="T10" s="249"/>
    </row>
    <row r="11" spans="1:20">
      <c r="A11" s="248">
        <v>1967</v>
      </c>
      <c r="B11" s="236">
        <v>1520.2</v>
      </c>
      <c r="C11" s="236" t="s">
        <v>9</v>
      </c>
      <c r="D11" s="236" t="s">
        <v>9</v>
      </c>
      <c r="E11" s="236">
        <v>7.8</v>
      </c>
      <c r="F11" s="236">
        <v>51.7</v>
      </c>
      <c r="G11" s="236">
        <v>6328.4</v>
      </c>
      <c r="H11" s="236" t="s">
        <v>9</v>
      </c>
      <c r="I11" s="236" t="s">
        <v>9</v>
      </c>
      <c r="J11" s="236">
        <v>40.6</v>
      </c>
      <c r="K11" s="236">
        <v>291</v>
      </c>
      <c r="L11" s="236">
        <v>3415.8</v>
      </c>
      <c r="M11" s="236" t="s">
        <v>9</v>
      </c>
      <c r="N11" s="236" t="s">
        <v>9</v>
      </c>
      <c r="O11" s="236">
        <v>37</v>
      </c>
      <c r="P11" s="236">
        <v>267</v>
      </c>
      <c r="Q11" s="249"/>
      <c r="R11" s="249"/>
      <c r="S11" s="249"/>
      <c r="T11" s="249"/>
    </row>
    <row r="12" spans="1:20">
      <c r="A12" s="248">
        <v>1968</v>
      </c>
      <c r="B12" s="236">
        <v>1640.9</v>
      </c>
      <c r="C12" s="236" t="s">
        <v>9</v>
      </c>
      <c r="D12" s="236" t="s">
        <v>9</v>
      </c>
      <c r="E12" s="236">
        <v>7.9</v>
      </c>
      <c r="F12" s="236">
        <v>52.3</v>
      </c>
      <c r="G12" s="236">
        <v>6687.3</v>
      </c>
      <c r="H12" s="236" t="s">
        <v>9</v>
      </c>
      <c r="I12" s="236" t="s">
        <v>9</v>
      </c>
      <c r="J12" s="236">
        <v>40.9</v>
      </c>
      <c r="K12" s="236">
        <v>293.2</v>
      </c>
      <c r="L12" s="236">
        <v>3638.3</v>
      </c>
      <c r="M12" s="236" t="s">
        <v>9</v>
      </c>
      <c r="N12" s="236" t="s">
        <v>9</v>
      </c>
      <c r="O12" s="236">
        <v>37.299999999999997</v>
      </c>
      <c r="P12" s="236">
        <v>269.39999999999998</v>
      </c>
      <c r="Q12" s="249"/>
      <c r="R12" s="249"/>
      <c r="S12" s="249"/>
      <c r="T12" s="249"/>
    </row>
    <row r="13" spans="1:20">
      <c r="A13" s="248">
        <v>1969</v>
      </c>
      <c r="B13" s="236">
        <v>1787.4</v>
      </c>
      <c r="C13" s="236" t="s">
        <v>9</v>
      </c>
      <c r="D13" s="236" t="s">
        <v>9</v>
      </c>
      <c r="E13" s="236">
        <v>8.6999999999999993</v>
      </c>
      <c r="F13" s="236">
        <v>53.4</v>
      </c>
      <c r="G13" s="236">
        <v>7008.2</v>
      </c>
      <c r="H13" s="236" t="s">
        <v>9</v>
      </c>
      <c r="I13" s="236" t="s">
        <v>9</v>
      </c>
      <c r="J13" s="236">
        <v>43.5</v>
      </c>
      <c r="K13" s="236">
        <v>288.2</v>
      </c>
      <c r="L13" s="236">
        <v>3852.9</v>
      </c>
      <c r="M13" s="236" t="s">
        <v>9</v>
      </c>
      <c r="N13" s="236" t="s">
        <v>9</v>
      </c>
      <c r="O13" s="236">
        <v>39.799999999999997</v>
      </c>
      <c r="P13" s="236">
        <v>264.89999999999998</v>
      </c>
      <c r="Q13" s="249"/>
      <c r="R13" s="249"/>
      <c r="S13" s="249"/>
      <c r="T13" s="249"/>
    </row>
    <row r="14" spans="1:20">
      <c r="A14" s="248">
        <v>1970</v>
      </c>
      <c r="B14" s="236">
        <v>2001.5</v>
      </c>
      <c r="C14" s="236" t="s">
        <v>9</v>
      </c>
      <c r="D14" s="236" t="s">
        <v>9</v>
      </c>
      <c r="E14" s="236">
        <v>10.3</v>
      </c>
      <c r="F14" s="236">
        <v>59</v>
      </c>
      <c r="G14" s="236">
        <v>7413.9</v>
      </c>
      <c r="H14" s="236" t="s">
        <v>9</v>
      </c>
      <c r="I14" s="236" t="s">
        <v>9</v>
      </c>
      <c r="J14" s="236">
        <v>47.9</v>
      </c>
      <c r="K14" s="236">
        <v>295.3</v>
      </c>
      <c r="L14" s="236">
        <v>4109.6000000000004</v>
      </c>
      <c r="M14" s="236" t="s">
        <v>9</v>
      </c>
      <c r="N14" s="236" t="s">
        <v>9</v>
      </c>
      <c r="O14" s="236">
        <v>43.8</v>
      </c>
      <c r="P14" s="236">
        <v>271.8</v>
      </c>
      <c r="Q14" s="249"/>
      <c r="R14" s="249"/>
      <c r="S14" s="249"/>
      <c r="T14" s="249"/>
    </row>
    <row r="15" spans="1:20">
      <c r="A15" s="248">
        <v>1971</v>
      </c>
      <c r="B15" s="236">
        <v>2176.8000000000002</v>
      </c>
      <c r="C15" s="236" t="s">
        <v>9</v>
      </c>
      <c r="D15" s="236" t="s">
        <v>9</v>
      </c>
      <c r="E15" s="236">
        <v>11</v>
      </c>
      <c r="F15" s="236">
        <v>63.3</v>
      </c>
      <c r="G15" s="236">
        <v>7770.7</v>
      </c>
      <c r="H15" s="236" t="s">
        <v>9</v>
      </c>
      <c r="I15" s="236" t="s">
        <v>9</v>
      </c>
      <c r="J15" s="236">
        <v>50.1</v>
      </c>
      <c r="K15" s="236">
        <v>309.39999999999998</v>
      </c>
      <c r="L15" s="236">
        <v>4326.6000000000004</v>
      </c>
      <c r="M15" s="236" t="s">
        <v>9</v>
      </c>
      <c r="N15" s="236" t="s">
        <v>9</v>
      </c>
      <c r="O15" s="236">
        <v>45.7</v>
      </c>
      <c r="P15" s="236">
        <v>284.60000000000002</v>
      </c>
      <c r="Q15" s="249"/>
      <c r="R15" s="249"/>
      <c r="S15" s="249"/>
      <c r="T15" s="249"/>
    </row>
    <row r="16" spans="1:20">
      <c r="A16" s="248">
        <v>1972</v>
      </c>
      <c r="B16" s="236">
        <v>2340.6</v>
      </c>
      <c r="C16" s="236" t="s">
        <v>9</v>
      </c>
      <c r="D16" s="236" t="s">
        <v>9</v>
      </c>
      <c r="E16" s="236">
        <v>12.1</v>
      </c>
      <c r="F16" s="236">
        <v>65.5</v>
      </c>
      <c r="G16" s="236">
        <v>8095.1</v>
      </c>
      <c r="H16" s="236" t="s">
        <v>9</v>
      </c>
      <c r="I16" s="236" t="s">
        <v>9</v>
      </c>
      <c r="J16" s="236">
        <v>53.9</v>
      </c>
      <c r="K16" s="236">
        <v>311.39999999999998</v>
      </c>
      <c r="L16" s="236">
        <v>4536</v>
      </c>
      <c r="M16" s="236" t="s">
        <v>9</v>
      </c>
      <c r="N16" s="236" t="s">
        <v>9</v>
      </c>
      <c r="O16" s="236">
        <v>49</v>
      </c>
      <c r="P16" s="236">
        <v>286.3</v>
      </c>
      <c r="Q16" s="249"/>
      <c r="R16" s="249"/>
      <c r="S16" s="249"/>
      <c r="T16" s="249"/>
    </row>
    <row r="17" spans="1:20">
      <c r="A17" s="248">
        <v>1973</v>
      </c>
      <c r="B17" s="236">
        <v>2589.8000000000002</v>
      </c>
      <c r="C17" s="236" t="s">
        <v>9</v>
      </c>
      <c r="D17" s="236" t="s">
        <v>9</v>
      </c>
      <c r="E17" s="236">
        <v>15.5</v>
      </c>
      <c r="F17" s="236">
        <v>68.8</v>
      </c>
      <c r="G17" s="236">
        <v>8625.1</v>
      </c>
      <c r="H17" s="236" t="s">
        <v>9</v>
      </c>
      <c r="I17" s="236" t="s">
        <v>9</v>
      </c>
      <c r="J17" s="236">
        <v>65</v>
      </c>
      <c r="K17" s="236">
        <v>306.3</v>
      </c>
      <c r="L17" s="236">
        <v>4866</v>
      </c>
      <c r="M17" s="236" t="s">
        <v>9</v>
      </c>
      <c r="N17" s="236" t="s">
        <v>9</v>
      </c>
      <c r="O17" s="236">
        <v>59</v>
      </c>
      <c r="P17" s="236">
        <v>282</v>
      </c>
      <c r="Q17" s="249"/>
      <c r="R17" s="249"/>
      <c r="S17" s="249"/>
      <c r="T17" s="249"/>
    </row>
    <row r="18" spans="1:20">
      <c r="A18" s="248">
        <v>1974</v>
      </c>
      <c r="B18" s="236">
        <v>3153</v>
      </c>
      <c r="C18" s="236" t="s">
        <v>9</v>
      </c>
      <c r="D18" s="236" t="s">
        <v>9</v>
      </c>
      <c r="E18" s="236">
        <v>22.7</v>
      </c>
      <c r="F18" s="236">
        <v>82.6</v>
      </c>
      <c r="G18" s="236">
        <v>9386.2000000000007</v>
      </c>
      <c r="H18" s="236" t="s">
        <v>9</v>
      </c>
      <c r="I18" s="236" t="s">
        <v>9</v>
      </c>
      <c r="J18" s="236">
        <v>82.6</v>
      </c>
      <c r="K18" s="236">
        <v>317.60000000000002</v>
      </c>
      <c r="L18" s="236">
        <v>5336.8</v>
      </c>
      <c r="M18" s="236" t="s">
        <v>9</v>
      </c>
      <c r="N18" s="236" t="s">
        <v>9</v>
      </c>
      <c r="O18" s="236">
        <v>75.2</v>
      </c>
      <c r="P18" s="236">
        <v>293</v>
      </c>
      <c r="Q18" s="249"/>
      <c r="R18" s="249"/>
      <c r="S18" s="249"/>
      <c r="T18" s="249"/>
    </row>
    <row r="19" spans="1:20">
      <c r="A19" s="248">
        <v>1975</v>
      </c>
      <c r="B19" s="236">
        <v>3883.7</v>
      </c>
      <c r="C19" s="236" t="s">
        <v>9</v>
      </c>
      <c r="D19" s="236" t="s">
        <v>9</v>
      </c>
      <c r="E19" s="236">
        <v>31.1</v>
      </c>
      <c r="F19" s="236">
        <v>105.6</v>
      </c>
      <c r="G19" s="236">
        <v>10115.799999999999</v>
      </c>
      <c r="H19" s="236" t="s">
        <v>9</v>
      </c>
      <c r="I19" s="236" t="s">
        <v>9</v>
      </c>
      <c r="J19" s="236">
        <v>96.3</v>
      </c>
      <c r="K19" s="236">
        <v>344.1</v>
      </c>
      <c r="L19" s="236">
        <v>5803.5</v>
      </c>
      <c r="M19" s="236" t="s">
        <v>9</v>
      </c>
      <c r="N19" s="236" t="s">
        <v>9</v>
      </c>
      <c r="O19" s="236">
        <v>88.1</v>
      </c>
      <c r="P19" s="236">
        <v>318.2</v>
      </c>
      <c r="Q19" s="249"/>
      <c r="R19" s="249"/>
      <c r="S19" s="249"/>
      <c r="T19" s="249"/>
    </row>
    <row r="20" spans="1:20">
      <c r="A20" s="248">
        <v>1976</v>
      </c>
      <c r="B20" s="236">
        <v>4306.7</v>
      </c>
      <c r="C20" s="236" t="s">
        <v>9</v>
      </c>
      <c r="D20" s="236" t="s">
        <v>9</v>
      </c>
      <c r="E20" s="236">
        <v>34.200000000000003</v>
      </c>
      <c r="F20" s="236">
        <v>125.1</v>
      </c>
      <c r="G20" s="236">
        <v>10619.4</v>
      </c>
      <c r="H20" s="236" t="s">
        <v>9</v>
      </c>
      <c r="I20" s="236" t="s">
        <v>9</v>
      </c>
      <c r="J20" s="236">
        <v>99</v>
      </c>
      <c r="K20" s="236">
        <v>378.4</v>
      </c>
      <c r="L20" s="236">
        <v>6138.7</v>
      </c>
      <c r="M20" s="236" t="s">
        <v>9</v>
      </c>
      <c r="N20" s="236" t="s">
        <v>9</v>
      </c>
      <c r="O20" s="236">
        <v>90.7</v>
      </c>
      <c r="P20" s="236">
        <v>351</v>
      </c>
      <c r="Q20" s="249"/>
      <c r="R20" s="249"/>
      <c r="S20" s="249"/>
      <c r="T20" s="249"/>
    </row>
    <row r="21" spans="1:20">
      <c r="A21" s="248">
        <v>1977</v>
      </c>
      <c r="B21" s="236">
        <v>4813.7</v>
      </c>
      <c r="C21" s="236" t="s">
        <v>9</v>
      </c>
      <c r="D21" s="236" t="s">
        <v>9</v>
      </c>
      <c r="E21" s="236">
        <v>36.4</v>
      </c>
      <c r="F21" s="236">
        <v>148.6</v>
      </c>
      <c r="G21" s="236">
        <v>10943.8</v>
      </c>
      <c r="H21" s="236" t="s">
        <v>9</v>
      </c>
      <c r="I21" s="236" t="s">
        <v>9</v>
      </c>
      <c r="J21" s="236">
        <v>95.1</v>
      </c>
      <c r="K21" s="236">
        <v>404.3</v>
      </c>
      <c r="L21" s="236">
        <v>6379.3</v>
      </c>
      <c r="M21" s="236" t="s">
        <v>9</v>
      </c>
      <c r="N21" s="236" t="s">
        <v>9</v>
      </c>
      <c r="O21" s="236">
        <v>87.2</v>
      </c>
      <c r="P21" s="236">
        <v>376.1</v>
      </c>
      <c r="Q21" s="249"/>
      <c r="R21" s="249"/>
      <c r="S21" s="249"/>
      <c r="T21" s="249"/>
    </row>
    <row r="22" spans="1:20">
      <c r="A22" s="248">
        <v>1978</v>
      </c>
      <c r="B22" s="236">
        <v>5436.8</v>
      </c>
      <c r="C22" s="236" t="s">
        <v>9</v>
      </c>
      <c r="D22" s="236" t="s">
        <v>9</v>
      </c>
      <c r="E22" s="236">
        <v>38.9</v>
      </c>
      <c r="F22" s="236">
        <v>165.8</v>
      </c>
      <c r="G22" s="236">
        <v>11167.6</v>
      </c>
      <c r="H22" s="236" t="s">
        <v>9</v>
      </c>
      <c r="I22" s="236" t="s">
        <v>9</v>
      </c>
      <c r="J22" s="236">
        <v>90</v>
      </c>
      <c r="K22" s="236">
        <v>397.3</v>
      </c>
      <c r="L22" s="236">
        <v>6603.8</v>
      </c>
      <c r="M22" s="236" t="s">
        <v>9</v>
      </c>
      <c r="N22" s="236" t="s">
        <v>9</v>
      </c>
      <c r="O22" s="236">
        <v>82.7</v>
      </c>
      <c r="P22" s="236">
        <v>370.1</v>
      </c>
      <c r="Q22" s="249"/>
      <c r="R22" s="249"/>
      <c r="S22" s="249"/>
      <c r="T22" s="249"/>
    </row>
    <row r="23" spans="1:20">
      <c r="A23" s="248">
        <v>1979</v>
      </c>
      <c r="B23" s="236">
        <v>6192.2</v>
      </c>
      <c r="C23" s="236" t="s">
        <v>9</v>
      </c>
      <c r="D23" s="236" t="s">
        <v>9</v>
      </c>
      <c r="E23" s="236">
        <v>42.1</v>
      </c>
      <c r="F23" s="236">
        <v>180</v>
      </c>
      <c r="G23" s="236">
        <v>11421.4</v>
      </c>
      <c r="H23" s="236" t="s">
        <v>9</v>
      </c>
      <c r="I23" s="236" t="s">
        <v>9</v>
      </c>
      <c r="J23" s="236">
        <v>86.7</v>
      </c>
      <c r="K23" s="236">
        <v>382.8</v>
      </c>
      <c r="L23" s="236">
        <v>6852.1</v>
      </c>
      <c r="M23" s="236" t="s">
        <v>9</v>
      </c>
      <c r="N23" s="236" t="s">
        <v>9</v>
      </c>
      <c r="O23" s="236">
        <v>79.900000000000006</v>
      </c>
      <c r="P23" s="236">
        <v>357.1</v>
      </c>
      <c r="Q23" s="249"/>
      <c r="R23" s="249"/>
      <c r="S23" s="249"/>
      <c r="T23" s="249"/>
    </row>
    <row r="24" spans="1:20">
      <c r="A24" s="248">
        <v>1980</v>
      </c>
      <c r="B24" s="236">
        <v>7028.8</v>
      </c>
      <c r="C24" s="236" t="s">
        <v>9</v>
      </c>
      <c r="D24" s="236" t="s">
        <v>9</v>
      </c>
      <c r="E24" s="236">
        <v>47.5</v>
      </c>
      <c r="F24" s="236">
        <v>205.9</v>
      </c>
      <c r="G24" s="236">
        <v>11803.2</v>
      </c>
      <c r="H24" s="236" t="s">
        <v>9</v>
      </c>
      <c r="I24" s="236" t="s">
        <v>9</v>
      </c>
      <c r="J24" s="236">
        <v>86.9</v>
      </c>
      <c r="K24" s="236">
        <v>386</v>
      </c>
      <c r="L24" s="236">
        <v>7201.5</v>
      </c>
      <c r="M24" s="236" t="s">
        <v>9</v>
      </c>
      <c r="N24" s="236" t="s">
        <v>9</v>
      </c>
      <c r="O24" s="236">
        <v>80.5</v>
      </c>
      <c r="P24" s="236">
        <v>362</v>
      </c>
      <c r="Q24" s="249"/>
      <c r="R24" s="249"/>
      <c r="S24" s="249"/>
      <c r="T24" s="249"/>
    </row>
    <row r="25" spans="1:20">
      <c r="A25" s="248">
        <v>1981</v>
      </c>
      <c r="B25" s="236">
        <v>8137.2</v>
      </c>
      <c r="C25" s="236" t="s">
        <v>9</v>
      </c>
      <c r="D25" s="236" t="s">
        <v>9</v>
      </c>
      <c r="E25" s="236">
        <v>54</v>
      </c>
      <c r="F25" s="236">
        <v>253.4</v>
      </c>
      <c r="G25" s="236">
        <v>12253.8</v>
      </c>
      <c r="H25" s="236" t="s">
        <v>9</v>
      </c>
      <c r="I25" s="236" t="s">
        <v>9</v>
      </c>
      <c r="J25" s="236">
        <v>87.8</v>
      </c>
      <c r="K25" s="236">
        <v>419.4</v>
      </c>
      <c r="L25" s="236">
        <v>7666.1</v>
      </c>
      <c r="M25" s="236" t="s">
        <v>9</v>
      </c>
      <c r="N25" s="236" t="s">
        <v>9</v>
      </c>
      <c r="O25" s="236">
        <v>81.599999999999994</v>
      </c>
      <c r="P25" s="236">
        <v>395.7</v>
      </c>
      <c r="Q25" s="249"/>
      <c r="R25" s="249"/>
      <c r="S25" s="249"/>
      <c r="T25" s="249"/>
    </row>
    <row r="26" spans="1:20">
      <c r="A26" s="248">
        <v>1982</v>
      </c>
      <c r="B26" s="236">
        <v>9100.7000000000007</v>
      </c>
      <c r="C26" s="236" t="s">
        <v>9</v>
      </c>
      <c r="D26" s="236" t="s">
        <v>9</v>
      </c>
      <c r="E26" s="236">
        <v>57.4</v>
      </c>
      <c r="F26" s="236">
        <v>304.5</v>
      </c>
      <c r="G26" s="236">
        <v>12518.8</v>
      </c>
      <c r="H26" s="236" t="s">
        <v>9</v>
      </c>
      <c r="I26" s="236" t="s">
        <v>9</v>
      </c>
      <c r="J26" s="236">
        <v>86.3</v>
      </c>
      <c r="K26" s="236">
        <v>463.9</v>
      </c>
      <c r="L26" s="236">
        <v>8025.4</v>
      </c>
      <c r="M26" s="236" t="s">
        <v>9</v>
      </c>
      <c r="N26" s="236" t="s">
        <v>9</v>
      </c>
      <c r="O26" s="236">
        <v>80.3</v>
      </c>
      <c r="P26" s="236">
        <v>439</v>
      </c>
      <c r="Q26" s="249"/>
      <c r="R26" s="249"/>
      <c r="S26" s="249"/>
      <c r="T26" s="249"/>
    </row>
    <row r="27" spans="1:20">
      <c r="A27" s="248">
        <v>1983</v>
      </c>
      <c r="B27" s="236">
        <v>9489.6</v>
      </c>
      <c r="C27" s="236" t="s">
        <v>9</v>
      </c>
      <c r="D27" s="236" t="s">
        <v>9</v>
      </c>
      <c r="E27" s="236">
        <v>56.4</v>
      </c>
      <c r="F27" s="236">
        <v>311.8</v>
      </c>
      <c r="G27" s="236">
        <v>12622</v>
      </c>
      <c r="H27" s="236" t="s">
        <v>9</v>
      </c>
      <c r="I27" s="236" t="s">
        <v>9</v>
      </c>
      <c r="J27" s="236">
        <v>82.8</v>
      </c>
      <c r="K27" s="236">
        <v>464.2</v>
      </c>
      <c r="L27" s="236">
        <v>8345</v>
      </c>
      <c r="M27" s="236" t="s">
        <v>9</v>
      </c>
      <c r="N27" s="236" t="s">
        <v>9</v>
      </c>
      <c r="O27" s="236">
        <v>77.3</v>
      </c>
      <c r="P27" s="236">
        <v>439.6</v>
      </c>
      <c r="Q27" s="249"/>
      <c r="R27" s="249"/>
      <c r="S27" s="249"/>
      <c r="T27" s="249"/>
    </row>
    <row r="28" spans="1:20">
      <c r="A28" s="248">
        <v>1984</v>
      </c>
      <c r="B28" s="236">
        <v>10278.299999999999</v>
      </c>
      <c r="C28" s="236" t="s">
        <v>9</v>
      </c>
      <c r="D28" s="236" t="s">
        <v>9</v>
      </c>
      <c r="E28" s="236">
        <v>57.3</v>
      </c>
      <c r="F28" s="236">
        <v>311.5</v>
      </c>
      <c r="G28" s="236">
        <v>12852.7</v>
      </c>
      <c r="H28" s="236" t="s">
        <v>9</v>
      </c>
      <c r="I28" s="236" t="s">
        <v>9</v>
      </c>
      <c r="J28" s="236">
        <v>79.8</v>
      </c>
      <c r="K28" s="236">
        <v>440.3</v>
      </c>
      <c r="L28" s="236">
        <v>8771.1</v>
      </c>
      <c r="M28" s="236" t="s">
        <v>9</v>
      </c>
      <c r="N28" s="236" t="s">
        <v>9</v>
      </c>
      <c r="O28" s="236">
        <v>74.7</v>
      </c>
      <c r="P28" s="236">
        <v>417.5</v>
      </c>
      <c r="Q28" s="249"/>
      <c r="R28" s="249"/>
      <c r="S28" s="249"/>
      <c r="T28" s="249"/>
    </row>
    <row r="29" spans="1:20">
      <c r="A29" s="248">
        <v>1985</v>
      </c>
      <c r="B29" s="236">
        <v>11199.8</v>
      </c>
      <c r="C29" s="236" t="s">
        <v>9</v>
      </c>
      <c r="D29" s="236" t="s">
        <v>9</v>
      </c>
      <c r="E29" s="236">
        <v>58.3</v>
      </c>
      <c r="F29" s="236">
        <v>332.4</v>
      </c>
      <c r="G29" s="236">
        <v>13180.6</v>
      </c>
      <c r="H29" s="236" t="s">
        <v>9</v>
      </c>
      <c r="I29" s="236" t="s">
        <v>9</v>
      </c>
      <c r="J29" s="236">
        <v>76.599999999999994</v>
      </c>
      <c r="K29" s="236">
        <v>440.8</v>
      </c>
      <c r="L29" s="236">
        <v>9285.5</v>
      </c>
      <c r="M29" s="236" t="s">
        <v>9</v>
      </c>
      <c r="N29" s="236" t="s">
        <v>9</v>
      </c>
      <c r="O29" s="236">
        <v>71.900000000000006</v>
      </c>
      <c r="P29" s="236">
        <v>420.3</v>
      </c>
      <c r="Q29" s="249"/>
      <c r="R29" s="249"/>
      <c r="S29" s="249"/>
      <c r="T29" s="249"/>
    </row>
    <row r="30" spans="1:20">
      <c r="A30" s="248">
        <v>1986</v>
      </c>
      <c r="B30" s="236">
        <v>12190.9</v>
      </c>
      <c r="C30" s="236" t="s">
        <v>9</v>
      </c>
      <c r="D30" s="236" t="s">
        <v>9</v>
      </c>
      <c r="E30" s="236">
        <v>57.4</v>
      </c>
      <c r="F30" s="236">
        <v>343.8</v>
      </c>
      <c r="G30" s="236">
        <v>13697.8</v>
      </c>
      <c r="H30" s="236" t="s">
        <v>9</v>
      </c>
      <c r="I30" s="236" t="s">
        <v>9</v>
      </c>
      <c r="J30" s="236">
        <v>72.8</v>
      </c>
      <c r="K30" s="236">
        <v>439.5</v>
      </c>
      <c r="L30" s="236">
        <v>9895.6</v>
      </c>
      <c r="M30" s="236" t="s">
        <v>9</v>
      </c>
      <c r="N30" s="236" t="s">
        <v>9</v>
      </c>
      <c r="O30" s="236">
        <v>68.599999999999994</v>
      </c>
      <c r="P30" s="236">
        <v>422</v>
      </c>
      <c r="Q30" s="249"/>
      <c r="R30" s="249"/>
      <c r="S30" s="249"/>
      <c r="T30" s="249"/>
    </row>
    <row r="31" spans="1:20">
      <c r="A31" s="248">
        <v>1987</v>
      </c>
      <c r="B31" s="236">
        <v>12966.1</v>
      </c>
      <c r="C31" s="236" t="s">
        <v>9</v>
      </c>
      <c r="D31" s="236" t="s">
        <v>9</v>
      </c>
      <c r="E31" s="236">
        <v>60.2</v>
      </c>
      <c r="F31" s="236">
        <v>334.7</v>
      </c>
      <c r="G31" s="236">
        <v>14398.4</v>
      </c>
      <c r="H31" s="236" t="s">
        <v>9</v>
      </c>
      <c r="I31" s="236" t="s">
        <v>9</v>
      </c>
      <c r="J31" s="236">
        <v>76.5</v>
      </c>
      <c r="K31" s="236">
        <v>426.8</v>
      </c>
      <c r="L31" s="236">
        <v>10649.4</v>
      </c>
      <c r="M31" s="236" t="s">
        <v>9</v>
      </c>
      <c r="N31" s="236" t="s">
        <v>9</v>
      </c>
      <c r="O31" s="236">
        <v>72.099999999999994</v>
      </c>
      <c r="P31" s="236">
        <v>411.7</v>
      </c>
      <c r="Q31" s="249"/>
      <c r="R31" s="249"/>
      <c r="S31" s="249"/>
      <c r="T31" s="249"/>
    </row>
    <row r="32" spans="1:20">
      <c r="A32" s="248">
        <v>1988</v>
      </c>
      <c r="B32" s="236">
        <v>14022.3</v>
      </c>
      <c r="C32" s="236" t="s">
        <v>9</v>
      </c>
      <c r="D32" s="236" t="s">
        <v>9</v>
      </c>
      <c r="E32" s="236">
        <v>70.900000000000006</v>
      </c>
      <c r="F32" s="236">
        <v>341.8</v>
      </c>
      <c r="G32" s="236">
        <v>15399.2</v>
      </c>
      <c r="H32" s="236" t="s">
        <v>9</v>
      </c>
      <c r="I32" s="236" t="s">
        <v>9</v>
      </c>
      <c r="J32" s="236">
        <v>91</v>
      </c>
      <c r="K32" s="236">
        <v>437.7</v>
      </c>
      <c r="L32" s="236">
        <v>11653.3</v>
      </c>
      <c r="M32" s="236" t="s">
        <v>9</v>
      </c>
      <c r="N32" s="236" t="s">
        <v>9</v>
      </c>
      <c r="O32" s="236">
        <v>85.6</v>
      </c>
      <c r="P32" s="236">
        <v>424.1</v>
      </c>
      <c r="Q32" s="249"/>
      <c r="R32" s="249"/>
      <c r="S32" s="249"/>
      <c r="T32" s="249"/>
    </row>
    <row r="33" spans="1:20">
      <c r="A33" s="248">
        <v>1989</v>
      </c>
      <c r="B33" s="236">
        <v>15534.3</v>
      </c>
      <c r="C33" s="236" t="s">
        <v>9</v>
      </c>
      <c r="D33" s="236" t="s">
        <v>9</v>
      </c>
      <c r="E33" s="236">
        <v>83.1</v>
      </c>
      <c r="F33" s="236">
        <v>396.6</v>
      </c>
      <c r="G33" s="236">
        <v>16609.7</v>
      </c>
      <c r="H33" s="236" t="s">
        <v>9</v>
      </c>
      <c r="I33" s="236" t="s">
        <v>9</v>
      </c>
      <c r="J33" s="236">
        <v>104.1</v>
      </c>
      <c r="K33" s="236">
        <v>494.1</v>
      </c>
      <c r="L33" s="236">
        <v>12845.2</v>
      </c>
      <c r="M33" s="236" t="s">
        <v>9</v>
      </c>
      <c r="N33" s="236" t="s">
        <v>9</v>
      </c>
      <c r="O33" s="236">
        <v>97.7</v>
      </c>
      <c r="P33" s="236">
        <v>479.9</v>
      </c>
      <c r="Q33" s="249"/>
      <c r="R33" s="249"/>
      <c r="S33" s="249"/>
      <c r="T33" s="249"/>
    </row>
    <row r="34" spans="1:20">
      <c r="A34" s="248">
        <v>1990</v>
      </c>
      <c r="B34" s="236">
        <v>16644.2</v>
      </c>
      <c r="C34" s="236" t="s">
        <v>9</v>
      </c>
      <c r="D34" s="236" t="s">
        <v>9</v>
      </c>
      <c r="E34" s="236">
        <v>85.7</v>
      </c>
      <c r="F34" s="236">
        <v>451.4</v>
      </c>
      <c r="G34" s="236">
        <v>17297.599999999999</v>
      </c>
      <c r="H34" s="236" t="s">
        <v>9</v>
      </c>
      <c r="I34" s="236" t="s">
        <v>9</v>
      </c>
      <c r="J34" s="236">
        <v>105.5</v>
      </c>
      <c r="K34" s="236">
        <v>553.29999999999995</v>
      </c>
      <c r="L34" s="236">
        <v>13676.4</v>
      </c>
      <c r="M34" s="236" t="s">
        <v>9</v>
      </c>
      <c r="N34" s="236" t="s">
        <v>9</v>
      </c>
      <c r="O34" s="236">
        <v>99.2</v>
      </c>
      <c r="P34" s="236">
        <v>538</v>
      </c>
      <c r="Q34" s="249"/>
      <c r="R34" s="249"/>
      <c r="S34" s="249"/>
      <c r="T34" s="249"/>
    </row>
    <row r="35" spans="1:20">
      <c r="A35" s="248">
        <v>1991</v>
      </c>
      <c r="B35" s="236">
        <v>16118.2</v>
      </c>
      <c r="C35" s="236" t="s">
        <v>9</v>
      </c>
      <c r="D35" s="236" t="s">
        <v>9</v>
      </c>
      <c r="E35" s="236">
        <v>79.5</v>
      </c>
      <c r="F35" s="236">
        <v>451.8</v>
      </c>
      <c r="G35" s="236">
        <v>17483.900000000001</v>
      </c>
      <c r="H35" s="236" t="s">
        <v>9</v>
      </c>
      <c r="I35" s="236" t="s">
        <v>9</v>
      </c>
      <c r="J35" s="236">
        <v>99.4</v>
      </c>
      <c r="K35" s="236">
        <v>560.6</v>
      </c>
      <c r="L35" s="236">
        <v>14112.5</v>
      </c>
      <c r="M35" s="236" t="s">
        <v>9</v>
      </c>
      <c r="N35" s="236" t="s">
        <v>9</v>
      </c>
      <c r="O35" s="236">
        <v>93.4</v>
      </c>
      <c r="P35" s="236">
        <v>546</v>
      </c>
      <c r="Q35" s="249"/>
      <c r="R35" s="249"/>
      <c r="S35" s="249"/>
      <c r="T35" s="249"/>
    </row>
    <row r="36" spans="1:20">
      <c r="A36" s="248">
        <v>1992</v>
      </c>
      <c r="B36" s="236">
        <v>16850.2</v>
      </c>
      <c r="C36" s="236" t="s">
        <v>9</v>
      </c>
      <c r="D36" s="236" t="s">
        <v>9</v>
      </c>
      <c r="E36" s="236">
        <v>76.7</v>
      </c>
      <c r="F36" s="236">
        <v>455.9</v>
      </c>
      <c r="G36" s="236">
        <v>17476.7</v>
      </c>
      <c r="H36" s="236" t="s">
        <v>9</v>
      </c>
      <c r="I36" s="236" t="s">
        <v>9</v>
      </c>
      <c r="J36" s="236">
        <v>91.5</v>
      </c>
      <c r="K36" s="236">
        <v>539.20000000000005</v>
      </c>
      <c r="L36" s="236">
        <v>14481.2</v>
      </c>
      <c r="M36" s="236" t="s">
        <v>9</v>
      </c>
      <c r="N36" s="236" t="s">
        <v>9</v>
      </c>
      <c r="O36" s="236">
        <v>86</v>
      </c>
      <c r="P36" s="236">
        <v>526.4</v>
      </c>
      <c r="Q36" s="249"/>
      <c r="R36" s="249"/>
      <c r="S36" s="249"/>
      <c r="T36" s="249"/>
    </row>
    <row r="37" spans="1:20">
      <c r="A37" s="248">
        <v>1993</v>
      </c>
      <c r="B37" s="236">
        <v>17642.099999999999</v>
      </c>
      <c r="C37" s="236" t="s">
        <v>9</v>
      </c>
      <c r="D37" s="236" t="s">
        <v>9</v>
      </c>
      <c r="E37" s="236">
        <v>75.2</v>
      </c>
      <c r="F37" s="236">
        <v>461.8</v>
      </c>
      <c r="G37" s="236">
        <v>17369.599999999999</v>
      </c>
      <c r="H37" s="236" t="s">
        <v>9</v>
      </c>
      <c r="I37" s="236" t="s">
        <v>9</v>
      </c>
      <c r="J37" s="236">
        <v>84.6</v>
      </c>
      <c r="K37" s="236">
        <v>515.70000000000005</v>
      </c>
      <c r="L37" s="236">
        <v>14709.9</v>
      </c>
      <c r="M37" s="236" t="s">
        <v>9</v>
      </c>
      <c r="N37" s="236" t="s">
        <v>9</v>
      </c>
      <c r="O37" s="236">
        <v>80.2</v>
      </c>
      <c r="P37" s="236">
        <v>506.7</v>
      </c>
      <c r="Q37" s="249"/>
      <c r="R37" s="249"/>
      <c r="S37" s="249"/>
      <c r="T37" s="249"/>
    </row>
    <row r="38" spans="1:20">
      <c r="A38" s="248">
        <v>1994</v>
      </c>
      <c r="B38" s="236">
        <v>18500.2</v>
      </c>
      <c r="C38" s="236" t="s">
        <v>9</v>
      </c>
      <c r="D38" s="236" t="s">
        <v>9</v>
      </c>
      <c r="E38" s="236">
        <v>78.099999999999994</v>
      </c>
      <c r="F38" s="236">
        <v>468.2</v>
      </c>
      <c r="G38" s="236">
        <v>17485.5</v>
      </c>
      <c r="H38" s="236" t="s">
        <v>9</v>
      </c>
      <c r="I38" s="236" t="s">
        <v>9</v>
      </c>
      <c r="J38" s="236">
        <v>83.2</v>
      </c>
      <c r="K38" s="236">
        <v>496.1</v>
      </c>
      <c r="L38" s="236">
        <v>15012.1</v>
      </c>
      <c r="M38" s="236" t="s">
        <v>9</v>
      </c>
      <c r="N38" s="236" t="s">
        <v>9</v>
      </c>
      <c r="O38" s="236">
        <v>79.099999999999994</v>
      </c>
      <c r="P38" s="236">
        <v>488.4</v>
      </c>
      <c r="Q38" s="249"/>
      <c r="R38" s="249"/>
      <c r="S38" s="249"/>
      <c r="T38" s="249"/>
    </row>
    <row r="39" spans="1:20">
      <c r="A39" s="248">
        <v>1995</v>
      </c>
      <c r="B39" s="236">
        <v>19695.5</v>
      </c>
      <c r="C39" s="236" t="s">
        <v>9</v>
      </c>
      <c r="D39" s="236" t="s">
        <v>9</v>
      </c>
      <c r="E39" s="236">
        <v>93.9</v>
      </c>
      <c r="F39" s="236">
        <v>517</v>
      </c>
      <c r="G39" s="236">
        <v>17995.599999999999</v>
      </c>
      <c r="H39" s="236" t="s">
        <v>9</v>
      </c>
      <c r="I39" s="236" t="s">
        <v>9</v>
      </c>
      <c r="J39" s="236">
        <v>96.4</v>
      </c>
      <c r="K39" s="236">
        <v>528.6</v>
      </c>
      <c r="L39" s="236">
        <v>15715.5</v>
      </c>
      <c r="M39" s="236" t="s">
        <v>9</v>
      </c>
      <c r="N39" s="236" t="s">
        <v>9</v>
      </c>
      <c r="O39" s="236">
        <v>91.5</v>
      </c>
      <c r="P39" s="236">
        <v>518.9</v>
      </c>
      <c r="Q39" s="249"/>
      <c r="R39" s="249"/>
      <c r="S39" s="249"/>
      <c r="T39" s="249"/>
    </row>
    <row r="40" spans="1:20">
      <c r="A40" s="248">
        <v>1996</v>
      </c>
      <c r="B40" s="236">
        <v>20894.8</v>
      </c>
      <c r="C40" s="236" t="s">
        <v>9</v>
      </c>
      <c r="D40" s="236" t="s">
        <v>9</v>
      </c>
      <c r="E40" s="236">
        <v>109</v>
      </c>
      <c r="F40" s="236">
        <v>592.20000000000005</v>
      </c>
      <c r="G40" s="236">
        <v>18669.599999999999</v>
      </c>
      <c r="H40" s="236" t="s">
        <v>9</v>
      </c>
      <c r="I40" s="236" t="s">
        <v>9</v>
      </c>
      <c r="J40" s="236">
        <v>109.4</v>
      </c>
      <c r="K40" s="236">
        <v>590.79999999999995</v>
      </c>
      <c r="L40" s="236">
        <v>16670.7</v>
      </c>
      <c r="M40" s="236" t="s">
        <v>9</v>
      </c>
      <c r="N40" s="236" t="s">
        <v>9</v>
      </c>
      <c r="O40" s="236">
        <v>103.9</v>
      </c>
      <c r="P40" s="236">
        <v>582.4</v>
      </c>
      <c r="Q40" s="249"/>
      <c r="R40" s="249"/>
      <c r="S40" s="249"/>
      <c r="T40" s="249"/>
    </row>
    <row r="41" spans="1:20">
      <c r="A41" s="248">
        <v>1997</v>
      </c>
      <c r="B41" s="236">
        <v>22485.9</v>
      </c>
      <c r="C41" s="236" t="s">
        <v>9</v>
      </c>
      <c r="D41" s="236" t="s">
        <v>9</v>
      </c>
      <c r="E41" s="236">
        <v>119.1</v>
      </c>
      <c r="F41" s="236">
        <v>616.20000000000005</v>
      </c>
      <c r="G41" s="236">
        <v>19651.5</v>
      </c>
      <c r="H41" s="236" t="s">
        <v>9</v>
      </c>
      <c r="I41" s="236" t="s">
        <v>9</v>
      </c>
      <c r="J41" s="236">
        <v>116.6</v>
      </c>
      <c r="K41" s="236">
        <v>596.9</v>
      </c>
      <c r="L41" s="236">
        <v>17882.599999999999</v>
      </c>
      <c r="M41" s="236" t="s">
        <v>9</v>
      </c>
      <c r="N41" s="236" t="s">
        <v>9</v>
      </c>
      <c r="O41" s="236">
        <v>110.7</v>
      </c>
      <c r="P41" s="236">
        <v>590.5</v>
      </c>
      <c r="Q41" s="249"/>
      <c r="R41" s="249"/>
      <c r="S41" s="249"/>
      <c r="T41" s="249"/>
    </row>
    <row r="42" spans="1:20">
      <c r="A42" s="248">
        <v>1998</v>
      </c>
      <c r="B42" s="236">
        <v>25121.1</v>
      </c>
      <c r="C42" s="236" t="s">
        <v>9</v>
      </c>
      <c r="D42" s="236" t="s">
        <v>9</v>
      </c>
      <c r="E42" s="236">
        <v>137.9</v>
      </c>
      <c r="F42" s="236">
        <v>638.70000000000005</v>
      </c>
      <c r="G42" s="236">
        <v>20927.3</v>
      </c>
      <c r="H42" s="236" t="s">
        <v>9</v>
      </c>
      <c r="I42" s="236" t="s">
        <v>9</v>
      </c>
      <c r="J42" s="236">
        <v>124.8</v>
      </c>
      <c r="K42" s="236">
        <v>572.4</v>
      </c>
      <c r="L42" s="236">
        <v>19255.8</v>
      </c>
      <c r="M42" s="236" t="s">
        <v>9</v>
      </c>
      <c r="N42" s="236" t="s">
        <v>9</v>
      </c>
      <c r="O42" s="236">
        <v>118.6</v>
      </c>
      <c r="P42" s="236">
        <v>567.4</v>
      </c>
      <c r="Q42" s="249"/>
      <c r="R42" s="249"/>
      <c r="S42" s="249"/>
      <c r="T42" s="249"/>
    </row>
    <row r="43" spans="1:20">
      <c r="A43" s="248">
        <v>1999</v>
      </c>
      <c r="B43" s="236">
        <v>26715.8</v>
      </c>
      <c r="C43" s="236" t="s">
        <v>9</v>
      </c>
      <c r="D43" s="236" t="s">
        <v>9</v>
      </c>
      <c r="E43" s="236">
        <v>141.30000000000001</v>
      </c>
      <c r="F43" s="236">
        <v>622.4</v>
      </c>
      <c r="G43" s="236">
        <v>22284.400000000001</v>
      </c>
      <c r="H43" s="236" t="s">
        <v>9</v>
      </c>
      <c r="I43" s="236" t="s">
        <v>9</v>
      </c>
      <c r="J43" s="236">
        <v>125.5</v>
      </c>
      <c r="K43" s="236">
        <v>551.70000000000005</v>
      </c>
      <c r="L43" s="236">
        <v>20851.400000000001</v>
      </c>
      <c r="M43" s="236" t="s">
        <v>9</v>
      </c>
      <c r="N43" s="236" t="s">
        <v>9</v>
      </c>
      <c r="O43" s="236">
        <v>119.9</v>
      </c>
      <c r="P43" s="236">
        <v>546</v>
      </c>
      <c r="Q43" s="249"/>
      <c r="R43" s="249"/>
      <c r="S43" s="249"/>
      <c r="T43" s="249"/>
    </row>
    <row r="44" spans="1:20">
      <c r="A44" s="248">
        <v>2000</v>
      </c>
      <c r="B44" s="236">
        <v>28672.5</v>
      </c>
      <c r="C44" s="236" t="s">
        <v>9</v>
      </c>
      <c r="D44" s="236" t="s">
        <v>9</v>
      </c>
      <c r="E44" s="236">
        <v>143</v>
      </c>
      <c r="F44" s="236">
        <v>604.79999999999995</v>
      </c>
      <c r="G44" s="236">
        <v>23487.9</v>
      </c>
      <c r="H44" s="236" t="s">
        <v>9</v>
      </c>
      <c r="I44" s="236" t="s">
        <v>9</v>
      </c>
      <c r="J44" s="236">
        <v>125</v>
      </c>
      <c r="K44" s="236">
        <v>530.6</v>
      </c>
      <c r="L44" s="236">
        <v>22482.1</v>
      </c>
      <c r="M44" s="236" t="s">
        <v>9</v>
      </c>
      <c r="N44" s="236" t="s">
        <v>9</v>
      </c>
      <c r="O44" s="236">
        <v>119.9</v>
      </c>
      <c r="P44" s="236">
        <v>524.29999999999995</v>
      </c>
      <c r="Q44" s="249"/>
      <c r="R44" s="249"/>
      <c r="S44" s="249"/>
      <c r="T44" s="249"/>
    </row>
    <row r="45" spans="1:20">
      <c r="A45" s="248">
        <v>2001</v>
      </c>
      <c r="B45" s="236">
        <v>30241.7</v>
      </c>
      <c r="C45" s="236" t="s">
        <v>9</v>
      </c>
      <c r="D45" s="236" t="s">
        <v>9</v>
      </c>
      <c r="E45" s="236">
        <v>145</v>
      </c>
      <c r="F45" s="236">
        <v>594.6</v>
      </c>
      <c r="G45" s="236">
        <v>24125</v>
      </c>
      <c r="H45" s="236" t="s">
        <v>9</v>
      </c>
      <c r="I45" s="236" t="s">
        <v>9</v>
      </c>
      <c r="J45" s="236">
        <v>121.7</v>
      </c>
      <c r="K45" s="236">
        <v>501.1</v>
      </c>
      <c r="L45" s="236">
        <v>23475.3</v>
      </c>
      <c r="M45" s="236" t="s">
        <v>9</v>
      </c>
      <c r="N45" s="236" t="s">
        <v>9</v>
      </c>
      <c r="O45" s="236">
        <v>117.3</v>
      </c>
      <c r="P45" s="236">
        <v>495.7</v>
      </c>
      <c r="Q45" s="249"/>
      <c r="R45" s="249"/>
      <c r="S45" s="249"/>
      <c r="T45" s="249"/>
    </row>
    <row r="46" spans="1:20">
      <c r="A46" s="248">
        <v>2002</v>
      </c>
      <c r="B46" s="236">
        <v>30299.200000000001</v>
      </c>
      <c r="C46" s="236" t="s">
        <v>9</v>
      </c>
      <c r="D46" s="236" t="s">
        <v>9</v>
      </c>
      <c r="E46" s="236">
        <v>137.6</v>
      </c>
      <c r="F46" s="236">
        <v>556.70000000000005</v>
      </c>
      <c r="G46" s="236">
        <v>24152.5</v>
      </c>
      <c r="H46" s="236" t="s">
        <v>9</v>
      </c>
      <c r="I46" s="236" t="s">
        <v>9</v>
      </c>
      <c r="J46" s="236">
        <v>113.7</v>
      </c>
      <c r="K46" s="236">
        <v>461.9</v>
      </c>
      <c r="L46" s="236">
        <v>23705.4</v>
      </c>
      <c r="M46" s="236" t="s">
        <v>9</v>
      </c>
      <c r="N46" s="236" t="s">
        <v>9</v>
      </c>
      <c r="O46" s="236">
        <v>110.1</v>
      </c>
      <c r="P46" s="236">
        <v>458.3</v>
      </c>
      <c r="Q46" s="249"/>
      <c r="R46" s="249"/>
      <c r="S46" s="249"/>
      <c r="T46" s="249"/>
    </row>
    <row r="47" spans="1:20">
      <c r="A47" s="248">
        <v>2003</v>
      </c>
      <c r="B47" s="236">
        <v>28483.5</v>
      </c>
      <c r="C47" s="236" t="s">
        <v>9</v>
      </c>
      <c r="D47" s="236" t="s">
        <v>9</v>
      </c>
      <c r="E47" s="236">
        <v>121.4</v>
      </c>
      <c r="F47" s="236">
        <v>485.7</v>
      </c>
      <c r="G47" s="236">
        <v>24158.7</v>
      </c>
      <c r="H47" s="236" t="s">
        <v>9</v>
      </c>
      <c r="I47" s="236" t="s">
        <v>9</v>
      </c>
      <c r="J47" s="236">
        <v>107</v>
      </c>
      <c r="K47" s="236">
        <v>431.7</v>
      </c>
      <c r="L47" s="236">
        <v>23836.2</v>
      </c>
      <c r="M47" s="236" t="s">
        <v>9</v>
      </c>
      <c r="N47" s="236" t="s">
        <v>9</v>
      </c>
      <c r="O47" s="236">
        <v>104.5</v>
      </c>
      <c r="P47" s="236">
        <v>430.8</v>
      </c>
      <c r="Q47" s="249"/>
      <c r="R47" s="249"/>
      <c r="S47" s="249"/>
      <c r="T47" s="249"/>
    </row>
    <row r="48" spans="1:20">
      <c r="A48" s="248">
        <v>2004</v>
      </c>
      <c r="B48" s="236">
        <v>27458.5</v>
      </c>
      <c r="C48" s="236" t="s">
        <v>9</v>
      </c>
      <c r="D48" s="236" t="s">
        <v>9</v>
      </c>
      <c r="E48" s="236">
        <v>116.2</v>
      </c>
      <c r="F48" s="236">
        <v>437</v>
      </c>
      <c r="G48" s="236">
        <v>24644</v>
      </c>
      <c r="H48" s="236" t="s">
        <v>9</v>
      </c>
      <c r="I48" s="236" t="s">
        <v>9</v>
      </c>
      <c r="J48" s="236">
        <v>105.7</v>
      </c>
      <c r="K48" s="236">
        <v>403.1</v>
      </c>
      <c r="L48" s="236">
        <v>24451.1</v>
      </c>
      <c r="M48" s="236" t="s">
        <v>9</v>
      </c>
      <c r="N48" s="236" t="s">
        <v>9</v>
      </c>
      <c r="O48" s="236">
        <v>104.6</v>
      </c>
      <c r="P48" s="236">
        <v>402.7</v>
      </c>
      <c r="Q48" s="249"/>
      <c r="R48" s="249"/>
      <c r="S48" s="249"/>
      <c r="T48" s="249"/>
    </row>
    <row r="49" spans="1:20">
      <c r="A49" s="248">
        <v>2005</v>
      </c>
      <c r="B49" s="236">
        <v>27481.200000000001</v>
      </c>
      <c r="C49" s="236" t="s">
        <v>9</v>
      </c>
      <c r="D49" s="236" t="s">
        <v>9</v>
      </c>
      <c r="E49" s="236">
        <v>115.7</v>
      </c>
      <c r="F49" s="236">
        <v>390.3</v>
      </c>
      <c r="G49" s="236">
        <v>25697.3</v>
      </c>
      <c r="H49" s="236" t="s">
        <v>9</v>
      </c>
      <c r="I49" s="236" t="s">
        <v>9</v>
      </c>
      <c r="J49" s="236">
        <v>108.8</v>
      </c>
      <c r="K49" s="236">
        <v>372.4</v>
      </c>
      <c r="L49" s="236">
        <v>25612.799999999999</v>
      </c>
      <c r="M49" s="236" t="s">
        <v>9</v>
      </c>
      <c r="N49" s="236" t="s">
        <v>9</v>
      </c>
      <c r="O49" s="236">
        <v>108.7</v>
      </c>
      <c r="P49" s="236">
        <v>372</v>
      </c>
      <c r="Q49" s="249"/>
      <c r="R49" s="249"/>
      <c r="S49" s="249"/>
      <c r="T49" s="249"/>
    </row>
    <row r="50" spans="1:20">
      <c r="A50" s="248">
        <v>2006</v>
      </c>
      <c r="B50" s="236">
        <v>28184.400000000001</v>
      </c>
      <c r="C50" s="236" t="s">
        <v>9</v>
      </c>
      <c r="D50" s="236" t="s">
        <v>9</v>
      </c>
      <c r="E50" s="236">
        <v>111.6</v>
      </c>
      <c r="F50" s="236">
        <v>355.8</v>
      </c>
      <c r="G50" s="236">
        <v>27292.1</v>
      </c>
      <c r="H50" s="236" t="s">
        <v>9</v>
      </c>
      <c r="I50" s="236" t="s">
        <v>9</v>
      </c>
      <c r="J50" s="236">
        <v>108.4</v>
      </c>
      <c r="K50" s="236">
        <v>347.9</v>
      </c>
      <c r="L50" s="236">
        <v>27274.2</v>
      </c>
      <c r="M50" s="236" t="s">
        <v>9</v>
      </c>
      <c r="N50" s="236" t="s">
        <v>9</v>
      </c>
      <c r="O50" s="236">
        <v>108.5</v>
      </c>
      <c r="P50" s="236">
        <v>347.8</v>
      </c>
      <c r="Q50" s="249"/>
      <c r="R50" s="249"/>
      <c r="S50" s="249"/>
      <c r="T50" s="249"/>
    </row>
    <row r="51" spans="1:20">
      <c r="A51" s="248">
        <v>2007</v>
      </c>
      <c r="B51" s="236">
        <v>28674.400000000001</v>
      </c>
      <c r="C51" s="236" t="s">
        <v>9</v>
      </c>
      <c r="D51" s="236" t="s">
        <v>9</v>
      </c>
      <c r="E51" s="236">
        <v>105.7</v>
      </c>
      <c r="F51" s="236">
        <v>326.60000000000002</v>
      </c>
      <c r="G51" s="236">
        <v>28674.400000000001</v>
      </c>
      <c r="H51" s="236" t="s">
        <v>9</v>
      </c>
      <c r="I51" s="236" t="s">
        <v>9</v>
      </c>
      <c r="J51" s="236">
        <v>105.7</v>
      </c>
      <c r="K51" s="236">
        <v>326.60000000000002</v>
      </c>
      <c r="L51" s="236">
        <v>28674.400000000001</v>
      </c>
      <c r="M51" s="236" t="s">
        <v>9</v>
      </c>
      <c r="N51" s="236" t="s">
        <v>9</v>
      </c>
      <c r="O51" s="236">
        <v>105.7</v>
      </c>
      <c r="P51" s="236">
        <v>326.60000000000002</v>
      </c>
      <c r="Q51" s="249"/>
      <c r="R51" s="249"/>
      <c r="S51" s="249"/>
      <c r="T51" s="249"/>
    </row>
    <row r="52" spans="1:20">
      <c r="A52" s="248">
        <v>2008</v>
      </c>
      <c r="B52" s="236">
        <v>29884.5</v>
      </c>
      <c r="C52" s="236" t="s">
        <v>9</v>
      </c>
      <c r="D52" s="236" t="s">
        <v>9</v>
      </c>
      <c r="E52" s="236">
        <v>103.9</v>
      </c>
      <c r="F52" s="236">
        <v>315.2</v>
      </c>
      <c r="G52" s="236">
        <v>29643.4</v>
      </c>
      <c r="H52" s="236" t="s">
        <v>9</v>
      </c>
      <c r="I52" s="236" t="s">
        <v>9</v>
      </c>
      <c r="J52" s="236">
        <v>101.4</v>
      </c>
      <c r="K52" s="236">
        <v>306.10000000000002</v>
      </c>
      <c r="L52" s="236">
        <v>29632.1</v>
      </c>
      <c r="M52" s="236" t="s">
        <v>9</v>
      </c>
      <c r="N52" s="236" t="s">
        <v>9</v>
      </c>
      <c r="O52" s="236">
        <v>101.4</v>
      </c>
      <c r="P52" s="236">
        <v>306</v>
      </c>
      <c r="Q52" s="249"/>
      <c r="R52" s="249"/>
      <c r="S52" s="249"/>
      <c r="T52" s="249"/>
    </row>
    <row r="53" spans="1:20">
      <c r="A53" s="248">
        <v>2009</v>
      </c>
      <c r="B53" s="236">
        <v>31506.6</v>
      </c>
      <c r="C53" s="236" t="s">
        <v>9</v>
      </c>
      <c r="D53" s="236" t="s">
        <v>9</v>
      </c>
      <c r="E53" s="236">
        <v>97.9</v>
      </c>
      <c r="F53" s="236">
        <v>310.5</v>
      </c>
      <c r="G53" s="236">
        <v>29556.799999999999</v>
      </c>
      <c r="H53" s="236" t="s">
        <v>9</v>
      </c>
      <c r="I53" s="236" t="s">
        <v>9</v>
      </c>
      <c r="J53" s="236">
        <v>89.7</v>
      </c>
      <c r="K53" s="236">
        <v>283.10000000000002</v>
      </c>
      <c r="L53" s="236">
        <v>29530</v>
      </c>
      <c r="M53" s="236" t="s">
        <v>9</v>
      </c>
      <c r="N53" s="236" t="s">
        <v>9</v>
      </c>
      <c r="O53" s="236">
        <v>89.9</v>
      </c>
      <c r="P53" s="236">
        <v>282.7</v>
      </c>
      <c r="Q53" s="249"/>
      <c r="R53" s="249"/>
      <c r="S53" s="249"/>
      <c r="T53" s="249"/>
    </row>
    <row r="54" spans="1:20">
      <c r="A54" s="248">
        <v>2010</v>
      </c>
      <c r="B54" s="236">
        <v>28078.6</v>
      </c>
      <c r="C54" s="236" t="s">
        <v>9</v>
      </c>
      <c r="D54" s="236" t="s">
        <v>9</v>
      </c>
      <c r="E54" s="236" t="s">
        <v>9</v>
      </c>
      <c r="F54" s="236">
        <v>257.89999999999998</v>
      </c>
      <c r="G54" s="236">
        <v>28983.5</v>
      </c>
      <c r="H54" s="236" t="s">
        <v>9</v>
      </c>
      <c r="I54" s="236" t="s">
        <v>9</v>
      </c>
      <c r="J54" s="236" t="s">
        <v>9</v>
      </c>
      <c r="K54" s="236">
        <v>254.9</v>
      </c>
      <c r="L54" s="236">
        <v>28961.599999999999</v>
      </c>
      <c r="M54" s="236" t="s">
        <v>9</v>
      </c>
      <c r="N54" s="236" t="s">
        <v>9</v>
      </c>
      <c r="O54" s="236" t="s">
        <v>9</v>
      </c>
      <c r="P54" s="236">
        <v>254.5</v>
      </c>
      <c r="Q54" s="249"/>
      <c r="R54" s="249"/>
      <c r="S54" s="249"/>
      <c r="T54" s="249"/>
    </row>
    <row r="55" spans="1:20">
      <c r="A55" s="248">
        <v>2011</v>
      </c>
      <c r="B55" s="236">
        <v>27528.7</v>
      </c>
      <c r="C55" s="236" t="s">
        <v>9</v>
      </c>
      <c r="D55" s="236" t="s">
        <v>9</v>
      </c>
      <c r="E55" s="236" t="s">
        <v>9</v>
      </c>
      <c r="F55" s="236">
        <v>227.7</v>
      </c>
      <c r="G55" s="236">
        <v>29227.3</v>
      </c>
      <c r="H55" s="236" t="s">
        <v>9</v>
      </c>
      <c r="I55" s="236" t="s">
        <v>9</v>
      </c>
      <c r="J55" s="236" t="s">
        <v>9</v>
      </c>
      <c r="K55" s="236">
        <v>228.5</v>
      </c>
      <c r="L55" s="236">
        <v>29149.200000000001</v>
      </c>
      <c r="M55" s="236" t="s">
        <v>9</v>
      </c>
      <c r="N55" s="236" t="s">
        <v>9</v>
      </c>
      <c r="O55" s="236" t="s">
        <v>9</v>
      </c>
      <c r="P55" s="236">
        <v>228.4</v>
      </c>
      <c r="Q55" s="249"/>
      <c r="R55" s="249"/>
      <c r="S55" s="249"/>
      <c r="T55" s="249"/>
    </row>
    <row r="56" spans="1:20">
      <c r="A56" s="248">
        <v>2012</v>
      </c>
      <c r="B56" s="236">
        <v>28028.3</v>
      </c>
      <c r="C56" s="236" t="s">
        <v>9</v>
      </c>
      <c r="D56" s="236" t="s">
        <v>9</v>
      </c>
      <c r="E56" s="236" t="s">
        <v>9</v>
      </c>
      <c r="F56" s="236">
        <v>216.6</v>
      </c>
      <c r="G56" s="236">
        <v>29616.1</v>
      </c>
      <c r="H56" s="236" t="s">
        <v>9</v>
      </c>
      <c r="I56" s="236" t="s">
        <v>9</v>
      </c>
      <c r="J56" s="236" t="s">
        <v>9</v>
      </c>
      <c r="K56" s="236">
        <v>213.9</v>
      </c>
      <c r="L56" s="236">
        <v>29431.3</v>
      </c>
      <c r="M56" s="236" t="s">
        <v>9</v>
      </c>
      <c r="N56" s="236" t="s">
        <v>9</v>
      </c>
      <c r="O56" s="236" t="s">
        <v>9</v>
      </c>
      <c r="P56" s="236">
        <v>213.7</v>
      </c>
      <c r="Q56" s="249"/>
      <c r="R56" s="249"/>
      <c r="S56" s="249"/>
      <c r="T56" s="249"/>
    </row>
    <row r="57" spans="1:20">
      <c r="A57" s="248">
        <v>2013</v>
      </c>
      <c r="B57" s="236">
        <v>28519.3</v>
      </c>
      <c r="C57" s="236" t="s">
        <v>9</v>
      </c>
      <c r="D57" s="236" t="s">
        <v>9</v>
      </c>
      <c r="E57" s="236" t="s">
        <v>9</v>
      </c>
      <c r="F57" s="236">
        <v>217.8</v>
      </c>
      <c r="G57" s="236">
        <v>29938.3</v>
      </c>
      <c r="H57" s="236" t="s">
        <v>9</v>
      </c>
      <c r="I57" s="236" t="s">
        <v>9</v>
      </c>
      <c r="J57" s="236" t="s">
        <v>9</v>
      </c>
      <c r="K57" s="236">
        <v>211.4</v>
      </c>
      <c r="L57" s="236">
        <v>29716</v>
      </c>
      <c r="M57" s="236" t="s">
        <v>9</v>
      </c>
      <c r="N57" s="236" t="s">
        <v>9</v>
      </c>
      <c r="O57" s="236" t="s">
        <v>9</v>
      </c>
      <c r="P57" s="236">
        <v>210.9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3.5817787308259463</v>
      </c>
      <c r="C60" s="7" t="s">
        <v>10</v>
      </c>
      <c r="D60" s="7" t="s">
        <v>10</v>
      </c>
      <c r="E60" s="7" t="s">
        <v>10</v>
      </c>
      <c r="F60" s="11">
        <f t="shared" ref="F60:P60" si="1">((F57/F28)^(1/29)-1)*100</f>
        <v>-1.2262884491416437</v>
      </c>
      <c r="G60" s="11">
        <f t="shared" si="1"/>
        <v>2.9587351954974084</v>
      </c>
      <c r="H60" s="7" t="s">
        <v>10</v>
      </c>
      <c r="I60" s="7" t="s">
        <v>10</v>
      </c>
      <c r="J60" s="7" t="s">
        <v>10</v>
      </c>
      <c r="K60" s="11">
        <f t="shared" si="1"/>
        <v>-2.4982779592295445</v>
      </c>
      <c r="L60" s="11">
        <f t="shared" si="1"/>
        <v>4.2974439283340438</v>
      </c>
      <c r="M60" s="7" t="s">
        <v>10</v>
      </c>
      <c r="N60" s="7" t="s">
        <v>10</v>
      </c>
      <c r="O60" s="7" t="s">
        <v>10</v>
      </c>
      <c r="P60" s="11">
        <f t="shared" si="1"/>
        <v>-2.3273194183973112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8.611066860968819</v>
      </c>
      <c r="C61" s="7" t="s">
        <v>10</v>
      </c>
      <c r="D61" s="7" t="s">
        <v>10</v>
      </c>
      <c r="E61" s="11">
        <f t="shared" ref="E61:P61" si="3">((E33/E28)^(1/5)-1)*100</f>
        <v>7.7182478054887094</v>
      </c>
      <c r="F61" s="11">
        <f t="shared" si="3"/>
        <v>4.9491515134393538</v>
      </c>
      <c r="G61" s="11">
        <f t="shared" si="3"/>
        <v>5.262452299506637</v>
      </c>
      <c r="H61" s="7" t="s">
        <v>10</v>
      </c>
      <c r="I61" s="7" t="s">
        <v>10</v>
      </c>
      <c r="J61" s="11">
        <f t="shared" si="3"/>
        <v>5.4604372505950627</v>
      </c>
      <c r="K61" s="11">
        <f t="shared" si="3"/>
        <v>2.3324174220688443</v>
      </c>
      <c r="L61" s="11">
        <f t="shared" si="3"/>
        <v>7.9288032861950075</v>
      </c>
      <c r="M61" s="7" t="s">
        <v>10</v>
      </c>
      <c r="N61" s="7" t="s">
        <v>10</v>
      </c>
      <c r="O61" s="11">
        <f t="shared" si="3"/>
        <v>5.5151431275868301</v>
      </c>
      <c r="P61" s="11">
        <f t="shared" si="3"/>
        <v>2.8250321622523611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5.7298521381394574</v>
      </c>
      <c r="C62" s="7" t="s">
        <v>10</v>
      </c>
      <c r="D62" s="7" t="s">
        <v>10</v>
      </c>
      <c r="E62" s="11">
        <f t="shared" ref="E62:P62" si="5">((E44/E33)^(1/11)-1)*100</f>
        <v>5.0583209968693144</v>
      </c>
      <c r="F62" s="11">
        <f t="shared" si="5"/>
        <v>3.9106151125437139</v>
      </c>
      <c r="G62" s="11">
        <f t="shared" si="5"/>
        <v>3.2001237952617112</v>
      </c>
      <c r="H62" s="7" t="s">
        <v>10</v>
      </c>
      <c r="I62" s="7" t="s">
        <v>10</v>
      </c>
      <c r="J62" s="11">
        <f t="shared" si="5"/>
        <v>1.6771984020188535</v>
      </c>
      <c r="K62" s="11">
        <f t="shared" si="5"/>
        <v>0.65001728231226519</v>
      </c>
      <c r="L62" s="11">
        <f t="shared" si="5"/>
        <v>5.2203244881795952</v>
      </c>
      <c r="M62" s="7" t="s">
        <v>10</v>
      </c>
      <c r="N62" s="7" t="s">
        <v>10</v>
      </c>
      <c r="O62" s="11">
        <f t="shared" si="5"/>
        <v>1.8788552237531508</v>
      </c>
      <c r="P62" s="11">
        <f t="shared" si="5"/>
        <v>0.80766498204927206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9.466243379607775E-4</v>
      </c>
      <c r="C63" s="7" t="s">
        <v>10</v>
      </c>
      <c r="D63" s="7" t="s">
        <v>10</v>
      </c>
      <c r="E63" s="11">
        <f t="shared" ref="E63:P63" si="6">((E51/E44)^(1/7)-1)*100</f>
        <v>-4.2258246133723532</v>
      </c>
      <c r="F63" s="11">
        <f t="shared" si="6"/>
        <v>-8.4260269825715444</v>
      </c>
      <c r="G63" s="11">
        <f t="shared" si="6"/>
        <v>2.8912854116133868</v>
      </c>
      <c r="H63" s="7" t="s">
        <v>10</v>
      </c>
      <c r="I63" s="7" t="s">
        <v>10</v>
      </c>
      <c r="J63" s="11">
        <f t="shared" si="6"/>
        <v>-2.3673682108132477</v>
      </c>
      <c r="K63" s="11">
        <f t="shared" si="6"/>
        <v>-6.6976236750345253</v>
      </c>
      <c r="L63" s="11">
        <f t="shared" si="6"/>
        <v>3.5366057661522454</v>
      </c>
      <c r="M63" s="7" t="s">
        <v>10</v>
      </c>
      <c r="N63" s="7" t="s">
        <v>10</v>
      </c>
      <c r="O63" s="11">
        <f t="shared" si="6"/>
        <v>-1.7846427709710344</v>
      </c>
      <c r="P63" s="11">
        <f t="shared" si="6"/>
        <v>-6.5382818960963647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-9.0353949234889264E-2</v>
      </c>
      <c r="C64" s="7" t="s">
        <v>10</v>
      </c>
      <c r="D64" s="7" t="s">
        <v>10</v>
      </c>
      <c r="E64" s="7" t="s">
        <v>10</v>
      </c>
      <c r="F64" s="11">
        <f t="shared" ref="F64:P64" si="7">((F57/F51)^(1/6)-1)*100</f>
        <v>-6.5297044672693261</v>
      </c>
      <c r="G64" s="11">
        <f t="shared" si="7"/>
        <v>0.72148791427459891</v>
      </c>
      <c r="H64" s="7" t="s">
        <v>10</v>
      </c>
      <c r="I64" s="7" t="s">
        <v>10</v>
      </c>
      <c r="J64" s="7" t="s">
        <v>10</v>
      </c>
      <c r="K64" s="11">
        <f t="shared" si="7"/>
        <v>-6.9931789762843195</v>
      </c>
      <c r="L64" s="11">
        <f t="shared" si="7"/>
        <v>0.59645311741445273</v>
      </c>
      <c r="M64" s="7" t="s">
        <v>10</v>
      </c>
      <c r="N64" s="7" t="s">
        <v>10</v>
      </c>
      <c r="O64" s="7" t="s">
        <v>10</v>
      </c>
      <c r="P64" s="11">
        <f t="shared" si="7"/>
        <v>-7.0298782081307243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-4.12024647689746E-2</v>
      </c>
      <c r="C65" s="7" t="s">
        <v>10</v>
      </c>
      <c r="D65" s="7" t="s">
        <v>10</v>
      </c>
      <c r="E65" s="7" t="s">
        <v>10</v>
      </c>
      <c r="F65" s="11">
        <f t="shared" ref="F65:P65" si="9">((F57/F44)^(1/13)-1)*100</f>
        <v>-7.5556296662894766</v>
      </c>
      <c r="G65" s="11">
        <f t="shared" si="9"/>
        <v>1.8840922775046787</v>
      </c>
      <c r="H65" s="7" t="s">
        <v>10</v>
      </c>
      <c r="I65" s="7" t="s">
        <v>10</v>
      </c>
      <c r="J65" s="7" t="s">
        <v>10</v>
      </c>
      <c r="K65" s="11">
        <f t="shared" si="9"/>
        <v>-6.834150340313883</v>
      </c>
      <c r="L65" s="11">
        <f t="shared" si="9"/>
        <v>2.1690836041180939</v>
      </c>
      <c r="M65" s="7" t="s">
        <v>10</v>
      </c>
      <c r="N65" s="7" t="s">
        <v>10</v>
      </c>
      <c r="O65" s="7" t="s">
        <v>10</v>
      </c>
      <c r="P65" s="11">
        <f t="shared" si="9"/>
        <v>-6.7654946751775746</v>
      </c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20">
      <c r="A68" s="229" t="s">
        <v>56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31"/>
      <c r="M68" s="132"/>
      <c r="N68" s="132"/>
      <c r="O68" s="132"/>
      <c r="P68" s="132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5.140625" style="225" customWidth="1"/>
    <col min="13" max="16384" width="9.140625" style="225"/>
  </cols>
  <sheetData>
    <row r="1" spans="1:20" ht="29.25" customHeight="1">
      <c r="A1" s="454" t="s">
        <v>296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310.2</v>
      </c>
      <c r="C5" s="236" t="s">
        <v>9</v>
      </c>
      <c r="D5" s="236">
        <v>3.7</v>
      </c>
      <c r="E5" s="236">
        <v>0.3</v>
      </c>
      <c r="F5" s="236" t="s">
        <v>9</v>
      </c>
      <c r="G5" s="236">
        <v>2674</v>
      </c>
      <c r="H5" s="236" t="s">
        <v>9</v>
      </c>
      <c r="I5" s="236">
        <v>42.3</v>
      </c>
      <c r="J5" s="236">
        <v>2.2999999999999998</v>
      </c>
      <c r="K5" s="236" t="s">
        <v>9</v>
      </c>
      <c r="L5" s="236">
        <v>2668.2</v>
      </c>
      <c r="M5" s="236" t="s">
        <v>9</v>
      </c>
      <c r="N5" s="236">
        <v>42.1</v>
      </c>
      <c r="O5" s="236">
        <v>2.2999999999999998</v>
      </c>
      <c r="P5" s="236" t="s">
        <v>9</v>
      </c>
      <c r="Q5" s="249"/>
      <c r="R5" s="249"/>
      <c r="S5" s="249"/>
      <c r="T5" s="249"/>
    </row>
    <row r="6" spans="1:20">
      <c r="A6" s="248">
        <v>1962</v>
      </c>
      <c r="B6" s="236">
        <v>329.2</v>
      </c>
      <c r="C6" s="236" t="s">
        <v>9</v>
      </c>
      <c r="D6" s="236">
        <v>4</v>
      </c>
      <c r="E6" s="236">
        <v>0.3</v>
      </c>
      <c r="F6" s="236" t="s">
        <v>9</v>
      </c>
      <c r="G6" s="236">
        <v>2785.5</v>
      </c>
      <c r="H6" s="236" t="s">
        <v>9</v>
      </c>
      <c r="I6" s="236">
        <v>44</v>
      </c>
      <c r="J6" s="236">
        <v>2.2000000000000002</v>
      </c>
      <c r="K6" s="236" t="s">
        <v>9</v>
      </c>
      <c r="L6" s="236">
        <v>2778.5</v>
      </c>
      <c r="M6" s="236" t="s">
        <v>9</v>
      </c>
      <c r="N6" s="236">
        <v>43.9</v>
      </c>
      <c r="O6" s="236">
        <v>2.2999999999999998</v>
      </c>
      <c r="P6" s="236" t="s">
        <v>9</v>
      </c>
      <c r="Q6" s="249"/>
      <c r="R6" s="249"/>
      <c r="S6" s="249"/>
      <c r="T6" s="249"/>
    </row>
    <row r="7" spans="1:20">
      <c r="A7" s="248">
        <v>1963</v>
      </c>
      <c r="B7" s="236">
        <v>355.4</v>
      </c>
      <c r="C7" s="236" t="s">
        <v>9</v>
      </c>
      <c r="D7" s="236">
        <v>4.3</v>
      </c>
      <c r="E7" s="236">
        <v>0.3</v>
      </c>
      <c r="F7" s="236" t="s">
        <v>9</v>
      </c>
      <c r="G7" s="236">
        <v>2902.5</v>
      </c>
      <c r="H7" s="236" t="s">
        <v>9</v>
      </c>
      <c r="I7" s="236">
        <v>44.8</v>
      </c>
      <c r="J7" s="236">
        <v>2.2000000000000002</v>
      </c>
      <c r="K7" s="236" t="s">
        <v>9</v>
      </c>
      <c r="L7" s="236">
        <v>2891.2</v>
      </c>
      <c r="M7" s="236" t="s">
        <v>9</v>
      </c>
      <c r="N7" s="236">
        <v>44.7</v>
      </c>
      <c r="O7" s="236">
        <v>2.2999999999999998</v>
      </c>
      <c r="P7" s="236" t="s">
        <v>9</v>
      </c>
      <c r="Q7" s="249"/>
      <c r="R7" s="249"/>
      <c r="S7" s="249"/>
      <c r="T7" s="249"/>
    </row>
    <row r="8" spans="1:20">
      <c r="A8" s="248">
        <v>1964</v>
      </c>
      <c r="B8" s="236">
        <v>398.6</v>
      </c>
      <c r="C8" s="236" t="s">
        <v>9</v>
      </c>
      <c r="D8" s="236">
        <v>5</v>
      </c>
      <c r="E8" s="236">
        <v>0.3</v>
      </c>
      <c r="F8" s="236" t="s">
        <v>9</v>
      </c>
      <c r="G8" s="236">
        <v>3062</v>
      </c>
      <c r="H8" s="236" t="s">
        <v>9</v>
      </c>
      <c r="I8" s="236">
        <v>45.4</v>
      </c>
      <c r="J8" s="236">
        <v>2.2000000000000002</v>
      </c>
      <c r="K8" s="236" t="s">
        <v>9</v>
      </c>
      <c r="L8" s="236">
        <v>3044.5</v>
      </c>
      <c r="M8" s="236" t="s">
        <v>9</v>
      </c>
      <c r="N8" s="236">
        <v>45.2</v>
      </c>
      <c r="O8" s="236">
        <v>2.2999999999999998</v>
      </c>
      <c r="P8" s="236" t="s">
        <v>9</v>
      </c>
      <c r="Q8" s="249"/>
      <c r="R8" s="249"/>
      <c r="S8" s="249"/>
      <c r="T8" s="249"/>
    </row>
    <row r="9" spans="1:20">
      <c r="A9" s="248">
        <v>1965</v>
      </c>
      <c r="B9" s="236">
        <v>439.2</v>
      </c>
      <c r="C9" s="236" t="s">
        <v>9</v>
      </c>
      <c r="D9" s="236">
        <v>4.9000000000000004</v>
      </c>
      <c r="E9" s="236">
        <v>0.3</v>
      </c>
      <c r="F9" s="236" t="s">
        <v>9</v>
      </c>
      <c r="G9" s="236">
        <v>3262.7</v>
      </c>
      <c r="H9" s="236" t="s">
        <v>9</v>
      </c>
      <c r="I9" s="236">
        <v>46.2</v>
      </c>
      <c r="J9" s="236">
        <v>2.2999999999999998</v>
      </c>
      <c r="K9" s="236" t="s">
        <v>9</v>
      </c>
      <c r="L9" s="236">
        <v>3236.6</v>
      </c>
      <c r="M9" s="236" t="s">
        <v>9</v>
      </c>
      <c r="N9" s="236">
        <v>46</v>
      </c>
      <c r="O9" s="236">
        <v>2.2999999999999998</v>
      </c>
      <c r="P9" s="236" t="s">
        <v>9</v>
      </c>
      <c r="Q9" s="249"/>
      <c r="R9" s="249"/>
      <c r="S9" s="249"/>
      <c r="T9" s="249"/>
    </row>
    <row r="10" spans="1:20">
      <c r="A10" s="248">
        <v>1966</v>
      </c>
      <c r="B10" s="236">
        <v>490</v>
      </c>
      <c r="C10" s="236" t="s">
        <v>9</v>
      </c>
      <c r="D10" s="236">
        <v>5.3</v>
      </c>
      <c r="E10" s="236">
        <v>0.3</v>
      </c>
      <c r="F10" s="236" t="s">
        <v>9</v>
      </c>
      <c r="G10" s="236">
        <v>3428.6</v>
      </c>
      <c r="H10" s="236" t="s">
        <v>9</v>
      </c>
      <c r="I10" s="236">
        <v>46.2</v>
      </c>
      <c r="J10" s="236">
        <v>2.4</v>
      </c>
      <c r="K10" s="236" t="s">
        <v>9</v>
      </c>
      <c r="L10" s="236">
        <v>3396.5</v>
      </c>
      <c r="M10" s="236" t="s">
        <v>9</v>
      </c>
      <c r="N10" s="236">
        <v>46.1</v>
      </c>
      <c r="O10" s="236">
        <v>2.5</v>
      </c>
      <c r="P10" s="236" t="s">
        <v>9</v>
      </c>
      <c r="Q10" s="249"/>
      <c r="R10" s="249"/>
      <c r="S10" s="249"/>
      <c r="T10" s="249"/>
    </row>
    <row r="11" spans="1:20">
      <c r="A11" s="248">
        <v>1967</v>
      </c>
      <c r="B11" s="236">
        <v>518.5</v>
      </c>
      <c r="C11" s="236" t="s">
        <v>9</v>
      </c>
      <c r="D11" s="236">
        <v>5.0999999999999996</v>
      </c>
      <c r="E11" s="236">
        <v>0.4</v>
      </c>
      <c r="F11" s="236" t="s">
        <v>9</v>
      </c>
      <c r="G11" s="236">
        <v>3551.9</v>
      </c>
      <c r="H11" s="236" t="s">
        <v>9</v>
      </c>
      <c r="I11" s="236">
        <v>45.9</v>
      </c>
      <c r="J11" s="236">
        <v>2.5</v>
      </c>
      <c r="K11" s="236" t="s">
        <v>9</v>
      </c>
      <c r="L11" s="236">
        <v>3514.4</v>
      </c>
      <c r="M11" s="236" t="s">
        <v>9</v>
      </c>
      <c r="N11" s="236">
        <v>45.8</v>
      </c>
      <c r="O11" s="236">
        <v>2.6</v>
      </c>
      <c r="P11" s="236" t="s">
        <v>9</v>
      </c>
      <c r="Q11" s="249"/>
      <c r="R11" s="249"/>
      <c r="S11" s="249"/>
      <c r="T11" s="249"/>
    </row>
    <row r="12" spans="1:20">
      <c r="A12" s="248">
        <v>1968</v>
      </c>
      <c r="B12" s="236">
        <v>540.20000000000005</v>
      </c>
      <c r="C12" s="236" t="s">
        <v>9</v>
      </c>
      <c r="D12" s="236">
        <v>5.0999999999999996</v>
      </c>
      <c r="E12" s="236">
        <v>0.4</v>
      </c>
      <c r="F12" s="236" t="s">
        <v>9</v>
      </c>
      <c r="G12" s="236">
        <v>3651.3</v>
      </c>
      <c r="H12" s="236" t="s">
        <v>9</v>
      </c>
      <c r="I12" s="236">
        <v>45.3</v>
      </c>
      <c r="J12" s="236">
        <v>2.5</v>
      </c>
      <c r="K12" s="236" t="s">
        <v>9</v>
      </c>
      <c r="L12" s="236">
        <v>3612.1</v>
      </c>
      <c r="M12" s="236" t="s">
        <v>9</v>
      </c>
      <c r="N12" s="236">
        <v>45.2</v>
      </c>
      <c r="O12" s="236">
        <v>2.6</v>
      </c>
      <c r="P12" s="236" t="s">
        <v>9</v>
      </c>
      <c r="Q12" s="249"/>
      <c r="R12" s="249"/>
      <c r="S12" s="249"/>
      <c r="T12" s="249"/>
    </row>
    <row r="13" spans="1:20">
      <c r="A13" s="248">
        <v>1969</v>
      </c>
      <c r="B13" s="236">
        <v>587</v>
      </c>
      <c r="C13" s="236" t="s">
        <v>9</v>
      </c>
      <c r="D13" s="236">
        <v>5.3</v>
      </c>
      <c r="E13" s="236">
        <v>0.4</v>
      </c>
      <c r="F13" s="236" t="s">
        <v>9</v>
      </c>
      <c r="G13" s="236">
        <v>3749</v>
      </c>
      <c r="H13" s="236" t="s">
        <v>9</v>
      </c>
      <c r="I13" s="236">
        <v>44.7</v>
      </c>
      <c r="J13" s="236">
        <v>2.6</v>
      </c>
      <c r="K13" s="236" t="s">
        <v>9</v>
      </c>
      <c r="L13" s="236">
        <v>3706</v>
      </c>
      <c r="M13" s="236" t="s">
        <v>9</v>
      </c>
      <c r="N13" s="236">
        <v>44.7</v>
      </c>
      <c r="O13" s="236">
        <v>2.7</v>
      </c>
      <c r="P13" s="236" t="s">
        <v>9</v>
      </c>
      <c r="Q13" s="249"/>
      <c r="R13" s="249"/>
      <c r="S13" s="249"/>
      <c r="T13" s="249"/>
    </row>
    <row r="14" spans="1:20">
      <c r="A14" s="248">
        <v>1970</v>
      </c>
      <c r="B14" s="236">
        <v>629.20000000000005</v>
      </c>
      <c r="C14" s="236" t="s">
        <v>9</v>
      </c>
      <c r="D14" s="236">
        <v>5.3</v>
      </c>
      <c r="E14" s="236">
        <v>0.4</v>
      </c>
      <c r="F14" s="236" t="s">
        <v>9</v>
      </c>
      <c r="G14" s="236">
        <v>3860.4</v>
      </c>
      <c r="H14" s="236" t="s">
        <v>9</v>
      </c>
      <c r="I14" s="236">
        <v>44.1</v>
      </c>
      <c r="J14" s="236">
        <v>2.7</v>
      </c>
      <c r="K14" s="236" t="s">
        <v>9</v>
      </c>
      <c r="L14" s="236">
        <v>3807.1</v>
      </c>
      <c r="M14" s="236" t="s">
        <v>9</v>
      </c>
      <c r="N14" s="236">
        <v>44</v>
      </c>
      <c r="O14" s="236">
        <v>2.8</v>
      </c>
      <c r="P14" s="236" t="s">
        <v>9</v>
      </c>
      <c r="Q14" s="249"/>
      <c r="R14" s="249"/>
      <c r="S14" s="249"/>
      <c r="T14" s="249"/>
    </row>
    <row r="15" spans="1:20">
      <c r="A15" s="248">
        <v>1971</v>
      </c>
      <c r="B15" s="236">
        <v>708.6</v>
      </c>
      <c r="C15" s="236" t="s">
        <v>9</v>
      </c>
      <c r="D15" s="236">
        <v>5.9</v>
      </c>
      <c r="E15" s="236">
        <v>0.5</v>
      </c>
      <c r="F15" s="236" t="s">
        <v>9</v>
      </c>
      <c r="G15" s="236">
        <v>4046.9</v>
      </c>
      <c r="H15" s="236" t="s">
        <v>9</v>
      </c>
      <c r="I15" s="236">
        <v>42.6</v>
      </c>
      <c r="J15" s="236">
        <v>2.8</v>
      </c>
      <c r="K15" s="236" t="s">
        <v>9</v>
      </c>
      <c r="L15" s="236">
        <v>3981</v>
      </c>
      <c r="M15" s="236" t="s">
        <v>9</v>
      </c>
      <c r="N15" s="236">
        <v>42.5</v>
      </c>
      <c r="O15" s="236">
        <v>2.8</v>
      </c>
      <c r="P15" s="236" t="s">
        <v>9</v>
      </c>
      <c r="Q15" s="249"/>
      <c r="R15" s="249"/>
      <c r="S15" s="249"/>
      <c r="T15" s="249"/>
    </row>
    <row r="16" spans="1:20">
      <c r="A16" s="248">
        <v>1972</v>
      </c>
      <c r="B16" s="236">
        <v>797.9</v>
      </c>
      <c r="C16" s="236" t="s">
        <v>9</v>
      </c>
      <c r="D16" s="236">
        <v>6</v>
      </c>
      <c r="E16" s="236">
        <v>0.6</v>
      </c>
      <c r="F16" s="236" t="s">
        <v>9</v>
      </c>
      <c r="G16" s="236">
        <v>4286.3</v>
      </c>
      <c r="H16" s="236" t="s">
        <v>9</v>
      </c>
      <c r="I16" s="236">
        <v>40.700000000000003</v>
      </c>
      <c r="J16" s="236">
        <v>3.1</v>
      </c>
      <c r="K16" s="236" t="s">
        <v>9</v>
      </c>
      <c r="L16" s="236">
        <v>4205.1000000000004</v>
      </c>
      <c r="M16" s="236" t="s">
        <v>9</v>
      </c>
      <c r="N16" s="236">
        <v>40.6</v>
      </c>
      <c r="O16" s="236">
        <v>3.2</v>
      </c>
      <c r="P16" s="236" t="s">
        <v>9</v>
      </c>
      <c r="Q16" s="249"/>
      <c r="R16" s="249"/>
      <c r="S16" s="249"/>
      <c r="T16" s="249"/>
    </row>
    <row r="17" spans="1:20">
      <c r="A17" s="248">
        <v>1973</v>
      </c>
      <c r="B17" s="236">
        <v>919.4</v>
      </c>
      <c r="C17" s="236" t="s">
        <v>9</v>
      </c>
      <c r="D17" s="236">
        <v>6.5</v>
      </c>
      <c r="E17" s="236">
        <v>0.7</v>
      </c>
      <c r="F17" s="236" t="s">
        <v>9</v>
      </c>
      <c r="G17" s="236">
        <v>4508.6000000000004</v>
      </c>
      <c r="H17" s="236" t="s">
        <v>9</v>
      </c>
      <c r="I17" s="236">
        <v>39.4</v>
      </c>
      <c r="J17" s="236">
        <v>3.9</v>
      </c>
      <c r="K17" s="236" t="s">
        <v>9</v>
      </c>
      <c r="L17" s="236">
        <v>4416.5</v>
      </c>
      <c r="M17" s="236" t="s">
        <v>9</v>
      </c>
      <c r="N17" s="236">
        <v>39.299999999999997</v>
      </c>
      <c r="O17" s="236">
        <v>3.8</v>
      </c>
      <c r="P17" s="236" t="s">
        <v>9</v>
      </c>
      <c r="Q17" s="249"/>
      <c r="R17" s="249"/>
      <c r="S17" s="249"/>
      <c r="T17" s="249"/>
    </row>
    <row r="18" spans="1:20">
      <c r="A18" s="248">
        <v>1974</v>
      </c>
      <c r="B18" s="236">
        <v>1163</v>
      </c>
      <c r="C18" s="236" t="s">
        <v>9</v>
      </c>
      <c r="D18" s="236">
        <v>8.1</v>
      </c>
      <c r="E18" s="236">
        <v>1.1000000000000001</v>
      </c>
      <c r="F18" s="236" t="s">
        <v>9</v>
      </c>
      <c r="G18" s="236">
        <v>4710.8</v>
      </c>
      <c r="H18" s="236" t="s">
        <v>9</v>
      </c>
      <c r="I18" s="236">
        <v>38.5</v>
      </c>
      <c r="J18" s="236">
        <v>4.7</v>
      </c>
      <c r="K18" s="236" t="s">
        <v>9</v>
      </c>
      <c r="L18" s="236">
        <v>4619</v>
      </c>
      <c r="M18" s="236" t="s">
        <v>9</v>
      </c>
      <c r="N18" s="236">
        <v>38.4</v>
      </c>
      <c r="O18" s="236">
        <v>4.7</v>
      </c>
      <c r="P18" s="236" t="s">
        <v>9</v>
      </c>
      <c r="Q18" s="249"/>
      <c r="R18" s="249"/>
      <c r="S18" s="249"/>
      <c r="T18" s="249"/>
    </row>
    <row r="19" spans="1:20">
      <c r="A19" s="248">
        <v>1975</v>
      </c>
      <c r="B19" s="236">
        <v>1403.7</v>
      </c>
      <c r="C19" s="236" t="s">
        <v>9</v>
      </c>
      <c r="D19" s="236">
        <v>9.4</v>
      </c>
      <c r="E19" s="236">
        <v>1.4</v>
      </c>
      <c r="F19" s="236" t="s">
        <v>9</v>
      </c>
      <c r="G19" s="236">
        <v>4923.2</v>
      </c>
      <c r="H19" s="236" t="s">
        <v>9</v>
      </c>
      <c r="I19" s="236">
        <v>38</v>
      </c>
      <c r="J19" s="236">
        <v>5.2</v>
      </c>
      <c r="K19" s="236" t="s">
        <v>9</v>
      </c>
      <c r="L19" s="236">
        <v>4836.7</v>
      </c>
      <c r="M19" s="236" t="s">
        <v>9</v>
      </c>
      <c r="N19" s="236">
        <v>37.9</v>
      </c>
      <c r="O19" s="236">
        <v>5.2</v>
      </c>
      <c r="P19" s="236" t="s">
        <v>9</v>
      </c>
      <c r="Q19" s="249"/>
      <c r="R19" s="249"/>
      <c r="S19" s="249"/>
      <c r="T19" s="249"/>
    </row>
    <row r="20" spans="1:20">
      <c r="A20" s="248">
        <v>1976</v>
      </c>
      <c r="B20" s="236">
        <v>1579.5</v>
      </c>
      <c r="C20" s="236" t="s">
        <v>9</v>
      </c>
      <c r="D20" s="236">
        <v>9.6999999999999993</v>
      </c>
      <c r="E20" s="236">
        <v>1.6</v>
      </c>
      <c r="F20" s="236" t="s">
        <v>9</v>
      </c>
      <c r="G20" s="236">
        <v>5130.5</v>
      </c>
      <c r="H20" s="236" t="s">
        <v>9</v>
      </c>
      <c r="I20" s="236">
        <v>37.200000000000003</v>
      </c>
      <c r="J20" s="236">
        <v>5.4</v>
      </c>
      <c r="K20" s="236" t="s">
        <v>9</v>
      </c>
      <c r="L20" s="236">
        <v>5051.8</v>
      </c>
      <c r="M20" s="236" t="s">
        <v>9</v>
      </c>
      <c r="N20" s="236">
        <v>37.1</v>
      </c>
      <c r="O20" s="236">
        <v>5.3</v>
      </c>
      <c r="P20" s="236" t="s">
        <v>9</v>
      </c>
      <c r="Q20" s="249"/>
      <c r="R20" s="249"/>
      <c r="S20" s="249"/>
      <c r="T20" s="249"/>
    </row>
    <row r="21" spans="1:20">
      <c r="A21" s="248">
        <v>1977</v>
      </c>
      <c r="B21" s="236">
        <v>1749.6</v>
      </c>
      <c r="C21" s="236" t="s">
        <v>9</v>
      </c>
      <c r="D21" s="236">
        <v>10</v>
      </c>
      <c r="E21" s="236">
        <v>1.7</v>
      </c>
      <c r="F21" s="236" t="s">
        <v>9</v>
      </c>
      <c r="G21" s="236">
        <v>5320.3</v>
      </c>
      <c r="H21" s="236" t="s">
        <v>9</v>
      </c>
      <c r="I21" s="236">
        <v>36.200000000000003</v>
      </c>
      <c r="J21" s="236">
        <v>5.4</v>
      </c>
      <c r="K21" s="236" t="s">
        <v>9</v>
      </c>
      <c r="L21" s="236">
        <v>5253.8</v>
      </c>
      <c r="M21" s="236" t="s">
        <v>9</v>
      </c>
      <c r="N21" s="236">
        <v>36.1</v>
      </c>
      <c r="O21" s="236">
        <v>5.3</v>
      </c>
      <c r="P21" s="236" t="s">
        <v>9</v>
      </c>
      <c r="Q21" s="249"/>
      <c r="R21" s="249"/>
      <c r="S21" s="249"/>
      <c r="T21" s="249"/>
    </row>
    <row r="22" spans="1:20">
      <c r="A22" s="248">
        <v>1978</v>
      </c>
      <c r="B22" s="236">
        <v>1973.7</v>
      </c>
      <c r="C22" s="236" t="s">
        <v>9</v>
      </c>
      <c r="D22" s="236">
        <v>10.5</v>
      </c>
      <c r="E22" s="236">
        <v>1.8</v>
      </c>
      <c r="F22" s="236" t="s">
        <v>9</v>
      </c>
      <c r="G22" s="236">
        <v>5520.3</v>
      </c>
      <c r="H22" s="236" t="s">
        <v>9</v>
      </c>
      <c r="I22" s="236">
        <v>35.299999999999997</v>
      </c>
      <c r="J22" s="236">
        <v>5.4</v>
      </c>
      <c r="K22" s="236" t="s">
        <v>9</v>
      </c>
      <c r="L22" s="236">
        <v>5470.8</v>
      </c>
      <c r="M22" s="236" t="s">
        <v>9</v>
      </c>
      <c r="N22" s="236">
        <v>35.200000000000003</v>
      </c>
      <c r="O22" s="236">
        <v>5.3</v>
      </c>
      <c r="P22" s="236" t="s">
        <v>9</v>
      </c>
      <c r="Q22" s="249"/>
      <c r="R22" s="249"/>
      <c r="S22" s="249"/>
      <c r="T22" s="249"/>
    </row>
    <row r="23" spans="1:20">
      <c r="A23" s="248">
        <v>1979</v>
      </c>
      <c r="B23" s="236">
        <v>2247.6999999999998</v>
      </c>
      <c r="C23" s="236" t="s">
        <v>9</v>
      </c>
      <c r="D23" s="236">
        <v>11.5</v>
      </c>
      <c r="E23" s="236">
        <v>2</v>
      </c>
      <c r="F23" s="236" t="s">
        <v>9</v>
      </c>
      <c r="G23" s="236">
        <v>5704.8</v>
      </c>
      <c r="H23" s="236" t="s">
        <v>9</v>
      </c>
      <c r="I23" s="236">
        <v>35.299999999999997</v>
      </c>
      <c r="J23" s="236">
        <v>5.5</v>
      </c>
      <c r="K23" s="236" t="s">
        <v>9</v>
      </c>
      <c r="L23" s="236">
        <v>5673.7</v>
      </c>
      <c r="M23" s="236" t="s">
        <v>9</v>
      </c>
      <c r="N23" s="236">
        <v>35.299999999999997</v>
      </c>
      <c r="O23" s="236">
        <v>5.4</v>
      </c>
      <c r="P23" s="236" t="s">
        <v>9</v>
      </c>
      <c r="Q23" s="249"/>
      <c r="R23" s="249"/>
      <c r="S23" s="249"/>
      <c r="T23" s="249"/>
    </row>
    <row r="24" spans="1:20">
      <c r="A24" s="248">
        <v>1980</v>
      </c>
      <c r="B24" s="236">
        <v>2595.4</v>
      </c>
      <c r="C24" s="236" t="s">
        <v>9</v>
      </c>
      <c r="D24" s="236">
        <v>13.8</v>
      </c>
      <c r="E24" s="236">
        <v>2.2999999999999998</v>
      </c>
      <c r="F24" s="236" t="s">
        <v>9</v>
      </c>
      <c r="G24" s="236">
        <v>5873</v>
      </c>
      <c r="H24" s="236" t="s">
        <v>9</v>
      </c>
      <c r="I24" s="236">
        <v>36.4</v>
      </c>
      <c r="J24" s="236">
        <v>5.5</v>
      </c>
      <c r="K24" s="236" t="s">
        <v>9</v>
      </c>
      <c r="L24" s="236">
        <v>5858.4</v>
      </c>
      <c r="M24" s="236" t="s">
        <v>9</v>
      </c>
      <c r="N24" s="236">
        <v>36.4</v>
      </c>
      <c r="O24" s="236">
        <v>5.4</v>
      </c>
      <c r="P24" s="236" t="s">
        <v>9</v>
      </c>
      <c r="Q24" s="249"/>
      <c r="R24" s="249"/>
      <c r="S24" s="249"/>
      <c r="T24" s="249"/>
    </row>
    <row r="25" spans="1:20">
      <c r="A25" s="248">
        <v>1981</v>
      </c>
      <c r="B25" s="236">
        <v>3028.6</v>
      </c>
      <c r="C25" s="236" t="s">
        <v>9</v>
      </c>
      <c r="D25" s="236">
        <v>17.2</v>
      </c>
      <c r="E25" s="236">
        <v>2.6</v>
      </c>
      <c r="F25" s="236" t="s">
        <v>9</v>
      </c>
      <c r="G25" s="236">
        <v>6009</v>
      </c>
      <c r="H25" s="236" t="s">
        <v>9</v>
      </c>
      <c r="I25" s="236">
        <v>37.5</v>
      </c>
      <c r="J25" s="236">
        <v>5.4</v>
      </c>
      <c r="K25" s="236" t="s">
        <v>9</v>
      </c>
      <c r="L25" s="236">
        <v>6006.7</v>
      </c>
      <c r="M25" s="236" t="s">
        <v>9</v>
      </c>
      <c r="N25" s="236">
        <v>37.4</v>
      </c>
      <c r="O25" s="236">
        <v>5.3</v>
      </c>
      <c r="P25" s="236" t="s">
        <v>9</v>
      </c>
      <c r="Q25" s="249"/>
      <c r="R25" s="249"/>
      <c r="S25" s="249"/>
      <c r="T25" s="249"/>
    </row>
    <row r="26" spans="1:20">
      <c r="A26" s="248">
        <v>1982</v>
      </c>
      <c r="B26" s="236">
        <v>3308.5</v>
      </c>
      <c r="C26" s="236" t="s">
        <v>9</v>
      </c>
      <c r="D26" s="236">
        <v>18</v>
      </c>
      <c r="E26" s="236">
        <v>2.7</v>
      </c>
      <c r="F26" s="236" t="s">
        <v>9</v>
      </c>
      <c r="G26" s="236">
        <v>6108.8</v>
      </c>
      <c r="H26" s="236" t="s">
        <v>9</v>
      </c>
      <c r="I26" s="236">
        <v>37.6</v>
      </c>
      <c r="J26" s="236">
        <v>5.2</v>
      </c>
      <c r="K26" s="236" t="s">
        <v>9</v>
      </c>
      <c r="L26" s="236">
        <v>6114.7</v>
      </c>
      <c r="M26" s="236" t="s">
        <v>9</v>
      </c>
      <c r="N26" s="236">
        <v>37.5</v>
      </c>
      <c r="O26" s="236">
        <v>5.2</v>
      </c>
      <c r="P26" s="236" t="s">
        <v>9</v>
      </c>
      <c r="Q26" s="249"/>
      <c r="R26" s="249"/>
      <c r="S26" s="249"/>
      <c r="T26" s="249"/>
    </row>
    <row r="27" spans="1:20">
      <c r="A27" s="248">
        <v>1983</v>
      </c>
      <c r="B27" s="236">
        <v>3493.9</v>
      </c>
      <c r="C27" s="236" t="s">
        <v>9</v>
      </c>
      <c r="D27" s="236">
        <v>18.600000000000001</v>
      </c>
      <c r="E27" s="236">
        <v>2.7</v>
      </c>
      <c r="F27" s="236" t="s">
        <v>9</v>
      </c>
      <c r="G27" s="236">
        <v>6155.3</v>
      </c>
      <c r="H27" s="236" t="s">
        <v>9</v>
      </c>
      <c r="I27" s="236">
        <v>36.799999999999997</v>
      </c>
      <c r="J27" s="236">
        <v>4.9000000000000004</v>
      </c>
      <c r="K27" s="236" t="s">
        <v>9</v>
      </c>
      <c r="L27" s="236">
        <v>6166.7</v>
      </c>
      <c r="M27" s="236" t="s">
        <v>9</v>
      </c>
      <c r="N27" s="236">
        <v>36.700000000000003</v>
      </c>
      <c r="O27" s="236">
        <v>4.9000000000000004</v>
      </c>
      <c r="P27" s="236" t="s">
        <v>9</v>
      </c>
      <c r="Q27" s="249"/>
      <c r="R27" s="249"/>
      <c r="S27" s="249"/>
      <c r="T27" s="249"/>
    </row>
    <row r="28" spans="1:20">
      <c r="A28" s="248">
        <v>1984</v>
      </c>
      <c r="B28" s="236">
        <v>3716.4</v>
      </c>
      <c r="C28" s="236" t="s">
        <v>9</v>
      </c>
      <c r="D28" s="236">
        <v>20.5</v>
      </c>
      <c r="E28" s="236">
        <v>2.7</v>
      </c>
      <c r="F28" s="236" t="s">
        <v>9</v>
      </c>
      <c r="G28" s="236">
        <v>6149.5</v>
      </c>
      <c r="H28" s="236" t="s">
        <v>9</v>
      </c>
      <c r="I28" s="236">
        <v>35.4</v>
      </c>
      <c r="J28" s="236">
        <v>4.5999999999999996</v>
      </c>
      <c r="K28" s="236" t="s">
        <v>9</v>
      </c>
      <c r="L28" s="236">
        <v>6161.8</v>
      </c>
      <c r="M28" s="236" t="s">
        <v>9</v>
      </c>
      <c r="N28" s="236">
        <v>35.299999999999997</v>
      </c>
      <c r="O28" s="236">
        <v>4.5</v>
      </c>
      <c r="P28" s="236" t="s">
        <v>9</v>
      </c>
      <c r="Q28" s="249"/>
      <c r="R28" s="249"/>
      <c r="S28" s="249"/>
      <c r="T28" s="249"/>
    </row>
    <row r="29" spans="1:20">
      <c r="A29" s="248">
        <v>1985</v>
      </c>
      <c r="B29" s="236">
        <v>3810.6</v>
      </c>
      <c r="C29" s="236" t="s">
        <v>9</v>
      </c>
      <c r="D29" s="236">
        <v>19.899999999999999</v>
      </c>
      <c r="E29" s="236">
        <v>2.8</v>
      </c>
      <c r="F29" s="236" t="s">
        <v>9</v>
      </c>
      <c r="G29" s="236">
        <v>6133.5</v>
      </c>
      <c r="H29" s="236" t="s">
        <v>9</v>
      </c>
      <c r="I29" s="236">
        <v>33.6</v>
      </c>
      <c r="J29" s="236">
        <v>4.5</v>
      </c>
      <c r="K29" s="236" t="s">
        <v>9</v>
      </c>
      <c r="L29" s="236">
        <v>6144.4</v>
      </c>
      <c r="M29" s="236" t="s">
        <v>9</v>
      </c>
      <c r="N29" s="236">
        <v>33.6</v>
      </c>
      <c r="O29" s="236">
        <v>4.5</v>
      </c>
      <c r="P29" s="236" t="s">
        <v>9</v>
      </c>
      <c r="Q29" s="249"/>
      <c r="R29" s="249"/>
      <c r="S29" s="249"/>
      <c r="T29" s="249"/>
    </row>
    <row r="30" spans="1:20">
      <c r="A30" s="248">
        <v>1986</v>
      </c>
      <c r="B30" s="236">
        <v>3846.3</v>
      </c>
      <c r="C30" s="236" t="s">
        <v>9</v>
      </c>
      <c r="D30" s="236">
        <v>18.7</v>
      </c>
      <c r="E30" s="236">
        <v>2.8</v>
      </c>
      <c r="F30" s="236" t="s">
        <v>9</v>
      </c>
      <c r="G30" s="236">
        <v>6101.3</v>
      </c>
      <c r="H30" s="236" t="s">
        <v>9</v>
      </c>
      <c r="I30" s="236">
        <v>32.299999999999997</v>
      </c>
      <c r="J30" s="236">
        <v>4.5999999999999996</v>
      </c>
      <c r="K30" s="236" t="s">
        <v>9</v>
      </c>
      <c r="L30" s="236">
        <v>6112.5</v>
      </c>
      <c r="M30" s="236" t="s">
        <v>9</v>
      </c>
      <c r="N30" s="236">
        <v>32.200000000000003</v>
      </c>
      <c r="O30" s="236">
        <v>4.5999999999999996</v>
      </c>
      <c r="P30" s="236" t="s">
        <v>9</v>
      </c>
      <c r="Q30" s="249"/>
      <c r="R30" s="249"/>
      <c r="S30" s="249"/>
      <c r="T30" s="249"/>
    </row>
    <row r="31" spans="1:20">
      <c r="A31" s="248">
        <v>1987</v>
      </c>
      <c r="B31" s="236">
        <v>3920.6</v>
      </c>
      <c r="C31" s="236" t="s">
        <v>9</v>
      </c>
      <c r="D31" s="236">
        <v>18.3</v>
      </c>
      <c r="E31" s="236">
        <v>2.9</v>
      </c>
      <c r="F31" s="236" t="s">
        <v>9</v>
      </c>
      <c r="G31" s="236">
        <v>6056.1</v>
      </c>
      <c r="H31" s="236" t="s">
        <v>9</v>
      </c>
      <c r="I31" s="236">
        <v>30.9</v>
      </c>
      <c r="J31" s="236">
        <v>4.5999999999999996</v>
      </c>
      <c r="K31" s="236" t="s">
        <v>9</v>
      </c>
      <c r="L31" s="236">
        <v>6068.9</v>
      </c>
      <c r="M31" s="236" t="s">
        <v>9</v>
      </c>
      <c r="N31" s="236">
        <v>30.8</v>
      </c>
      <c r="O31" s="236">
        <v>4.5</v>
      </c>
      <c r="P31" s="236" t="s">
        <v>9</v>
      </c>
      <c r="Q31" s="249"/>
      <c r="R31" s="249"/>
      <c r="S31" s="249"/>
      <c r="T31" s="249"/>
    </row>
    <row r="32" spans="1:20">
      <c r="A32" s="248">
        <v>1988</v>
      </c>
      <c r="B32" s="236">
        <v>4060.2</v>
      </c>
      <c r="C32" s="236" t="s">
        <v>9</v>
      </c>
      <c r="D32" s="236">
        <v>17.8</v>
      </c>
      <c r="E32" s="236">
        <v>2.8</v>
      </c>
      <c r="F32" s="236" t="s">
        <v>9</v>
      </c>
      <c r="G32" s="236">
        <v>6040.9</v>
      </c>
      <c r="H32" s="236" t="s">
        <v>9</v>
      </c>
      <c r="I32" s="236">
        <v>29.5</v>
      </c>
      <c r="J32" s="236">
        <v>4.4000000000000004</v>
      </c>
      <c r="K32" s="236" t="s">
        <v>9</v>
      </c>
      <c r="L32" s="236">
        <v>6056.1</v>
      </c>
      <c r="M32" s="236" t="s">
        <v>9</v>
      </c>
      <c r="N32" s="236">
        <v>29.5</v>
      </c>
      <c r="O32" s="236">
        <v>4.4000000000000004</v>
      </c>
      <c r="P32" s="236" t="s">
        <v>9</v>
      </c>
      <c r="Q32" s="249"/>
      <c r="R32" s="249"/>
      <c r="S32" s="249"/>
      <c r="T32" s="249"/>
    </row>
    <row r="33" spans="1:20">
      <c r="A33" s="248">
        <v>1989</v>
      </c>
      <c r="B33" s="236">
        <v>4218.8999999999996</v>
      </c>
      <c r="C33" s="236" t="s">
        <v>9</v>
      </c>
      <c r="D33" s="236">
        <v>18.100000000000001</v>
      </c>
      <c r="E33" s="236">
        <v>3.1</v>
      </c>
      <c r="F33" s="236" t="s">
        <v>9</v>
      </c>
      <c r="G33" s="236">
        <v>6092.5</v>
      </c>
      <c r="H33" s="236" t="s">
        <v>9</v>
      </c>
      <c r="I33" s="236">
        <v>29.1</v>
      </c>
      <c r="J33" s="236">
        <v>4.8</v>
      </c>
      <c r="K33" s="236" t="s">
        <v>9</v>
      </c>
      <c r="L33" s="236">
        <v>6111.9</v>
      </c>
      <c r="M33" s="236" t="s">
        <v>9</v>
      </c>
      <c r="N33" s="236">
        <v>29.1</v>
      </c>
      <c r="O33" s="236">
        <v>4.7</v>
      </c>
      <c r="P33" s="236" t="s">
        <v>9</v>
      </c>
      <c r="Q33" s="249"/>
      <c r="R33" s="249"/>
      <c r="S33" s="249"/>
      <c r="T33" s="249"/>
    </row>
    <row r="34" spans="1:20">
      <c r="A34" s="248">
        <v>1990</v>
      </c>
      <c r="B34" s="236">
        <v>4493.5</v>
      </c>
      <c r="C34" s="236" t="s">
        <v>9</v>
      </c>
      <c r="D34" s="236">
        <v>19.3</v>
      </c>
      <c r="E34" s="236">
        <v>3.7</v>
      </c>
      <c r="F34" s="236" t="s">
        <v>9</v>
      </c>
      <c r="G34" s="236">
        <v>6187.2</v>
      </c>
      <c r="H34" s="236" t="s">
        <v>9</v>
      </c>
      <c r="I34" s="236">
        <v>29.1</v>
      </c>
      <c r="J34" s="236">
        <v>5.3</v>
      </c>
      <c r="K34" s="236" t="s">
        <v>9</v>
      </c>
      <c r="L34" s="236">
        <v>6213.7</v>
      </c>
      <c r="M34" s="236" t="s">
        <v>9</v>
      </c>
      <c r="N34" s="236">
        <v>29.1</v>
      </c>
      <c r="O34" s="236">
        <v>5.3</v>
      </c>
      <c r="P34" s="236" t="s">
        <v>9</v>
      </c>
      <c r="Q34" s="249"/>
      <c r="R34" s="249"/>
      <c r="S34" s="249"/>
      <c r="T34" s="249"/>
    </row>
    <row r="35" spans="1:20">
      <c r="A35" s="248">
        <v>1991</v>
      </c>
      <c r="B35" s="236">
        <v>4492.3999999999996</v>
      </c>
      <c r="C35" s="236" t="s">
        <v>9</v>
      </c>
      <c r="D35" s="236">
        <v>18</v>
      </c>
      <c r="E35" s="236">
        <v>3.7</v>
      </c>
      <c r="F35" s="236" t="s">
        <v>9</v>
      </c>
      <c r="G35" s="236">
        <v>6283.7</v>
      </c>
      <c r="H35" s="236" t="s">
        <v>9</v>
      </c>
      <c r="I35" s="236">
        <v>28.7</v>
      </c>
      <c r="J35" s="236">
        <v>5.4</v>
      </c>
      <c r="K35" s="236" t="s">
        <v>9</v>
      </c>
      <c r="L35" s="236">
        <v>6318.4</v>
      </c>
      <c r="M35" s="236" t="s">
        <v>9</v>
      </c>
      <c r="N35" s="236">
        <v>28.7</v>
      </c>
      <c r="O35" s="236">
        <v>5.4</v>
      </c>
      <c r="P35" s="236" t="s">
        <v>9</v>
      </c>
      <c r="Q35" s="249"/>
      <c r="R35" s="249"/>
      <c r="S35" s="249"/>
      <c r="T35" s="249"/>
    </row>
    <row r="36" spans="1:20">
      <c r="A36" s="248">
        <v>1992</v>
      </c>
      <c r="B36" s="236">
        <v>4530.2</v>
      </c>
      <c r="C36" s="236" t="s">
        <v>9</v>
      </c>
      <c r="D36" s="236">
        <v>17.8</v>
      </c>
      <c r="E36" s="236">
        <v>3.6</v>
      </c>
      <c r="F36" s="236" t="s">
        <v>9</v>
      </c>
      <c r="G36" s="236">
        <v>6364.2</v>
      </c>
      <c r="H36" s="236" t="s">
        <v>9</v>
      </c>
      <c r="I36" s="236">
        <v>27.6</v>
      </c>
      <c r="J36" s="236">
        <v>5.4</v>
      </c>
      <c r="K36" s="236" t="s">
        <v>9</v>
      </c>
      <c r="L36" s="236">
        <v>6403.2</v>
      </c>
      <c r="M36" s="236" t="s">
        <v>9</v>
      </c>
      <c r="N36" s="236">
        <v>27.6</v>
      </c>
      <c r="O36" s="236">
        <v>5.3</v>
      </c>
      <c r="P36" s="236" t="s">
        <v>9</v>
      </c>
      <c r="Q36" s="249"/>
      <c r="R36" s="249"/>
      <c r="S36" s="249"/>
      <c r="T36" s="249"/>
    </row>
    <row r="37" spans="1:20">
      <c r="A37" s="248">
        <v>1993</v>
      </c>
      <c r="B37" s="236">
        <v>4555.5</v>
      </c>
      <c r="C37" s="236" t="s">
        <v>9</v>
      </c>
      <c r="D37" s="236">
        <v>17</v>
      </c>
      <c r="E37" s="236">
        <v>3.6</v>
      </c>
      <c r="F37" s="236" t="s">
        <v>9</v>
      </c>
      <c r="G37" s="236">
        <v>6414.3</v>
      </c>
      <c r="H37" s="236" t="s">
        <v>9</v>
      </c>
      <c r="I37" s="236">
        <v>26.5</v>
      </c>
      <c r="J37" s="236">
        <v>5.2</v>
      </c>
      <c r="K37" s="236" t="s">
        <v>9</v>
      </c>
      <c r="L37" s="236">
        <v>6452.9</v>
      </c>
      <c r="M37" s="236" t="s">
        <v>9</v>
      </c>
      <c r="N37" s="236">
        <v>26.5</v>
      </c>
      <c r="O37" s="236">
        <v>5.2</v>
      </c>
      <c r="P37" s="236" t="s">
        <v>9</v>
      </c>
      <c r="Q37" s="249"/>
      <c r="R37" s="249"/>
      <c r="S37" s="249"/>
      <c r="T37" s="249"/>
    </row>
    <row r="38" spans="1:20">
      <c r="A38" s="248">
        <v>1994</v>
      </c>
      <c r="B38" s="236">
        <v>4741.7</v>
      </c>
      <c r="C38" s="236" t="s">
        <v>9</v>
      </c>
      <c r="D38" s="236">
        <v>16.899999999999999</v>
      </c>
      <c r="E38" s="236">
        <v>3.6</v>
      </c>
      <c r="F38" s="236" t="s">
        <v>9</v>
      </c>
      <c r="G38" s="236">
        <v>6457.8</v>
      </c>
      <c r="H38" s="236" t="s">
        <v>9</v>
      </c>
      <c r="I38" s="236">
        <v>25.7</v>
      </c>
      <c r="J38" s="236">
        <v>5.2</v>
      </c>
      <c r="K38" s="236" t="s">
        <v>9</v>
      </c>
      <c r="L38" s="236">
        <v>6494.2</v>
      </c>
      <c r="M38" s="236" t="s">
        <v>9</v>
      </c>
      <c r="N38" s="236">
        <v>25.7</v>
      </c>
      <c r="O38" s="236">
        <v>5.2</v>
      </c>
      <c r="P38" s="236" t="s">
        <v>9</v>
      </c>
      <c r="Q38" s="249"/>
      <c r="R38" s="249"/>
      <c r="S38" s="249"/>
      <c r="T38" s="249"/>
    </row>
    <row r="39" spans="1:20">
      <c r="A39" s="248">
        <v>1995</v>
      </c>
      <c r="B39" s="236">
        <v>4849.1000000000004</v>
      </c>
      <c r="C39" s="236" t="s">
        <v>9</v>
      </c>
      <c r="D39" s="236">
        <v>16.899999999999999</v>
      </c>
      <c r="E39" s="236">
        <v>3.9</v>
      </c>
      <c r="F39" s="236" t="s">
        <v>9</v>
      </c>
      <c r="G39" s="236">
        <v>6501.1</v>
      </c>
      <c r="H39" s="236" t="s">
        <v>9</v>
      </c>
      <c r="I39" s="236">
        <v>24.6</v>
      </c>
      <c r="J39" s="236">
        <v>5.4</v>
      </c>
      <c r="K39" s="236" t="s">
        <v>9</v>
      </c>
      <c r="L39" s="236">
        <v>6531</v>
      </c>
      <c r="M39" s="236" t="s">
        <v>9</v>
      </c>
      <c r="N39" s="236">
        <v>24.6</v>
      </c>
      <c r="O39" s="236">
        <v>5.4</v>
      </c>
      <c r="P39" s="236" t="s">
        <v>9</v>
      </c>
      <c r="Q39" s="249"/>
      <c r="R39" s="249"/>
      <c r="S39" s="249"/>
      <c r="T39" s="249"/>
    </row>
    <row r="40" spans="1:20">
      <c r="A40" s="248">
        <v>1996</v>
      </c>
      <c r="B40" s="236">
        <v>5056.8999999999996</v>
      </c>
      <c r="C40" s="236" t="s">
        <v>9</v>
      </c>
      <c r="D40" s="236">
        <v>16.899999999999999</v>
      </c>
      <c r="E40" s="236">
        <v>4.0999999999999996</v>
      </c>
      <c r="F40" s="236" t="s">
        <v>9</v>
      </c>
      <c r="G40" s="236">
        <v>6518.8</v>
      </c>
      <c r="H40" s="236" t="s">
        <v>9</v>
      </c>
      <c r="I40" s="236">
        <v>23.3</v>
      </c>
      <c r="J40" s="236">
        <v>5.4</v>
      </c>
      <c r="K40" s="236" t="s">
        <v>9</v>
      </c>
      <c r="L40" s="236">
        <v>6546.5</v>
      </c>
      <c r="M40" s="236" t="s">
        <v>9</v>
      </c>
      <c r="N40" s="236">
        <v>23.3</v>
      </c>
      <c r="O40" s="236">
        <v>5.5</v>
      </c>
      <c r="P40" s="236" t="s">
        <v>9</v>
      </c>
      <c r="Q40" s="249"/>
      <c r="R40" s="249"/>
      <c r="S40" s="249"/>
      <c r="T40" s="249"/>
    </row>
    <row r="41" spans="1:20">
      <c r="A41" s="248">
        <v>1997</v>
      </c>
      <c r="B41" s="236">
        <v>5232.3999999999996</v>
      </c>
      <c r="C41" s="236" t="s">
        <v>9</v>
      </c>
      <c r="D41" s="236">
        <v>16.600000000000001</v>
      </c>
      <c r="E41" s="236">
        <v>4.3</v>
      </c>
      <c r="F41" s="236" t="s">
        <v>9</v>
      </c>
      <c r="G41" s="236">
        <v>6487.9</v>
      </c>
      <c r="H41" s="236" t="s">
        <v>9</v>
      </c>
      <c r="I41" s="236">
        <v>22.3</v>
      </c>
      <c r="J41" s="236">
        <v>5.5</v>
      </c>
      <c r="K41" s="236" t="s">
        <v>9</v>
      </c>
      <c r="L41" s="236">
        <v>6512.2</v>
      </c>
      <c r="M41" s="236" t="s">
        <v>9</v>
      </c>
      <c r="N41" s="236">
        <v>22.4</v>
      </c>
      <c r="O41" s="236">
        <v>5.6</v>
      </c>
      <c r="P41" s="236" t="s">
        <v>9</v>
      </c>
      <c r="Q41" s="249"/>
      <c r="R41" s="249"/>
      <c r="S41" s="249"/>
      <c r="T41" s="249"/>
    </row>
    <row r="42" spans="1:20">
      <c r="A42" s="248">
        <v>1998</v>
      </c>
      <c r="B42" s="236">
        <v>5300.7</v>
      </c>
      <c r="C42" s="236" t="s">
        <v>9</v>
      </c>
      <c r="D42" s="236">
        <v>15.9</v>
      </c>
      <c r="E42" s="236">
        <v>4.5</v>
      </c>
      <c r="F42" s="236" t="s">
        <v>9</v>
      </c>
      <c r="G42" s="236">
        <v>6454.2</v>
      </c>
      <c r="H42" s="236" t="s">
        <v>9</v>
      </c>
      <c r="I42" s="236">
        <v>21.4</v>
      </c>
      <c r="J42" s="236">
        <v>5.7</v>
      </c>
      <c r="K42" s="236" t="s">
        <v>9</v>
      </c>
      <c r="L42" s="236">
        <v>6474.7</v>
      </c>
      <c r="M42" s="236" t="s">
        <v>9</v>
      </c>
      <c r="N42" s="236">
        <v>21.4</v>
      </c>
      <c r="O42" s="236">
        <v>5.7</v>
      </c>
      <c r="P42" s="236" t="s">
        <v>9</v>
      </c>
      <c r="Q42" s="249"/>
      <c r="R42" s="249"/>
      <c r="S42" s="249"/>
      <c r="T42" s="249"/>
    </row>
    <row r="43" spans="1:20">
      <c r="A43" s="248">
        <v>1999</v>
      </c>
      <c r="B43" s="236">
        <v>5310.4</v>
      </c>
      <c r="C43" s="236" t="s">
        <v>9</v>
      </c>
      <c r="D43" s="236">
        <v>16.7</v>
      </c>
      <c r="E43" s="236">
        <v>4.9000000000000004</v>
      </c>
      <c r="F43" s="236" t="s">
        <v>9</v>
      </c>
      <c r="G43" s="236">
        <v>6414.6</v>
      </c>
      <c r="H43" s="236" t="s">
        <v>9</v>
      </c>
      <c r="I43" s="236">
        <v>21.7</v>
      </c>
      <c r="J43" s="236">
        <v>6.1</v>
      </c>
      <c r="K43" s="236" t="s">
        <v>9</v>
      </c>
      <c r="L43" s="236">
        <v>6431.2</v>
      </c>
      <c r="M43" s="236" t="s">
        <v>9</v>
      </c>
      <c r="N43" s="236">
        <v>21.7</v>
      </c>
      <c r="O43" s="236">
        <v>6.1</v>
      </c>
      <c r="P43" s="236" t="s">
        <v>9</v>
      </c>
      <c r="Q43" s="249"/>
      <c r="R43" s="249"/>
      <c r="S43" s="249"/>
      <c r="T43" s="249"/>
    </row>
    <row r="44" spans="1:20">
      <c r="A44" s="248">
        <v>2000</v>
      </c>
      <c r="B44" s="236">
        <v>5391.8</v>
      </c>
      <c r="C44" s="236" t="s">
        <v>9</v>
      </c>
      <c r="D44" s="236" t="s">
        <v>9</v>
      </c>
      <c r="E44" s="236">
        <v>5.3</v>
      </c>
      <c r="F44" s="236" t="s">
        <v>9</v>
      </c>
      <c r="G44" s="236">
        <v>6406.7</v>
      </c>
      <c r="H44" s="236" t="s">
        <v>9</v>
      </c>
      <c r="I44" s="236" t="s">
        <v>9</v>
      </c>
      <c r="J44" s="236">
        <v>6.4</v>
      </c>
      <c r="K44" s="236" t="s">
        <v>9</v>
      </c>
      <c r="L44" s="236">
        <v>6421.3</v>
      </c>
      <c r="M44" s="236" t="s">
        <v>9</v>
      </c>
      <c r="N44" s="236" t="s">
        <v>9</v>
      </c>
      <c r="O44" s="236">
        <v>6.5</v>
      </c>
      <c r="P44" s="236" t="s">
        <v>9</v>
      </c>
      <c r="Q44" s="249"/>
      <c r="R44" s="249"/>
      <c r="S44" s="249"/>
      <c r="T44" s="249"/>
    </row>
    <row r="45" spans="1:20">
      <c r="A45" s="248">
        <v>2001</v>
      </c>
      <c r="B45" s="236">
        <v>5521.8</v>
      </c>
      <c r="C45" s="236" t="s">
        <v>9</v>
      </c>
      <c r="D45" s="236" t="s">
        <v>9</v>
      </c>
      <c r="E45" s="236">
        <v>5.5</v>
      </c>
      <c r="F45" s="236" t="s">
        <v>9</v>
      </c>
      <c r="G45" s="236">
        <v>6426.3</v>
      </c>
      <c r="H45" s="236" t="s">
        <v>9</v>
      </c>
      <c r="I45" s="236" t="s">
        <v>9</v>
      </c>
      <c r="J45" s="236">
        <v>6.5</v>
      </c>
      <c r="K45" s="236" t="s">
        <v>9</v>
      </c>
      <c r="L45" s="236">
        <v>6438.7</v>
      </c>
      <c r="M45" s="236" t="s">
        <v>9</v>
      </c>
      <c r="N45" s="236" t="s">
        <v>9</v>
      </c>
      <c r="O45" s="236">
        <v>6.6</v>
      </c>
      <c r="P45" s="236" t="s">
        <v>9</v>
      </c>
      <c r="Q45" s="249"/>
      <c r="R45" s="249"/>
      <c r="S45" s="249"/>
      <c r="T45" s="249"/>
    </row>
    <row r="46" spans="1:20">
      <c r="A46" s="248">
        <v>2002</v>
      </c>
      <c r="B46" s="236">
        <v>5594.1</v>
      </c>
      <c r="C46" s="236" t="s">
        <v>9</v>
      </c>
      <c r="D46" s="236" t="s">
        <v>9</v>
      </c>
      <c r="E46" s="236">
        <v>5.6</v>
      </c>
      <c r="F46" s="236" t="s">
        <v>9</v>
      </c>
      <c r="G46" s="236">
        <v>6451</v>
      </c>
      <c r="H46" s="236" t="s">
        <v>9</v>
      </c>
      <c r="I46" s="236" t="s">
        <v>9</v>
      </c>
      <c r="J46" s="236">
        <v>6.6</v>
      </c>
      <c r="K46" s="236" t="s">
        <v>9</v>
      </c>
      <c r="L46" s="236">
        <v>6458.1</v>
      </c>
      <c r="M46" s="236" t="s">
        <v>9</v>
      </c>
      <c r="N46" s="236" t="s">
        <v>9</v>
      </c>
      <c r="O46" s="236">
        <v>6.6</v>
      </c>
      <c r="P46" s="236" t="s">
        <v>9</v>
      </c>
      <c r="Q46" s="249"/>
      <c r="R46" s="249"/>
      <c r="S46" s="249"/>
      <c r="T46" s="249"/>
    </row>
    <row r="47" spans="1:20">
      <c r="A47" s="248">
        <v>2003</v>
      </c>
      <c r="B47" s="236">
        <v>5643.6</v>
      </c>
      <c r="C47" s="236" t="s">
        <v>9</v>
      </c>
      <c r="D47" s="236" t="s">
        <v>9</v>
      </c>
      <c r="E47" s="236">
        <v>5.9</v>
      </c>
      <c r="F47" s="236" t="s">
        <v>9</v>
      </c>
      <c r="G47" s="236">
        <v>6505.2</v>
      </c>
      <c r="H47" s="236" t="s">
        <v>9</v>
      </c>
      <c r="I47" s="236" t="s">
        <v>9</v>
      </c>
      <c r="J47" s="236">
        <v>6.9</v>
      </c>
      <c r="K47" s="236" t="s">
        <v>9</v>
      </c>
      <c r="L47" s="236">
        <v>6508.7</v>
      </c>
      <c r="M47" s="236" t="s">
        <v>9</v>
      </c>
      <c r="N47" s="236" t="s">
        <v>9</v>
      </c>
      <c r="O47" s="236">
        <v>6.9</v>
      </c>
      <c r="P47" s="236" t="s">
        <v>9</v>
      </c>
      <c r="Q47" s="249"/>
      <c r="R47" s="249"/>
      <c r="S47" s="249"/>
      <c r="T47" s="249"/>
    </row>
    <row r="48" spans="1:20">
      <c r="A48" s="248">
        <v>2004</v>
      </c>
      <c r="B48" s="236">
        <v>5922.3</v>
      </c>
      <c r="C48" s="236" t="s">
        <v>9</v>
      </c>
      <c r="D48" s="236" t="s">
        <v>9</v>
      </c>
      <c r="E48" s="236">
        <v>6.9</v>
      </c>
      <c r="F48" s="236" t="s">
        <v>9</v>
      </c>
      <c r="G48" s="236">
        <v>6601.4</v>
      </c>
      <c r="H48" s="236" t="s">
        <v>9</v>
      </c>
      <c r="I48" s="236" t="s">
        <v>9</v>
      </c>
      <c r="J48" s="236">
        <v>7.8</v>
      </c>
      <c r="K48" s="236" t="s">
        <v>9</v>
      </c>
      <c r="L48" s="236">
        <v>6603.1</v>
      </c>
      <c r="M48" s="236" t="s">
        <v>9</v>
      </c>
      <c r="N48" s="236" t="s">
        <v>9</v>
      </c>
      <c r="O48" s="236">
        <v>7.8</v>
      </c>
      <c r="P48" s="236" t="s">
        <v>9</v>
      </c>
      <c r="Q48" s="249"/>
      <c r="R48" s="249"/>
      <c r="S48" s="249"/>
      <c r="T48" s="249"/>
    </row>
    <row r="49" spans="1:20">
      <c r="A49" s="248">
        <v>2005</v>
      </c>
      <c r="B49" s="236">
        <v>6262</v>
      </c>
      <c r="C49" s="236" t="s">
        <v>9</v>
      </c>
      <c r="D49" s="236" t="s">
        <v>9</v>
      </c>
      <c r="E49" s="236">
        <v>8</v>
      </c>
      <c r="F49" s="236" t="s">
        <v>9</v>
      </c>
      <c r="G49" s="236">
        <v>6737.9</v>
      </c>
      <c r="H49" s="236" t="s">
        <v>9</v>
      </c>
      <c r="I49" s="236" t="s">
        <v>9</v>
      </c>
      <c r="J49" s="236">
        <v>8.6999999999999993</v>
      </c>
      <c r="K49" s="236" t="s">
        <v>9</v>
      </c>
      <c r="L49" s="236">
        <v>6738.2</v>
      </c>
      <c r="M49" s="236" t="s">
        <v>9</v>
      </c>
      <c r="N49" s="236" t="s">
        <v>9</v>
      </c>
      <c r="O49" s="236">
        <v>8.6999999999999993</v>
      </c>
      <c r="P49" s="236" t="s">
        <v>9</v>
      </c>
      <c r="Q49" s="249"/>
      <c r="R49" s="249"/>
      <c r="S49" s="249"/>
      <c r="T49" s="249"/>
    </row>
    <row r="50" spans="1:20">
      <c r="A50" s="248">
        <v>2006</v>
      </c>
      <c r="B50" s="236">
        <v>6669.1</v>
      </c>
      <c r="C50" s="236" t="s">
        <v>9</v>
      </c>
      <c r="D50" s="236" t="s">
        <v>9</v>
      </c>
      <c r="E50" s="236">
        <v>9.9</v>
      </c>
      <c r="F50" s="236" t="s">
        <v>9</v>
      </c>
      <c r="G50" s="236">
        <v>6868.4</v>
      </c>
      <c r="H50" s="236" t="s">
        <v>9</v>
      </c>
      <c r="I50" s="236" t="s">
        <v>9</v>
      </c>
      <c r="J50" s="236">
        <v>10.199999999999999</v>
      </c>
      <c r="K50" s="236" t="s">
        <v>9</v>
      </c>
      <c r="L50" s="236">
        <v>6868.4</v>
      </c>
      <c r="M50" s="236" t="s">
        <v>9</v>
      </c>
      <c r="N50" s="236" t="s">
        <v>9</v>
      </c>
      <c r="O50" s="236">
        <v>10.199999999999999</v>
      </c>
      <c r="P50" s="236" t="s">
        <v>9</v>
      </c>
      <c r="Q50" s="249"/>
      <c r="R50" s="249"/>
      <c r="S50" s="249"/>
      <c r="T50" s="249"/>
    </row>
    <row r="51" spans="1:20">
      <c r="A51" s="248">
        <v>2007</v>
      </c>
      <c r="B51" s="236">
        <v>7044.4</v>
      </c>
      <c r="C51" s="236" t="s">
        <v>9</v>
      </c>
      <c r="D51" s="236" t="s">
        <v>9</v>
      </c>
      <c r="E51" s="236">
        <v>11.1</v>
      </c>
      <c r="F51" s="236" t="s">
        <v>9</v>
      </c>
      <c r="G51" s="236">
        <v>7044.4</v>
      </c>
      <c r="H51" s="236" t="s">
        <v>9</v>
      </c>
      <c r="I51" s="236" t="s">
        <v>9</v>
      </c>
      <c r="J51" s="236">
        <v>11.1</v>
      </c>
      <c r="K51" s="236" t="s">
        <v>9</v>
      </c>
      <c r="L51" s="236">
        <v>7044.4</v>
      </c>
      <c r="M51" s="236" t="s">
        <v>9</v>
      </c>
      <c r="N51" s="236" t="s">
        <v>9</v>
      </c>
      <c r="O51" s="236">
        <v>11.1</v>
      </c>
      <c r="P51" s="236" t="s">
        <v>9</v>
      </c>
      <c r="Q51" s="249"/>
      <c r="R51" s="249"/>
      <c r="S51" s="249"/>
      <c r="T51" s="249"/>
    </row>
    <row r="52" spans="1:20">
      <c r="A52" s="248">
        <v>2008</v>
      </c>
      <c r="B52" s="236">
        <v>7852.6</v>
      </c>
      <c r="C52" s="236" t="s">
        <v>9</v>
      </c>
      <c r="D52" s="236" t="s">
        <v>9</v>
      </c>
      <c r="E52" s="236">
        <v>11.7</v>
      </c>
      <c r="F52" s="236" t="s">
        <v>9</v>
      </c>
      <c r="G52" s="236">
        <v>7331.3</v>
      </c>
      <c r="H52" s="236" t="s">
        <v>9</v>
      </c>
      <c r="I52" s="236" t="s">
        <v>9</v>
      </c>
      <c r="J52" s="236">
        <v>10.7</v>
      </c>
      <c r="K52" s="236" t="s">
        <v>9</v>
      </c>
      <c r="L52" s="236">
        <v>7331.5</v>
      </c>
      <c r="M52" s="236" t="s">
        <v>9</v>
      </c>
      <c r="N52" s="236" t="s">
        <v>9</v>
      </c>
      <c r="O52" s="236">
        <v>10.7</v>
      </c>
      <c r="P52" s="236" t="s">
        <v>9</v>
      </c>
      <c r="Q52" s="249"/>
      <c r="R52" s="249"/>
      <c r="S52" s="249"/>
      <c r="T52" s="249"/>
    </row>
    <row r="53" spans="1:20">
      <c r="A53" s="248">
        <v>2009</v>
      </c>
      <c r="B53" s="236">
        <v>8408.2999999999993</v>
      </c>
      <c r="C53" s="236" t="s">
        <v>9</v>
      </c>
      <c r="D53" s="236" t="s">
        <v>9</v>
      </c>
      <c r="E53" s="236">
        <v>10.8</v>
      </c>
      <c r="F53" s="236" t="s">
        <v>9</v>
      </c>
      <c r="G53" s="236">
        <v>7692.2</v>
      </c>
      <c r="H53" s="236" t="s">
        <v>9</v>
      </c>
      <c r="I53" s="236" t="s">
        <v>9</v>
      </c>
      <c r="J53" s="236">
        <v>9.8000000000000007</v>
      </c>
      <c r="K53" s="236" t="s">
        <v>9</v>
      </c>
      <c r="L53" s="236">
        <v>7692.6</v>
      </c>
      <c r="M53" s="236" t="s">
        <v>9</v>
      </c>
      <c r="N53" s="236" t="s">
        <v>9</v>
      </c>
      <c r="O53" s="236">
        <v>9.8000000000000007</v>
      </c>
      <c r="P53" s="236" t="s">
        <v>9</v>
      </c>
      <c r="Q53" s="249"/>
      <c r="R53" s="249"/>
      <c r="S53" s="249"/>
      <c r="T53" s="249"/>
    </row>
    <row r="54" spans="1:20">
      <c r="A54" s="248">
        <v>2010</v>
      </c>
      <c r="B54" s="236">
        <v>9160.7000000000007</v>
      </c>
      <c r="C54" s="236" t="s">
        <v>9</v>
      </c>
      <c r="D54" s="236" t="s">
        <v>9</v>
      </c>
      <c r="E54" s="236">
        <v>11</v>
      </c>
      <c r="F54" s="236" t="s">
        <v>9</v>
      </c>
      <c r="G54" s="236">
        <v>8085.7</v>
      </c>
      <c r="H54" s="236" t="s">
        <v>9</v>
      </c>
      <c r="I54" s="236" t="s">
        <v>9</v>
      </c>
      <c r="J54" s="236">
        <v>9.6999999999999993</v>
      </c>
      <c r="K54" s="236" t="s">
        <v>9</v>
      </c>
      <c r="L54" s="236">
        <v>8086.1</v>
      </c>
      <c r="M54" s="236" t="s">
        <v>9</v>
      </c>
      <c r="N54" s="236" t="s">
        <v>9</v>
      </c>
      <c r="O54" s="236">
        <v>9.6999999999999993</v>
      </c>
      <c r="P54" s="236" t="s">
        <v>9</v>
      </c>
      <c r="Q54" s="249"/>
      <c r="R54" s="249"/>
      <c r="S54" s="249"/>
      <c r="T54" s="249"/>
    </row>
    <row r="55" spans="1:20">
      <c r="A55" s="248">
        <v>2011</v>
      </c>
      <c r="B55" s="236">
        <v>10004.4</v>
      </c>
      <c r="C55" s="236" t="s">
        <v>9</v>
      </c>
      <c r="D55" s="236" t="s">
        <v>9</v>
      </c>
      <c r="E55" s="236">
        <v>11.6</v>
      </c>
      <c r="F55" s="236" t="s">
        <v>9</v>
      </c>
      <c r="G55" s="236">
        <v>8448.5</v>
      </c>
      <c r="H55" s="236" t="s">
        <v>9</v>
      </c>
      <c r="I55" s="236" t="s">
        <v>9</v>
      </c>
      <c r="J55" s="236">
        <v>9.6999999999999993</v>
      </c>
      <c r="K55" s="236" t="s">
        <v>9</v>
      </c>
      <c r="L55" s="236">
        <v>8448.1</v>
      </c>
      <c r="M55" s="236" t="s">
        <v>9</v>
      </c>
      <c r="N55" s="236" t="s">
        <v>9</v>
      </c>
      <c r="O55" s="236">
        <v>9.6999999999999993</v>
      </c>
      <c r="P55" s="236" t="s">
        <v>9</v>
      </c>
      <c r="Q55" s="249"/>
      <c r="R55" s="249"/>
      <c r="S55" s="249"/>
      <c r="T55" s="249"/>
    </row>
    <row r="56" spans="1:20">
      <c r="A56" s="248">
        <v>2012</v>
      </c>
      <c r="B56" s="236">
        <v>10896.7</v>
      </c>
      <c r="C56" s="236" t="s">
        <v>9</v>
      </c>
      <c r="D56" s="236" t="s">
        <v>9</v>
      </c>
      <c r="E56" s="236">
        <v>11.7</v>
      </c>
      <c r="F56" s="236" t="s">
        <v>9</v>
      </c>
      <c r="G56" s="236">
        <v>8860.6</v>
      </c>
      <c r="H56" s="236" t="s">
        <v>9</v>
      </c>
      <c r="I56" s="236" t="s">
        <v>9</v>
      </c>
      <c r="J56" s="236">
        <v>9.3000000000000007</v>
      </c>
      <c r="K56" s="236" t="s">
        <v>9</v>
      </c>
      <c r="L56" s="236">
        <v>8857.6</v>
      </c>
      <c r="M56" s="236" t="s">
        <v>9</v>
      </c>
      <c r="N56" s="236" t="s">
        <v>9</v>
      </c>
      <c r="O56" s="236">
        <v>9.3000000000000007</v>
      </c>
      <c r="P56" s="236" t="s">
        <v>9</v>
      </c>
      <c r="Q56" s="249"/>
      <c r="R56" s="249"/>
      <c r="S56" s="249"/>
      <c r="T56" s="249"/>
    </row>
    <row r="57" spans="1:20">
      <c r="A57" s="248">
        <v>2013</v>
      </c>
      <c r="B57" s="236">
        <v>11748.1</v>
      </c>
      <c r="C57" s="236" t="s">
        <v>9</v>
      </c>
      <c r="D57" s="236" t="s">
        <v>9</v>
      </c>
      <c r="E57" s="236">
        <v>11.6</v>
      </c>
      <c r="F57" s="236" t="s">
        <v>9</v>
      </c>
      <c r="G57" s="236">
        <v>9289.7000000000007</v>
      </c>
      <c r="H57" s="236" t="s">
        <v>9</v>
      </c>
      <c r="I57" s="236" t="s">
        <v>9</v>
      </c>
      <c r="J57" s="236">
        <v>9</v>
      </c>
      <c r="K57" s="236" t="s">
        <v>9</v>
      </c>
      <c r="L57" s="236">
        <v>9283.6</v>
      </c>
      <c r="M57" s="236" t="s">
        <v>9</v>
      </c>
      <c r="N57" s="236" t="s">
        <v>9</v>
      </c>
      <c r="O57" s="236">
        <v>9</v>
      </c>
      <c r="P57" s="236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4.0485520248270124</v>
      </c>
      <c r="C60" s="7" t="s">
        <v>10</v>
      </c>
      <c r="D60" s="7" t="s">
        <v>10</v>
      </c>
      <c r="E60" s="11">
        <f t="shared" ref="E60:O60" si="1">((E57/E28)^(1/29)-1)*100</f>
        <v>5.1552197626600238</v>
      </c>
      <c r="F60" s="7" t="s">
        <v>10</v>
      </c>
      <c r="G60" s="11">
        <f t="shared" si="1"/>
        <v>1.432702338329972</v>
      </c>
      <c r="H60" s="7" t="s">
        <v>10</v>
      </c>
      <c r="I60" s="7" t="s">
        <v>10</v>
      </c>
      <c r="J60" s="11">
        <f t="shared" si="1"/>
        <v>2.3413627881501142</v>
      </c>
      <c r="K60" s="7" t="s">
        <v>10</v>
      </c>
      <c r="L60" s="11">
        <f t="shared" si="1"/>
        <v>1.4234163481630757</v>
      </c>
      <c r="M60" s="7" t="s">
        <v>10</v>
      </c>
      <c r="N60" s="7" t="s">
        <v>10</v>
      </c>
      <c r="O60" s="11">
        <f t="shared" si="1"/>
        <v>2.4189560248997211</v>
      </c>
      <c r="P60" s="7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2.5688192439527802</v>
      </c>
      <c r="C61" s="7" t="s">
        <v>10</v>
      </c>
      <c r="D61" s="11">
        <f t="shared" ref="D61:O61" si="3">((D33/D28)^(1/5)-1)*100</f>
        <v>-2.4595077990752112</v>
      </c>
      <c r="E61" s="11">
        <f t="shared" si="3"/>
        <v>2.8015317995883304</v>
      </c>
      <c r="F61" s="7" t="s">
        <v>10</v>
      </c>
      <c r="G61" s="11">
        <f t="shared" si="3"/>
        <v>-0.1860720944954819</v>
      </c>
      <c r="H61" s="7" t="s">
        <v>10</v>
      </c>
      <c r="I61" s="11">
        <f t="shared" si="3"/>
        <v>-3.8436553559220266</v>
      </c>
      <c r="J61" s="11">
        <f t="shared" si="3"/>
        <v>0.85482523039324132</v>
      </c>
      <c r="K61" s="7" t="s">
        <v>10</v>
      </c>
      <c r="L61" s="11">
        <f t="shared" si="3"/>
        <v>-0.1624928807175352</v>
      </c>
      <c r="M61" s="7" t="s">
        <v>10</v>
      </c>
      <c r="N61" s="11">
        <f t="shared" si="3"/>
        <v>-3.7892374689835862</v>
      </c>
      <c r="O61" s="11">
        <f t="shared" si="3"/>
        <v>0.87349513638028675</v>
      </c>
      <c r="P61" s="7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2.2550954497822406</v>
      </c>
      <c r="C62" s="7" t="s">
        <v>10</v>
      </c>
      <c r="D62" s="7" t="s">
        <v>10</v>
      </c>
      <c r="E62" s="11">
        <f t="shared" ref="E62:O62" si="5">((E44/E33)^(1/11)-1)*100</f>
        <v>4.9963050501358408</v>
      </c>
      <c r="F62" s="7" t="s">
        <v>10</v>
      </c>
      <c r="G62" s="11">
        <f t="shared" si="5"/>
        <v>0.45819023474436005</v>
      </c>
      <c r="H62" s="7" t="s">
        <v>10</v>
      </c>
      <c r="I62" s="7" t="s">
        <v>10</v>
      </c>
      <c r="J62" s="11">
        <f t="shared" si="5"/>
        <v>2.6497904095038605</v>
      </c>
      <c r="K62" s="7" t="s">
        <v>10</v>
      </c>
      <c r="L62" s="11">
        <f t="shared" si="5"/>
        <v>0.44994466977847924</v>
      </c>
      <c r="M62" s="7" t="s">
        <v>10</v>
      </c>
      <c r="N62" s="7" t="s">
        <v>10</v>
      </c>
      <c r="O62" s="11">
        <f t="shared" si="5"/>
        <v>2.9915060669237103</v>
      </c>
      <c r="P62" s="7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3.8932127194629684</v>
      </c>
      <c r="C63" s="7" t="s">
        <v>10</v>
      </c>
      <c r="D63" s="7" t="s">
        <v>10</v>
      </c>
      <c r="E63" s="11">
        <f t="shared" ref="E63:O63" si="6">((E51/E44)^(1/7)-1)*100</f>
        <v>11.138331558432268</v>
      </c>
      <c r="F63" s="7" t="s">
        <v>10</v>
      </c>
      <c r="G63" s="11">
        <f t="shared" si="6"/>
        <v>1.3647815100081617</v>
      </c>
      <c r="H63" s="7" t="s">
        <v>10</v>
      </c>
      <c r="I63" s="7" t="s">
        <v>10</v>
      </c>
      <c r="J63" s="11">
        <f t="shared" si="6"/>
        <v>8.184062618028376</v>
      </c>
      <c r="K63" s="7" t="s">
        <v>10</v>
      </c>
      <c r="L63" s="11">
        <f t="shared" si="6"/>
        <v>1.3318249005230376</v>
      </c>
      <c r="M63" s="7" t="s">
        <v>10</v>
      </c>
      <c r="N63" s="7" t="s">
        <v>10</v>
      </c>
      <c r="O63" s="11">
        <f t="shared" si="6"/>
        <v>7.9447126553319869</v>
      </c>
      <c r="P63" s="7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8.8981756996764805</v>
      </c>
      <c r="C64" s="7" t="s">
        <v>10</v>
      </c>
      <c r="D64" s="7" t="s">
        <v>10</v>
      </c>
      <c r="E64" s="11">
        <f t="shared" ref="E64:O64" si="7">((E57/E51)^(1/6)-1)*100</f>
        <v>0.73703600110133216</v>
      </c>
      <c r="F64" s="7" t="s">
        <v>10</v>
      </c>
      <c r="G64" s="11">
        <f t="shared" si="7"/>
        <v>4.7191914058313245</v>
      </c>
      <c r="H64" s="7" t="s">
        <v>10</v>
      </c>
      <c r="I64" s="7" t="s">
        <v>10</v>
      </c>
      <c r="J64" s="11">
        <f t="shared" si="7"/>
        <v>-3.4349606562065871</v>
      </c>
      <c r="K64" s="7" t="s">
        <v>10</v>
      </c>
      <c r="L64" s="11">
        <f t="shared" si="7"/>
        <v>4.7077277792662464</v>
      </c>
      <c r="M64" s="7" t="s">
        <v>10</v>
      </c>
      <c r="N64" s="7" t="s">
        <v>10</v>
      </c>
      <c r="O64" s="11">
        <f t="shared" si="7"/>
        <v>-3.4349606562065871</v>
      </c>
      <c r="P64" s="7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6.1739535419655267</v>
      </c>
      <c r="C65" s="7" t="s">
        <v>10</v>
      </c>
      <c r="D65" s="7" t="s">
        <v>10</v>
      </c>
      <c r="E65" s="11">
        <f t="shared" ref="E65:O65" si="9">((E57/E44)^(1/13)-1)*100</f>
        <v>6.2105983158230682</v>
      </c>
      <c r="F65" s="7" t="s">
        <v>10</v>
      </c>
      <c r="G65" s="11">
        <f t="shared" si="9"/>
        <v>2.8994063689795402</v>
      </c>
      <c r="H65" s="7" t="s">
        <v>10</v>
      </c>
      <c r="I65" s="7" t="s">
        <v>10</v>
      </c>
      <c r="J65" s="11">
        <f t="shared" si="9"/>
        <v>2.6572026486477052</v>
      </c>
      <c r="K65" s="7" t="s">
        <v>10</v>
      </c>
      <c r="L65" s="11">
        <f t="shared" si="9"/>
        <v>2.8761922812560847</v>
      </c>
      <c r="M65" s="7" t="s">
        <v>10</v>
      </c>
      <c r="N65" s="7" t="s">
        <v>10</v>
      </c>
      <c r="O65" s="11">
        <f t="shared" si="9"/>
        <v>2.5348435954331006</v>
      </c>
      <c r="P65" s="7" t="s">
        <v>10</v>
      </c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  <c r="B68" s="231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6.140625" style="225" customWidth="1"/>
    <col min="13" max="16384" width="9.140625" style="225"/>
  </cols>
  <sheetData>
    <row r="1" spans="1:20" ht="29.25" customHeight="1">
      <c r="A1" s="454" t="s">
        <v>297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386.6</v>
      </c>
      <c r="C5" s="236" t="s">
        <v>9</v>
      </c>
      <c r="D5" s="236" t="s">
        <v>9</v>
      </c>
      <c r="E5" s="236">
        <v>0.3</v>
      </c>
      <c r="F5" s="236">
        <v>0.9</v>
      </c>
      <c r="G5" s="236">
        <v>3107.1</v>
      </c>
      <c r="H5" s="236" t="s">
        <v>9</v>
      </c>
      <c r="I5" s="236" t="s">
        <v>9</v>
      </c>
      <c r="J5" s="236">
        <v>2.6</v>
      </c>
      <c r="K5" s="236">
        <v>6.6</v>
      </c>
      <c r="L5" s="236">
        <v>3085.8</v>
      </c>
      <c r="M5" s="236" t="s">
        <v>9</v>
      </c>
      <c r="N5" s="236" t="s">
        <v>9</v>
      </c>
      <c r="O5" s="236">
        <v>2.6</v>
      </c>
      <c r="P5" s="236">
        <v>6.7</v>
      </c>
      <c r="Q5" s="249"/>
      <c r="R5" s="249"/>
      <c r="S5" s="249"/>
      <c r="T5" s="249"/>
    </row>
    <row r="6" spans="1:20">
      <c r="A6" s="248">
        <v>1962</v>
      </c>
      <c r="B6" s="236">
        <v>416.5</v>
      </c>
      <c r="C6" s="236" t="s">
        <v>9</v>
      </c>
      <c r="D6" s="236" t="s">
        <v>9</v>
      </c>
      <c r="E6" s="236">
        <v>0.3</v>
      </c>
      <c r="F6" s="236">
        <v>1</v>
      </c>
      <c r="G6" s="236">
        <v>3238</v>
      </c>
      <c r="H6" s="236" t="s">
        <v>9</v>
      </c>
      <c r="I6" s="236" t="s">
        <v>9</v>
      </c>
      <c r="J6" s="236">
        <v>2.6</v>
      </c>
      <c r="K6" s="236">
        <v>6.6</v>
      </c>
      <c r="L6" s="236">
        <v>3214.9</v>
      </c>
      <c r="M6" s="236" t="s">
        <v>9</v>
      </c>
      <c r="N6" s="236" t="s">
        <v>9</v>
      </c>
      <c r="O6" s="236">
        <v>2.6</v>
      </c>
      <c r="P6" s="236">
        <v>6.7</v>
      </c>
      <c r="Q6" s="249"/>
      <c r="R6" s="249"/>
      <c r="S6" s="249"/>
      <c r="T6" s="249"/>
    </row>
    <row r="7" spans="1:20">
      <c r="A7" s="248">
        <v>1963</v>
      </c>
      <c r="B7" s="236">
        <v>459.3</v>
      </c>
      <c r="C7" s="236" t="s">
        <v>9</v>
      </c>
      <c r="D7" s="236" t="s">
        <v>9</v>
      </c>
      <c r="E7" s="236">
        <v>0.4</v>
      </c>
      <c r="F7" s="236">
        <v>1</v>
      </c>
      <c r="G7" s="236">
        <v>3365.1</v>
      </c>
      <c r="H7" s="236" t="s">
        <v>9</v>
      </c>
      <c r="I7" s="236" t="s">
        <v>9</v>
      </c>
      <c r="J7" s="236">
        <v>2.6</v>
      </c>
      <c r="K7" s="236">
        <v>6.6</v>
      </c>
      <c r="L7" s="236">
        <v>3341</v>
      </c>
      <c r="M7" s="236" t="s">
        <v>9</v>
      </c>
      <c r="N7" s="236" t="s">
        <v>9</v>
      </c>
      <c r="O7" s="236">
        <v>2.6</v>
      </c>
      <c r="P7" s="236">
        <v>6.6</v>
      </c>
      <c r="Q7" s="249"/>
      <c r="R7" s="249"/>
      <c r="S7" s="249"/>
      <c r="T7" s="249"/>
    </row>
    <row r="8" spans="1:20">
      <c r="A8" s="248">
        <v>1964</v>
      </c>
      <c r="B8" s="236">
        <v>483.3</v>
      </c>
      <c r="C8" s="236" t="s">
        <v>9</v>
      </c>
      <c r="D8" s="236" t="s">
        <v>9</v>
      </c>
      <c r="E8" s="236">
        <v>0.4</v>
      </c>
      <c r="F8" s="236">
        <v>1</v>
      </c>
      <c r="G8" s="236">
        <v>3477.2</v>
      </c>
      <c r="H8" s="236" t="s">
        <v>9</v>
      </c>
      <c r="I8" s="236" t="s">
        <v>9</v>
      </c>
      <c r="J8" s="236">
        <v>2.6</v>
      </c>
      <c r="K8" s="236">
        <v>6.6</v>
      </c>
      <c r="L8" s="236">
        <v>3452.3</v>
      </c>
      <c r="M8" s="236" t="s">
        <v>9</v>
      </c>
      <c r="N8" s="236" t="s">
        <v>9</v>
      </c>
      <c r="O8" s="236">
        <v>2.6</v>
      </c>
      <c r="P8" s="236">
        <v>6.6</v>
      </c>
      <c r="Q8" s="249"/>
      <c r="R8" s="249"/>
      <c r="S8" s="249"/>
      <c r="T8" s="249"/>
    </row>
    <row r="9" spans="1:20">
      <c r="A9" s="248">
        <v>1965</v>
      </c>
      <c r="B9" s="236">
        <v>541.6</v>
      </c>
      <c r="C9" s="236" t="s">
        <v>9</v>
      </c>
      <c r="D9" s="236" t="s">
        <v>9</v>
      </c>
      <c r="E9" s="236">
        <v>0.4</v>
      </c>
      <c r="F9" s="236">
        <v>1.1000000000000001</v>
      </c>
      <c r="G9" s="236">
        <v>3570.7</v>
      </c>
      <c r="H9" s="236" t="s">
        <v>9</v>
      </c>
      <c r="I9" s="236" t="s">
        <v>9</v>
      </c>
      <c r="J9" s="236">
        <v>2.6</v>
      </c>
      <c r="K9" s="236">
        <v>6.8</v>
      </c>
      <c r="L9" s="236">
        <v>3546.1</v>
      </c>
      <c r="M9" s="236" t="s">
        <v>9</v>
      </c>
      <c r="N9" s="236" t="s">
        <v>9</v>
      </c>
      <c r="O9" s="236">
        <v>2.6</v>
      </c>
      <c r="P9" s="236">
        <v>6.8</v>
      </c>
      <c r="Q9" s="249"/>
      <c r="R9" s="249"/>
      <c r="S9" s="249"/>
      <c r="T9" s="249"/>
    </row>
    <row r="10" spans="1:20">
      <c r="A10" s="248">
        <v>1966</v>
      </c>
      <c r="B10" s="236">
        <v>596.9</v>
      </c>
      <c r="C10" s="236" t="s">
        <v>9</v>
      </c>
      <c r="D10" s="236" t="s">
        <v>9</v>
      </c>
      <c r="E10" s="236">
        <v>0.5</v>
      </c>
      <c r="F10" s="236">
        <v>1.2</v>
      </c>
      <c r="G10" s="236">
        <v>3690.5</v>
      </c>
      <c r="H10" s="236" t="s">
        <v>9</v>
      </c>
      <c r="I10" s="236" t="s">
        <v>9</v>
      </c>
      <c r="J10" s="236">
        <v>2.8</v>
      </c>
      <c r="K10" s="236">
        <v>7.1</v>
      </c>
      <c r="L10" s="236">
        <v>3666.6</v>
      </c>
      <c r="M10" s="236" t="s">
        <v>9</v>
      </c>
      <c r="N10" s="236" t="s">
        <v>9</v>
      </c>
      <c r="O10" s="236">
        <v>2.8</v>
      </c>
      <c r="P10" s="236">
        <v>7.2</v>
      </c>
      <c r="Q10" s="249"/>
      <c r="R10" s="249"/>
      <c r="S10" s="249"/>
      <c r="T10" s="249"/>
    </row>
    <row r="11" spans="1:20">
      <c r="A11" s="248">
        <v>1967</v>
      </c>
      <c r="B11" s="236">
        <v>637.79999999999995</v>
      </c>
      <c r="C11" s="236" t="s">
        <v>9</v>
      </c>
      <c r="D11" s="236" t="s">
        <v>9</v>
      </c>
      <c r="E11" s="236">
        <v>0.5</v>
      </c>
      <c r="F11" s="236">
        <v>1.3</v>
      </c>
      <c r="G11" s="236">
        <v>3841.1</v>
      </c>
      <c r="H11" s="236" t="s">
        <v>9</v>
      </c>
      <c r="I11" s="236" t="s">
        <v>9</v>
      </c>
      <c r="J11" s="236">
        <v>2.8</v>
      </c>
      <c r="K11" s="236">
        <v>7.2</v>
      </c>
      <c r="L11" s="236">
        <v>3816.2</v>
      </c>
      <c r="M11" s="236" t="s">
        <v>9</v>
      </c>
      <c r="N11" s="236" t="s">
        <v>9</v>
      </c>
      <c r="O11" s="236">
        <v>2.8</v>
      </c>
      <c r="P11" s="236">
        <v>7.3</v>
      </c>
      <c r="Q11" s="249"/>
      <c r="R11" s="249"/>
      <c r="S11" s="249"/>
      <c r="T11" s="249"/>
    </row>
    <row r="12" spans="1:20">
      <c r="A12" s="248">
        <v>1968</v>
      </c>
      <c r="B12" s="236">
        <v>668.3</v>
      </c>
      <c r="C12" s="236" t="s">
        <v>9</v>
      </c>
      <c r="D12" s="236" t="s">
        <v>9</v>
      </c>
      <c r="E12" s="236">
        <v>0.5</v>
      </c>
      <c r="F12" s="236">
        <v>1.3</v>
      </c>
      <c r="G12" s="236">
        <v>3997.2</v>
      </c>
      <c r="H12" s="236" t="s">
        <v>9</v>
      </c>
      <c r="I12" s="236" t="s">
        <v>9</v>
      </c>
      <c r="J12" s="236">
        <v>2.7</v>
      </c>
      <c r="K12" s="236">
        <v>7.3</v>
      </c>
      <c r="L12" s="236">
        <v>3971.9</v>
      </c>
      <c r="M12" s="236" t="s">
        <v>9</v>
      </c>
      <c r="N12" s="236" t="s">
        <v>9</v>
      </c>
      <c r="O12" s="236">
        <v>2.7</v>
      </c>
      <c r="P12" s="236">
        <v>7.3</v>
      </c>
      <c r="Q12" s="249"/>
      <c r="R12" s="249"/>
      <c r="S12" s="249"/>
      <c r="T12" s="249"/>
    </row>
    <row r="13" spans="1:20">
      <c r="A13" s="248">
        <v>1969</v>
      </c>
      <c r="B13" s="236">
        <v>727.6</v>
      </c>
      <c r="C13" s="236" t="s">
        <v>9</v>
      </c>
      <c r="D13" s="236" t="s">
        <v>9</v>
      </c>
      <c r="E13" s="236">
        <v>0.5</v>
      </c>
      <c r="F13" s="236">
        <v>1.3</v>
      </c>
      <c r="G13" s="236">
        <v>4165.6000000000004</v>
      </c>
      <c r="H13" s="236" t="s">
        <v>9</v>
      </c>
      <c r="I13" s="236" t="s">
        <v>9</v>
      </c>
      <c r="J13" s="236">
        <v>2.9</v>
      </c>
      <c r="K13" s="236">
        <v>7.3</v>
      </c>
      <c r="L13" s="236">
        <v>4142.2</v>
      </c>
      <c r="M13" s="236" t="s">
        <v>9</v>
      </c>
      <c r="N13" s="236" t="s">
        <v>9</v>
      </c>
      <c r="O13" s="236">
        <v>2.9</v>
      </c>
      <c r="P13" s="236">
        <v>7.3</v>
      </c>
      <c r="Q13" s="249"/>
      <c r="R13" s="249"/>
      <c r="S13" s="249"/>
      <c r="T13" s="249"/>
    </row>
    <row r="14" spans="1:20">
      <c r="A14" s="248">
        <v>1970</v>
      </c>
      <c r="B14" s="236">
        <v>797.7</v>
      </c>
      <c r="C14" s="236" t="s">
        <v>9</v>
      </c>
      <c r="D14" s="236" t="s">
        <v>9</v>
      </c>
      <c r="E14" s="236">
        <v>0.6</v>
      </c>
      <c r="F14" s="236">
        <v>1.4</v>
      </c>
      <c r="G14" s="236">
        <v>4352.7</v>
      </c>
      <c r="H14" s="236" t="s">
        <v>9</v>
      </c>
      <c r="I14" s="236" t="s">
        <v>9</v>
      </c>
      <c r="J14" s="236">
        <v>3</v>
      </c>
      <c r="K14" s="236">
        <v>7.3</v>
      </c>
      <c r="L14" s="236">
        <v>4334</v>
      </c>
      <c r="M14" s="236" t="s">
        <v>9</v>
      </c>
      <c r="N14" s="236" t="s">
        <v>9</v>
      </c>
      <c r="O14" s="236">
        <v>3</v>
      </c>
      <c r="P14" s="236">
        <v>7.3</v>
      </c>
      <c r="Q14" s="249"/>
      <c r="R14" s="249"/>
      <c r="S14" s="249"/>
      <c r="T14" s="249"/>
    </row>
    <row r="15" spans="1:20">
      <c r="A15" s="248">
        <v>1971</v>
      </c>
      <c r="B15" s="236">
        <v>883.8</v>
      </c>
      <c r="C15" s="236" t="s">
        <v>9</v>
      </c>
      <c r="D15" s="236" t="s">
        <v>9</v>
      </c>
      <c r="E15" s="236">
        <v>0.6</v>
      </c>
      <c r="F15" s="236">
        <v>1.6</v>
      </c>
      <c r="G15" s="236">
        <v>4582.2</v>
      </c>
      <c r="H15" s="236" t="s">
        <v>9</v>
      </c>
      <c r="I15" s="236" t="s">
        <v>9</v>
      </c>
      <c r="J15" s="236">
        <v>3</v>
      </c>
      <c r="K15" s="236">
        <v>7.6</v>
      </c>
      <c r="L15" s="236">
        <v>4566.1000000000004</v>
      </c>
      <c r="M15" s="236" t="s">
        <v>9</v>
      </c>
      <c r="N15" s="236" t="s">
        <v>9</v>
      </c>
      <c r="O15" s="236">
        <v>3</v>
      </c>
      <c r="P15" s="236">
        <v>7.6</v>
      </c>
      <c r="Q15" s="249"/>
      <c r="R15" s="249"/>
      <c r="S15" s="249"/>
      <c r="T15" s="249"/>
    </row>
    <row r="16" spans="1:20">
      <c r="A16" s="248">
        <v>1972</v>
      </c>
      <c r="B16" s="236">
        <v>991.6</v>
      </c>
      <c r="C16" s="236" t="s">
        <v>9</v>
      </c>
      <c r="D16" s="236" t="s">
        <v>9</v>
      </c>
      <c r="E16" s="236">
        <v>0.6</v>
      </c>
      <c r="F16" s="236">
        <v>1.7</v>
      </c>
      <c r="G16" s="236">
        <v>4839</v>
      </c>
      <c r="H16" s="236" t="s">
        <v>9</v>
      </c>
      <c r="I16" s="236" t="s">
        <v>9</v>
      </c>
      <c r="J16" s="236">
        <v>3</v>
      </c>
      <c r="K16" s="236">
        <v>7.8</v>
      </c>
      <c r="L16" s="236">
        <v>4822.1000000000004</v>
      </c>
      <c r="M16" s="236" t="s">
        <v>9</v>
      </c>
      <c r="N16" s="236" t="s">
        <v>9</v>
      </c>
      <c r="O16" s="236">
        <v>3</v>
      </c>
      <c r="P16" s="236">
        <v>7.8</v>
      </c>
      <c r="Q16" s="249"/>
      <c r="R16" s="249"/>
      <c r="S16" s="249"/>
      <c r="T16" s="249"/>
    </row>
    <row r="17" spans="1:20">
      <c r="A17" s="248">
        <v>1973</v>
      </c>
      <c r="B17" s="236">
        <v>1123.7</v>
      </c>
      <c r="C17" s="236" t="s">
        <v>9</v>
      </c>
      <c r="D17" s="236" t="s">
        <v>9</v>
      </c>
      <c r="E17" s="236">
        <v>0.7</v>
      </c>
      <c r="F17" s="236">
        <v>1.9</v>
      </c>
      <c r="G17" s="236">
        <v>5070.8999999999996</v>
      </c>
      <c r="H17" s="236" t="s">
        <v>9</v>
      </c>
      <c r="I17" s="236" t="s">
        <v>9</v>
      </c>
      <c r="J17" s="236">
        <v>3.3</v>
      </c>
      <c r="K17" s="236">
        <v>8.1</v>
      </c>
      <c r="L17" s="236">
        <v>5050.5</v>
      </c>
      <c r="M17" s="236" t="s">
        <v>9</v>
      </c>
      <c r="N17" s="236" t="s">
        <v>9</v>
      </c>
      <c r="O17" s="236">
        <v>3.3</v>
      </c>
      <c r="P17" s="236">
        <v>8.1</v>
      </c>
      <c r="Q17" s="249"/>
      <c r="R17" s="249"/>
      <c r="S17" s="249"/>
      <c r="T17" s="249"/>
    </row>
    <row r="18" spans="1:20">
      <c r="A18" s="248">
        <v>1974</v>
      </c>
      <c r="B18" s="236">
        <v>1418.8</v>
      </c>
      <c r="C18" s="236" t="s">
        <v>9</v>
      </c>
      <c r="D18" s="236" t="s">
        <v>9</v>
      </c>
      <c r="E18" s="236">
        <v>1</v>
      </c>
      <c r="F18" s="236">
        <v>2.4</v>
      </c>
      <c r="G18" s="236">
        <v>5274.8</v>
      </c>
      <c r="H18" s="236" t="s">
        <v>9</v>
      </c>
      <c r="I18" s="236" t="s">
        <v>9</v>
      </c>
      <c r="J18" s="236">
        <v>3.7</v>
      </c>
      <c r="K18" s="236">
        <v>8.4</v>
      </c>
      <c r="L18" s="236">
        <v>5255.3</v>
      </c>
      <c r="M18" s="236" t="s">
        <v>9</v>
      </c>
      <c r="N18" s="236" t="s">
        <v>9</v>
      </c>
      <c r="O18" s="236">
        <v>3.7</v>
      </c>
      <c r="P18" s="236">
        <v>8.3000000000000007</v>
      </c>
      <c r="Q18" s="249"/>
      <c r="R18" s="249"/>
      <c r="S18" s="249"/>
      <c r="T18" s="249"/>
    </row>
    <row r="19" spans="1:20">
      <c r="A19" s="248">
        <v>1975</v>
      </c>
      <c r="B19" s="236">
        <v>1671.5</v>
      </c>
      <c r="C19" s="236" t="s">
        <v>9</v>
      </c>
      <c r="D19" s="236" t="s">
        <v>9</v>
      </c>
      <c r="E19" s="236">
        <v>1.3</v>
      </c>
      <c r="F19" s="236">
        <v>2.8</v>
      </c>
      <c r="G19" s="236">
        <v>5507.7</v>
      </c>
      <c r="H19" s="236" t="s">
        <v>9</v>
      </c>
      <c r="I19" s="236" t="s">
        <v>9</v>
      </c>
      <c r="J19" s="236">
        <v>4.0999999999999996</v>
      </c>
      <c r="K19" s="236">
        <v>8.6999999999999993</v>
      </c>
      <c r="L19" s="236">
        <v>5488.9</v>
      </c>
      <c r="M19" s="236" t="s">
        <v>9</v>
      </c>
      <c r="N19" s="236" t="s">
        <v>9</v>
      </c>
      <c r="O19" s="236">
        <v>4</v>
      </c>
      <c r="P19" s="236">
        <v>8.6999999999999993</v>
      </c>
      <c r="Q19" s="249"/>
      <c r="R19" s="249"/>
      <c r="S19" s="249"/>
      <c r="T19" s="249"/>
    </row>
    <row r="20" spans="1:20">
      <c r="A20" s="248">
        <v>1976</v>
      </c>
      <c r="B20" s="236">
        <v>1876.6</v>
      </c>
      <c r="C20" s="236" t="s">
        <v>9</v>
      </c>
      <c r="D20" s="236" t="s">
        <v>9</v>
      </c>
      <c r="E20" s="236">
        <v>1.4</v>
      </c>
      <c r="F20" s="236">
        <v>3.1</v>
      </c>
      <c r="G20" s="236">
        <v>5742.1</v>
      </c>
      <c r="H20" s="236" t="s">
        <v>9</v>
      </c>
      <c r="I20" s="236" t="s">
        <v>9</v>
      </c>
      <c r="J20" s="236">
        <v>4.2</v>
      </c>
      <c r="K20" s="236">
        <v>8.9</v>
      </c>
      <c r="L20" s="236">
        <v>5723.6</v>
      </c>
      <c r="M20" s="236" t="s">
        <v>9</v>
      </c>
      <c r="N20" s="236" t="s">
        <v>9</v>
      </c>
      <c r="O20" s="236">
        <v>4.2</v>
      </c>
      <c r="P20" s="236">
        <v>8.8000000000000007</v>
      </c>
      <c r="Q20" s="249"/>
      <c r="R20" s="249"/>
      <c r="S20" s="249"/>
      <c r="T20" s="249"/>
    </row>
    <row r="21" spans="1:20">
      <c r="A21" s="248">
        <v>1977</v>
      </c>
      <c r="B21" s="236">
        <v>2085.6999999999998</v>
      </c>
      <c r="C21" s="236" t="s">
        <v>9</v>
      </c>
      <c r="D21" s="236" t="s">
        <v>9</v>
      </c>
      <c r="E21" s="236">
        <v>1.6</v>
      </c>
      <c r="F21" s="236">
        <v>3.2</v>
      </c>
      <c r="G21" s="236">
        <v>5932.3</v>
      </c>
      <c r="H21" s="236" t="s">
        <v>9</v>
      </c>
      <c r="I21" s="236" t="s">
        <v>9</v>
      </c>
      <c r="J21" s="236">
        <v>4.4000000000000004</v>
      </c>
      <c r="K21" s="236">
        <v>8.6</v>
      </c>
      <c r="L21" s="236">
        <v>5914.8</v>
      </c>
      <c r="M21" s="236" t="s">
        <v>9</v>
      </c>
      <c r="N21" s="236" t="s">
        <v>9</v>
      </c>
      <c r="O21" s="236">
        <v>4.4000000000000004</v>
      </c>
      <c r="P21" s="236">
        <v>8.6</v>
      </c>
      <c r="Q21" s="249"/>
      <c r="R21" s="249"/>
      <c r="S21" s="249"/>
      <c r="T21" s="249"/>
    </row>
    <row r="22" spans="1:20">
      <c r="A22" s="248">
        <v>1978</v>
      </c>
      <c r="B22" s="236">
        <v>2325.4</v>
      </c>
      <c r="C22" s="236" t="s">
        <v>9</v>
      </c>
      <c r="D22" s="236" t="s">
        <v>9</v>
      </c>
      <c r="E22" s="236">
        <v>1.7</v>
      </c>
      <c r="F22" s="236">
        <v>3.3</v>
      </c>
      <c r="G22" s="236">
        <v>6088.8</v>
      </c>
      <c r="H22" s="236" t="s">
        <v>9</v>
      </c>
      <c r="I22" s="236" t="s">
        <v>9</v>
      </c>
      <c r="J22" s="236">
        <v>4.5</v>
      </c>
      <c r="K22" s="236">
        <v>8.4</v>
      </c>
      <c r="L22" s="236">
        <v>6072.6</v>
      </c>
      <c r="M22" s="236" t="s">
        <v>9</v>
      </c>
      <c r="N22" s="236" t="s">
        <v>9</v>
      </c>
      <c r="O22" s="236">
        <v>4.5</v>
      </c>
      <c r="P22" s="236">
        <v>8.3000000000000007</v>
      </c>
      <c r="Q22" s="249"/>
      <c r="R22" s="249"/>
      <c r="S22" s="249"/>
      <c r="T22" s="249"/>
    </row>
    <row r="23" spans="1:20">
      <c r="A23" s="248">
        <v>1979</v>
      </c>
      <c r="B23" s="236">
        <v>2589.1999999999998</v>
      </c>
      <c r="C23" s="236" t="s">
        <v>9</v>
      </c>
      <c r="D23" s="236" t="s">
        <v>9</v>
      </c>
      <c r="E23" s="236">
        <v>1.9</v>
      </c>
      <c r="F23" s="236">
        <v>3.6</v>
      </c>
      <c r="G23" s="236">
        <v>6189.6</v>
      </c>
      <c r="H23" s="236" t="s">
        <v>9</v>
      </c>
      <c r="I23" s="236" t="s">
        <v>9</v>
      </c>
      <c r="J23" s="236">
        <v>4.5</v>
      </c>
      <c r="K23" s="236">
        <v>8.3000000000000007</v>
      </c>
      <c r="L23" s="236">
        <v>6177.5</v>
      </c>
      <c r="M23" s="236" t="s">
        <v>9</v>
      </c>
      <c r="N23" s="236" t="s">
        <v>9</v>
      </c>
      <c r="O23" s="236">
        <v>4.5</v>
      </c>
      <c r="P23" s="236">
        <v>8.1999999999999993</v>
      </c>
      <c r="Q23" s="249"/>
      <c r="R23" s="249"/>
      <c r="S23" s="249"/>
      <c r="T23" s="249"/>
    </row>
    <row r="24" spans="1:20">
      <c r="A24" s="248">
        <v>1980</v>
      </c>
      <c r="B24" s="236">
        <v>2889.5</v>
      </c>
      <c r="C24" s="236" t="s">
        <v>9</v>
      </c>
      <c r="D24" s="236" t="s">
        <v>9</v>
      </c>
      <c r="E24" s="236">
        <v>2.2000000000000002</v>
      </c>
      <c r="F24" s="236">
        <v>3.9</v>
      </c>
      <c r="G24" s="236">
        <v>6260.1</v>
      </c>
      <c r="H24" s="236" t="s">
        <v>9</v>
      </c>
      <c r="I24" s="236" t="s">
        <v>9</v>
      </c>
      <c r="J24" s="236">
        <v>4.5999999999999996</v>
      </c>
      <c r="K24" s="236">
        <v>8.1</v>
      </c>
      <c r="L24" s="236">
        <v>6252.5</v>
      </c>
      <c r="M24" s="236" t="s">
        <v>9</v>
      </c>
      <c r="N24" s="236" t="s">
        <v>9</v>
      </c>
      <c r="O24" s="236">
        <v>4.5999999999999996</v>
      </c>
      <c r="P24" s="236">
        <v>8.1</v>
      </c>
      <c r="Q24" s="249"/>
      <c r="R24" s="249"/>
      <c r="S24" s="249"/>
      <c r="T24" s="249"/>
    </row>
    <row r="25" spans="1:20">
      <c r="A25" s="248">
        <v>1981</v>
      </c>
      <c r="B25" s="236">
        <v>3330</v>
      </c>
      <c r="C25" s="236" t="s">
        <v>9</v>
      </c>
      <c r="D25" s="236" t="s">
        <v>9</v>
      </c>
      <c r="E25" s="236">
        <v>2.6</v>
      </c>
      <c r="F25" s="236">
        <v>4.4000000000000004</v>
      </c>
      <c r="G25" s="236">
        <v>6358.9</v>
      </c>
      <c r="H25" s="236" t="s">
        <v>9</v>
      </c>
      <c r="I25" s="236" t="s">
        <v>9</v>
      </c>
      <c r="J25" s="236">
        <v>4.7</v>
      </c>
      <c r="K25" s="236">
        <v>8.1</v>
      </c>
      <c r="L25" s="236">
        <v>6353.8</v>
      </c>
      <c r="M25" s="236" t="s">
        <v>9</v>
      </c>
      <c r="N25" s="236" t="s">
        <v>9</v>
      </c>
      <c r="O25" s="236">
        <v>4.7</v>
      </c>
      <c r="P25" s="236">
        <v>8</v>
      </c>
      <c r="Q25" s="249"/>
      <c r="R25" s="249"/>
      <c r="S25" s="249"/>
      <c r="T25" s="249"/>
    </row>
    <row r="26" spans="1:20">
      <c r="A26" s="248">
        <v>1982</v>
      </c>
      <c r="B26" s="236">
        <v>3626.1</v>
      </c>
      <c r="C26" s="236" t="s">
        <v>9</v>
      </c>
      <c r="D26" s="236" t="s">
        <v>9</v>
      </c>
      <c r="E26" s="236">
        <v>2.6</v>
      </c>
      <c r="F26" s="236">
        <v>4.9000000000000004</v>
      </c>
      <c r="G26" s="236">
        <v>6494.9</v>
      </c>
      <c r="H26" s="236" t="s">
        <v>9</v>
      </c>
      <c r="I26" s="236" t="s">
        <v>9</v>
      </c>
      <c r="J26" s="236">
        <v>4.7</v>
      </c>
      <c r="K26" s="236">
        <v>8.4</v>
      </c>
      <c r="L26" s="236">
        <v>6489.7</v>
      </c>
      <c r="M26" s="236" t="s">
        <v>9</v>
      </c>
      <c r="N26" s="236" t="s">
        <v>9</v>
      </c>
      <c r="O26" s="236">
        <v>4.5999999999999996</v>
      </c>
      <c r="P26" s="236">
        <v>8.3000000000000007</v>
      </c>
      <c r="Q26" s="249"/>
      <c r="R26" s="249"/>
      <c r="S26" s="249"/>
      <c r="T26" s="249"/>
    </row>
    <row r="27" spans="1:20">
      <c r="A27" s="248">
        <v>1983</v>
      </c>
      <c r="B27" s="236">
        <v>3831.8</v>
      </c>
      <c r="C27" s="236" t="s">
        <v>9</v>
      </c>
      <c r="D27" s="236" t="s">
        <v>9</v>
      </c>
      <c r="E27" s="236">
        <v>2.6</v>
      </c>
      <c r="F27" s="236">
        <v>5.3</v>
      </c>
      <c r="G27" s="236">
        <v>6592</v>
      </c>
      <c r="H27" s="236" t="s">
        <v>9</v>
      </c>
      <c r="I27" s="236" t="s">
        <v>9</v>
      </c>
      <c r="J27" s="236">
        <v>4.5</v>
      </c>
      <c r="K27" s="236">
        <v>8.9</v>
      </c>
      <c r="L27" s="236">
        <v>6586.7</v>
      </c>
      <c r="M27" s="236" t="s">
        <v>9</v>
      </c>
      <c r="N27" s="236" t="s">
        <v>9</v>
      </c>
      <c r="O27" s="236">
        <v>4.5</v>
      </c>
      <c r="P27" s="236">
        <v>8.8000000000000007</v>
      </c>
      <c r="Q27" s="249"/>
      <c r="R27" s="249"/>
      <c r="S27" s="249"/>
      <c r="T27" s="249"/>
    </row>
    <row r="28" spans="1:20">
      <c r="A28" s="248">
        <v>1984</v>
      </c>
      <c r="B28" s="236">
        <v>4008.1</v>
      </c>
      <c r="C28" s="236" t="s">
        <v>9</v>
      </c>
      <c r="D28" s="236" t="s">
        <v>9</v>
      </c>
      <c r="E28" s="236">
        <v>2.7</v>
      </c>
      <c r="F28" s="236">
        <v>5.7</v>
      </c>
      <c r="G28" s="236">
        <v>6640.9</v>
      </c>
      <c r="H28" s="236" t="s">
        <v>9</v>
      </c>
      <c r="I28" s="236" t="s">
        <v>9</v>
      </c>
      <c r="J28" s="236">
        <v>4.4000000000000004</v>
      </c>
      <c r="K28" s="236">
        <v>9.1999999999999993</v>
      </c>
      <c r="L28" s="236">
        <v>6636</v>
      </c>
      <c r="M28" s="236" t="s">
        <v>9</v>
      </c>
      <c r="N28" s="236" t="s">
        <v>9</v>
      </c>
      <c r="O28" s="236">
        <v>4.4000000000000004</v>
      </c>
      <c r="P28" s="236">
        <v>9.1999999999999993</v>
      </c>
      <c r="Q28" s="249"/>
      <c r="R28" s="249"/>
      <c r="S28" s="249"/>
      <c r="T28" s="249"/>
    </row>
    <row r="29" spans="1:20">
      <c r="A29" s="248">
        <v>1985</v>
      </c>
      <c r="B29" s="236">
        <v>4246.5</v>
      </c>
      <c r="C29" s="236" t="s">
        <v>9</v>
      </c>
      <c r="D29" s="236" t="s">
        <v>9</v>
      </c>
      <c r="E29" s="236">
        <v>2.8</v>
      </c>
      <c r="F29" s="236">
        <v>6</v>
      </c>
      <c r="G29" s="236">
        <v>6691.9</v>
      </c>
      <c r="H29" s="236" t="s">
        <v>9</v>
      </c>
      <c r="I29" s="236" t="s">
        <v>9</v>
      </c>
      <c r="J29" s="236">
        <v>4.3</v>
      </c>
      <c r="K29" s="236">
        <v>9.1999999999999993</v>
      </c>
      <c r="L29" s="236">
        <v>6687.8</v>
      </c>
      <c r="M29" s="236" t="s">
        <v>9</v>
      </c>
      <c r="N29" s="236" t="s">
        <v>9</v>
      </c>
      <c r="O29" s="236">
        <v>4.3</v>
      </c>
      <c r="P29" s="236">
        <v>9.1999999999999993</v>
      </c>
      <c r="Q29" s="249"/>
      <c r="R29" s="249"/>
      <c r="S29" s="249"/>
      <c r="T29" s="249"/>
    </row>
    <row r="30" spans="1:20">
      <c r="A30" s="248">
        <v>1986</v>
      </c>
      <c r="B30" s="236">
        <v>4310.3999999999996</v>
      </c>
      <c r="C30" s="236" t="s">
        <v>9</v>
      </c>
      <c r="D30" s="236" t="s">
        <v>9</v>
      </c>
      <c r="E30" s="236">
        <v>2.7</v>
      </c>
      <c r="F30" s="236">
        <v>5.9</v>
      </c>
      <c r="G30" s="236">
        <v>6752.4</v>
      </c>
      <c r="H30" s="236" t="s">
        <v>9</v>
      </c>
      <c r="I30" s="236" t="s">
        <v>9</v>
      </c>
      <c r="J30" s="236">
        <v>4.2</v>
      </c>
      <c r="K30" s="236">
        <v>9</v>
      </c>
      <c r="L30" s="236">
        <v>6751.6</v>
      </c>
      <c r="M30" s="236" t="s">
        <v>9</v>
      </c>
      <c r="N30" s="236" t="s">
        <v>9</v>
      </c>
      <c r="O30" s="236">
        <v>4.2</v>
      </c>
      <c r="P30" s="236">
        <v>9</v>
      </c>
      <c r="Q30" s="249"/>
      <c r="R30" s="249"/>
      <c r="S30" s="249"/>
      <c r="T30" s="249"/>
    </row>
    <row r="31" spans="1:20">
      <c r="A31" s="248">
        <v>1987</v>
      </c>
      <c r="B31" s="236">
        <v>4544.8</v>
      </c>
      <c r="C31" s="236" t="s">
        <v>9</v>
      </c>
      <c r="D31" s="236" t="s">
        <v>9</v>
      </c>
      <c r="E31" s="236">
        <v>2.8</v>
      </c>
      <c r="F31" s="236">
        <v>6.1</v>
      </c>
      <c r="G31" s="236">
        <v>6844.1</v>
      </c>
      <c r="H31" s="236" t="s">
        <v>9</v>
      </c>
      <c r="I31" s="236" t="s">
        <v>9</v>
      </c>
      <c r="J31" s="236">
        <v>4.0999999999999996</v>
      </c>
      <c r="K31" s="236">
        <v>9</v>
      </c>
      <c r="L31" s="236">
        <v>6850.9</v>
      </c>
      <c r="M31" s="236" t="s">
        <v>9</v>
      </c>
      <c r="N31" s="236" t="s">
        <v>9</v>
      </c>
      <c r="O31" s="236">
        <v>4.0999999999999996</v>
      </c>
      <c r="P31" s="236">
        <v>9</v>
      </c>
      <c r="Q31" s="249"/>
      <c r="R31" s="249"/>
      <c r="S31" s="249"/>
      <c r="T31" s="249"/>
    </row>
    <row r="32" spans="1:20">
      <c r="A32" s="248">
        <v>1988</v>
      </c>
      <c r="B32" s="236">
        <v>4848.1000000000004</v>
      </c>
      <c r="C32" s="236" t="s">
        <v>9</v>
      </c>
      <c r="D32" s="236" t="s">
        <v>9</v>
      </c>
      <c r="E32" s="236">
        <v>2.9</v>
      </c>
      <c r="F32" s="236">
        <v>6.6</v>
      </c>
      <c r="G32" s="236">
        <v>6972.2</v>
      </c>
      <c r="H32" s="236" t="s">
        <v>9</v>
      </c>
      <c r="I32" s="236" t="s">
        <v>9</v>
      </c>
      <c r="J32" s="236">
        <v>4.0999999999999996</v>
      </c>
      <c r="K32" s="236">
        <v>9.3000000000000007</v>
      </c>
      <c r="L32" s="236">
        <v>6987.1</v>
      </c>
      <c r="M32" s="236" t="s">
        <v>9</v>
      </c>
      <c r="N32" s="236" t="s">
        <v>9</v>
      </c>
      <c r="O32" s="236">
        <v>4.0999999999999996</v>
      </c>
      <c r="P32" s="236">
        <v>9.3000000000000007</v>
      </c>
      <c r="Q32" s="249"/>
      <c r="R32" s="249"/>
      <c r="S32" s="249"/>
      <c r="T32" s="249"/>
    </row>
    <row r="33" spans="1:20">
      <c r="A33" s="248">
        <v>1989</v>
      </c>
      <c r="B33" s="236">
        <v>5119.8999999999996</v>
      </c>
      <c r="C33" s="236" t="s">
        <v>9</v>
      </c>
      <c r="D33" s="236" t="s">
        <v>9</v>
      </c>
      <c r="E33" s="236">
        <v>3</v>
      </c>
      <c r="F33" s="236">
        <v>6.9</v>
      </c>
      <c r="G33" s="236">
        <v>7129.7</v>
      </c>
      <c r="H33" s="236" t="s">
        <v>9</v>
      </c>
      <c r="I33" s="236" t="s">
        <v>9</v>
      </c>
      <c r="J33" s="236">
        <v>4.0999999999999996</v>
      </c>
      <c r="K33" s="236">
        <v>9.6</v>
      </c>
      <c r="L33" s="236">
        <v>7150.6</v>
      </c>
      <c r="M33" s="236" t="s">
        <v>9</v>
      </c>
      <c r="N33" s="236" t="s">
        <v>9</v>
      </c>
      <c r="O33" s="236">
        <v>4</v>
      </c>
      <c r="P33" s="236">
        <v>9.5</v>
      </c>
      <c r="Q33" s="249"/>
      <c r="R33" s="249"/>
      <c r="S33" s="249"/>
      <c r="T33" s="249"/>
    </row>
    <row r="34" spans="1:20">
      <c r="A34" s="248">
        <v>1990</v>
      </c>
      <c r="B34" s="236">
        <v>5353</v>
      </c>
      <c r="C34" s="236" t="s">
        <v>9</v>
      </c>
      <c r="D34" s="236" t="s">
        <v>9</v>
      </c>
      <c r="E34" s="236">
        <v>2.8</v>
      </c>
      <c r="F34" s="236">
        <v>7.1</v>
      </c>
      <c r="G34" s="236">
        <v>7306.6</v>
      </c>
      <c r="H34" s="236" t="s">
        <v>9</v>
      </c>
      <c r="I34" s="236" t="s">
        <v>9</v>
      </c>
      <c r="J34" s="236">
        <v>3.9</v>
      </c>
      <c r="K34" s="236">
        <v>9.5</v>
      </c>
      <c r="L34" s="236">
        <v>7334.9</v>
      </c>
      <c r="M34" s="236" t="s">
        <v>9</v>
      </c>
      <c r="N34" s="236" t="s">
        <v>9</v>
      </c>
      <c r="O34" s="236">
        <v>3.9</v>
      </c>
      <c r="P34" s="236">
        <v>9.5</v>
      </c>
      <c r="Q34" s="249"/>
      <c r="R34" s="249"/>
      <c r="S34" s="249"/>
      <c r="T34" s="249"/>
    </row>
    <row r="35" spans="1:20">
      <c r="A35" s="248">
        <v>1991</v>
      </c>
      <c r="B35" s="236">
        <v>5443.5</v>
      </c>
      <c r="C35" s="236" t="s">
        <v>9</v>
      </c>
      <c r="D35" s="236" t="s">
        <v>9</v>
      </c>
      <c r="E35" s="236">
        <v>2.7</v>
      </c>
      <c r="F35" s="236">
        <v>6.8</v>
      </c>
      <c r="G35" s="236">
        <v>7534.7</v>
      </c>
      <c r="H35" s="236" t="s">
        <v>9</v>
      </c>
      <c r="I35" s="236" t="s">
        <v>9</v>
      </c>
      <c r="J35" s="236">
        <v>3.8</v>
      </c>
      <c r="K35" s="236">
        <v>9.1</v>
      </c>
      <c r="L35" s="236">
        <v>7568.4</v>
      </c>
      <c r="M35" s="236" t="s">
        <v>9</v>
      </c>
      <c r="N35" s="236" t="s">
        <v>9</v>
      </c>
      <c r="O35" s="236">
        <v>3.8</v>
      </c>
      <c r="P35" s="236">
        <v>9.1</v>
      </c>
      <c r="Q35" s="249"/>
      <c r="R35" s="249"/>
      <c r="S35" s="249"/>
      <c r="T35" s="249"/>
    </row>
    <row r="36" spans="1:20">
      <c r="A36" s="248">
        <v>1992</v>
      </c>
      <c r="B36" s="236">
        <v>5511.5</v>
      </c>
      <c r="C36" s="236" t="s">
        <v>9</v>
      </c>
      <c r="D36" s="236" t="s">
        <v>9</v>
      </c>
      <c r="E36" s="236">
        <v>2.4</v>
      </c>
      <c r="F36" s="236">
        <v>6.5</v>
      </c>
      <c r="G36" s="236">
        <v>7783.7</v>
      </c>
      <c r="H36" s="236" t="s">
        <v>9</v>
      </c>
      <c r="I36" s="236" t="s">
        <v>9</v>
      </c>
      <c r="J36" s="236">
        <v>3.6</v>
      </c>
      <c r="K36" s="236">
        <v>8.9</v>
      </c>
      <c r="L36" s="236">
        <v>7821.2</v>
      </c>
      <c r="M36" s="236" t="s">
        <v>9</v>
      </c>
      <c r="N36" s="236" t="s">
        <v>9</v>
      </c>
      <c r="O36" s="236">
        <v>3.6</v>
      </c>
      <c r="P36" s="236">
        <v>8.9</v>
      </c>
      <c r="Q36" s="249"/>
      <c r="R36" s="249"/>
      <c r="S36" s="249"/>
      <c r="T36" s="249"/>
    </row>
    <row r="37" spans="1:20">
      <c r="A37" s="248">
        <v>1993</v>
      </c>
      <c r="B37" s="236">
        <v>5489.7</v>
      </c>
      <c r="C37" s="236" t="s">
        <v>9</v>
      </c>
      <c r="D37" s="236" t="s">
        <v>9</v>
      </c>
      <c r="E37" s="236">
        <v>2.2999999999999998</v>
      </c>
      <c r="F37" s="236">
        <v>6.4</v>
      </c>
      <c r="G37" s="236">
        <v>7949.9</v>
      </c>
      <c r="H37" s="236" t="s">
        <v>9</v>
      </c>
      <c r="I37" s="236" t="s">
        <v>9</v>
      </c>
      <c r="J37" s="236">
        <v>3.4</v>
      </c>
      <c r="K37" s="236">
        <v>9.1</v>
      </c>
      <c r="L37" s="236">
        <v>7989.8</v>
      </c>
      <c r="M37" s="236" t="s">
        <v>9</v>
      </c>
      <c r="N37" s="236" t="s">
        <v>9</v>
      </c>
      <c r="O37" s="236">
        <v>3.4</v>
      </c>
      <c r="P37" s="236">
        <v>9.1999999999999993</v>
      </c>
      <c r="Q37" s="249"/>
      <c r="R37" s="249"/>
      <c r="S37" s="249"/>
      <c r="T37" s="249"/>
    </row>
    <row r="38" spans="1:20">
      <c r="A38" s="248">
        <v>1994</v>
      </c>
      <c r="B38" s="236">
        <v>5740.6</v>
      </c>
      <c r="C38" s="236" t="s">
        <v>9</v>
      </c>
      <c r="D38" s="236" t="s">
        <v>9</v>
      </c>
      <c r="E38" s="236">
        <v>2.4</v>
      </c>
      <c r="F38" s="236">
        <v>7.1</v>
      </c>
      <c r="G38" s="236">
        <v>8039.8</v>
      </c>
      <c r="H38" s="236" t="s">
        <v>9</v>
      </c>
      <c r="I38" s="236" t="s">
        <v>9</v>
      </c>
      <c r="J38" s="236">
        <v>3.4</v>
      </c>
      <c r="K38" s="236">
        <v>9.6999999999999993</v>
      </c>
      <c r="L38" s="236">
        <v>8078.6</v>
      </c>
      <c r="M38" s="236" t="s">
        <v>9</v>
      </c>
      <c r="N38" s="236" t="s">
        <v>9</v>
      </c>
      <c r="O38" s="236">
        <v>3.4</v>
      </c>
      <c r="P38" s="236">
        <v>9.8000000000000007</v>
      </c>
      <c r="Q38" s="249"/>
      <c r="R38" s="249"/>
      <c r="S38" s="249"/>
      <c r="T38" s="249"/>
    </row>
    <row r="39" spans="1:20">
      <c r="A39" s="248">
        <v>1995</v>
      </c>
      <c r="B39" s="236">
        <v>5910.3</v>
      </c>
      <c r="C39" s="236" t="s">
        <v>9</v>
      </c>
      <c r="D39" s="236" t="s">
        <v>9</v>
      </c>
      <c r="E39" s="236">
        <v>2.9</v>
      </c>
      <c r="F39" s="236">
        <v>7.4</v>
      </c>
      <c r="G39" s="236">
        <v>8149.4</v>
      </c>
      <c r="H39" s="236" t="s">
        <v>9</v>
      </c>
      <c r="I39" s="236" t="s">
        <v>9</v>
      </c>
      <c r="J39" s="236">
        <v>4.0999999999999996</v>
      </c>
      <c r="K39" s="236">
        <v>10</v>
      </c>
      <c r="L39" s="236">
        <v>8182.8</v>
      </c>
      <c r="M39" s="236" t="s">
        <v>9</v>
      </c>
      <c r="N39" s="236" t="s">
        <v>9</v>
      </c>
      <c r="O39" s="236">
        <v>4.0999999999999996</v>
      </c>
      <c r="P39" s="236">
        <v>10</v>
      </c>
      <c r="Q39" s="249"/>
      <c r="R39" s="249"/>
      <c r="S39" s="249"/>
      <c r="T39" s="249"/>
    </row>
    <row r="40" spans="1:20">
      <c r="A40" s="248">
        <v>1996</v>
      </c>
      <c r="B40" s="236">
        <v>6263.7</v>
      </c>
      <c r="C40" s="236" t="s">
        <v>9</v>
      </c>
      <c r="D40" s="236" t="s">
        <v>9</v>
      </c>
      <c r="E40" s="236">
        <v>3.4</v>
      </c>
      <c r="F40" s="236">
        <v>7.8</v>
      </c>
      <c r="G40" s="236">
        <v>8297</v>
      </c>
      <c r="H40" s="236" t="s">
        <v>9</v>
      </c>
      <c r="I40" s="236" t="s">
        <v>9</v>
      </c>
      <c r="J40" s="236">
        <v>4.5999999999999996</v>
      </c>
      <c r="K40" s="236">
        <v>10.199999999999999</v>
      </c>
      <c r="L40" s="236">
        <v>8326</v>
      </c>
      <c r="M40" s="236" t="s">
        <v>9</v>
      </c>
      <c r="N40" s="236" t="s">
        <v>9</v>
      </c>
      <c r="O40" s="236">
        <v>4.5999999999999996</v>
      </c>
      <c r="P40" s="236">
        <v>10.199999999999999</v>
      </c>
      <c r="Q40" s="249"/>
      <c r="R40" s="249"/>
      <c r="S40" s="249"/>
      <c r="T40" s="249"/>
    </row>
    <row r="41" spans="1:20">
      <c r="A41" s="248">
        <v>1997</v>
      </c>
      <c r="B41" s="236">
        <v>6741.9</v>
      </c>
      <c r="C41" s="236" t="s">
        <v>9</v>
      </c>
      <c r="D41" s="236" t="s">
        <v>9</v>
      </c>
      <c r="E41" s="236">
        <v>3.5</v>
      </c>
      <c r="F41" s="236">
        <v>8.8000000000000007</v>
      </c>
      <c r="G41" s="236">
        <v>8413.7000000000007</v>
      </c>
      <c r="H41" s="236" t="s">
        <v>9</v>
      </c>
      <c r="I41" s="236" t="s">
        <v>9</v>
      </c>
      <c r="J41" s="236">
        <v>4.4000000000000004</v>
      </c>
      <c r="K41" s="236">
        <v>10.7</v>
      </c>
      <c r="L41" s="236">
        <v>8435.5</v>
      </c>
      <c r="M41" s="236" t="s">
        <v>9</v>
      </c>
      <c r="N41" s="236" t="s">
        <v>9</v>
      </c>
      <c r="O41" s="236">
        <v>4.5</v>
      </c>
      <c r="P41" s="236">
        <v>10.7</v>
      </c>
      <c r="Q41" s="249"/>
      <c r="R41" s="249"/>
      <c r="S41" s="249"/>
      <c r="T41" s="249"/>
    </row>
    <row r="42" spans="1:20">
      <c r="A42" s="248">
        <v>1998</v>
      </c>
      <c r="B42" s="236">
        <v>6834.4</v>
      </c>
      <c r="C42" s="236" t="s">
        <v>9</v>
      </c>
      <c r="D42" s="236" t="s">
        <v>9</v>
      </c>
      <c r="E42" s="236">
        <v>3.4</v>
      </c>
      <c r="F42" s="236">
        <v>9</v>
      </c>
      <c r="G42" s="236">
        <v>8448.7000000000007</v>
      </c>
      <c r="H42" s="236" t="s">
        <v>9</v>
      </c>
      <c r="I42" s="236" t="s">
        <v>9</v>
      </c>
      <c r="J42" s="236">
        <v>4.3</v>
      </c>
      <c r="K42" s="236">
        <v>10.8</v>
      </c>
      <c r="L42" s="236">
        <v>8466.5</v>
      </c>
      <c r="M42" s="236" t="s">
        <v>9</v>
      </c>
      <c r="N42" s="236" t="s">
        <v>9</v>
      </c>
      <c r="O42" s="236">
        <v>4.3</v>
      </c>
      <c r="P42" s="236">
        <v>10.8</v>
      </c>
      <c r="Q42" s="249"/>
      <c r="R42" s="249"/>
      <c r="S42" s="249"/>
      <c r="T42" s="249"/>
    </row>
    <row r="43" spans="1:20">
      <c r="A43" s="248">
        <v>1999</v>
      </c>
      <c r="B43" s="236">
        <v>6980.9</v>
      </c>
      <c r="C43" s="236" t="s">
        <v>9</v>
      </c>
      <c r="D43" s="236" t="s">
        <v>9</v>
      </c>
      <c r="E43" s="236">
        <v>3.3</v>
      </c>
      <c r="F43" s="236">
        <v>8.8000000000000007</v>
      </c>
      <c r="G43" s="236">
        <v>8499.5</v>
      </c>
      <c r="H43" s="236" t="s">
        <v>9</v>
      </c>
      <c r="I43" s="236" t="s">
        <v>9</v>
      </c>
      <c r="J43" s="236">
        <v>4.0999999999999996</v>
      </c>
      <c r="K43" s="236">
        <v>10.5</v>
      </c>
      <c r="L43" s="236">
        <v>8515</v>
      </c>
      <c r="M43" s="236" t="s">
        <v>9</v>
      </c>
      <c r="N43" s="236" t="s">
        <v>9</v>
      </c>
      <c r="O43" s="236">
        <v>4.0999999999999996</v>
      </c>
      <c r="P43" s="236">
        <v>10.5</v>
      </c>
      <c r="Q43" s="249"/>
      <c r="R43" s="249"/>
      <c r="S43" s="249"/>
      <c r="T43" s="249"/>
    </row>
    <row r="44" spans="1:20">
      <c r="A44" s="248">
        <v>2000</v>
      </c>
      <c r="B44" s="236">
        <v>7286.4</v>
      </c>
      <c r="C44" s="236" t="s">
        <v>9</v>
      </c>
      <c r="D44" s="236" t="s">
        <v>9</v>
      </c>
      <c r="E44" s="236">
        <v>3.4</v>
      </c>
      <c r="F44" s="236">
        <v>9.4</v>
      </c>
      <c r="G44" s="236">
        <v>8594.5</v>
      </c>
      <c r="H44" s="236" t="s">
        <v>9</v>
      </c>
      <c r="I44" s="236" t="s">
        <v>9</v>
      </c>
      <c r="J44" s="236">
        <v>4</v>
      </c>
      <c r="K44" s="236">
        <v>10.9</v>
      </c>
      <c r="L44" s="236">
        <v>8606.2999999999993</v>
      </c>
      <c r="M44" s="236" t="s">
        <v>9</v>
      </c>
      <c r="N44" s="236" t="s">
        <v>9</v>
      </c>
      <c r="O44" s="236">
        <v>4.0999999999999996</v>
      </c>
      <c r="P44" s="236">
        <v>10.9</v>
      </c>
      <c r="Q44" s="249"/>
      <c r="R44" s="249"/>
      <c r="S44" s="249"/>
      <c r="T44" s="249"/>
    </row>
    <row r="45" spans="1:20">
      <c r="A45" s="248">
        <v>2001</v>
      </c>
      <c r="B45" s="236">
        <v>7330.7</v>
      </c>
      <c r="C45" s="236" t="s">
        <v>9</v>
      </c>
      <c r="D45" s="236" t="s">
        <v>9</v>
      </c>
      <c r="E45" s="236">
        <v>3.4</v>
      </c>
      <c r="F45" s="236">
        <v>10.4</v>
      </c>
      <c r="G45" s="236">
        <v>8676.5</v>
      </c>
      <c r="H45" s="236" t="s">
        <v>9</v>
      </c>
      <c r="I45" s="236" t="s">
        <v>9</v>
      </c>
      <c r="J45" s="236">
        <v>4.0999999999999996</v>
      </c>
      <c r="K45" s="236">
        <v>12.1</v>
      </c>
      <c r="L45" s="236">
        <v>8684.2000000000007</v>
      </c>
      <c r="M45" s="236" t="s">
        <v>9</v>
      </c>
      <c r="N45" s="236" t="s">
        <v>9</v>
      </c>
      <c r="O45" s="236">
        <v>4.0999999999999996</v>
      </c>
      <c r="P45" s="236">
        <v>12.1</v>
      </c>
      <c r="Q45" s="249"/>
      <c r="R45" s="249"/>
      <c r="S45" s="249"/>
      <c r="T45" s="249"/>
    </row>
    <row r="46" spans="1:20">
      <c r="A46" s="248">
        <v>2002</v>
      </c>
      <c r="B46" s="236">
        <v>7398.8</v>
      </c>
      <c r="C46" s="236" t="s">
        <v>9</v>
      </c>
      <c r="D46" s="236" t="s">
        <v>9</v>
      </c>
      <c r="E46" s="236">
        <v>3.4</v>
      </c>
      <c r="F46" s="236">
        <v>10.4</v>
      </c>
      <c r="G46" s="236">
        <v>8771.1</v>
      </c>
      <c r="H46" s="236" t="s">
        <v>9</v>
      </c>
      <c r="I46" s="236" t="s">
        <v>9</v>
      </c>
      <c r="J46" s="236">
        <v>4.0999999999999996</v>
      </c>
      <c r="K46" s="236">
        <v>12.2</v>
      </c>
      <c r="L46" s="236">
        <v>8774.6</v>
      </c>
      <c r="M46" s="236" t="s">
        <v>9</v>
      </c>
      <c r="N46" s="236" t="s">
        <v>9</v>
      </c>
      <c r="O46" s="236">
        <v>4.0999999999999996</v>
      </c>
      <c r="P46" s="236">
        <v>12.2</v>
      </c>
      <c r="Q46" s="249"/>
      <c r="R46" s="249"/>
      <c r="S46" s="249"/>
      <c r="T46" s="249"/>
    </row>
    <row r="47" spans="1:20">
      <c r="A47" s="248">
        <v>2003</v>
      </c>
      <c r="B47" s="236">
        <v>7695.9</v>
      </c>
      <c r="C47" s="236" t="s">
        <v>9</v>
      </c>
      <c r="D47" s="236" t="s">
        <v>9</v>
      </c>
      <c r="E47" s="236">
        <v>3.6</v>
      </c>
      <c r="F47" s="236">
        <v>10.6</v>
      </c>
      <c r="G47" s="236">
        <v>8873.6</v>
      </c>
      <c r="H47" s="236" t="s">
        <v>9</v>
      </c>
      <c r="I47" s="236" t="s">
        <v>9</v>
      </c>
      <c r="J47" s="236">
        <v>4.0999999999999996</v>
      </c>
      <c r="K47" s="236">
        <v>12.1</v>
      </c>
      <c r="L47" s="236">
        <v>8875.7000000000007</v>
      </c>
      <c r="M47" s="236" t="s">
        <v>9</v>
      </c>
      <c r="N47" s="236" t="s">
        <v>9</v>
      </c>
      <c r="O47" s="236">
        <v>4.0999999999999996</v>
      </c>
      <c r="P47" s="236">
        <v>12.1</v>
      </c>
      <c r="Q47" s="249"/>
      <c r="R47" s="249"/>
      <c r="S47" s="249"/>
      <c r="T47" s="249"/>
    </row>
    <row r="48" spans="1:20">
      <c r="A48" s="248">
        <v>2004</v>
      </c>
      <c r="B48" s="236">
        <v>8163</v>
      </c>
      <c r="C48" s="236" t="s">
        <v>9</v>
      </c>
      <c r="D48" s="236" t="s">
        <v>9</v>
      </c>
      <c r="E48" s="236">
        <v>3.6</v>
      </c>
      <c r="F48" s="236">
        <v>12.5</v>
      </c>
      <c r="G48" s="236">
        <v>8977.1</v>
      </c>
      <c r="H48" s="236" t="s">
        <v>9</v>
      </c>
      <c r="I48" s="236" t="s">
        <v>9</v>
      </c>
      <c r="J48" s="236">
        <v>4</v>
      </c>
      <c r="K48" s="236">
        <v>13.6</v>
      </c>
      <c r="L48" s="236">
        <v>8978.2999999999993</v>
      </c>
      <c r="M48" s="236" t="s">
        <v>9</v>
      </c>
      <c r="N48" s="236" t="s">
        <v>9</v>
      </c>
      <c r="O48" s="236">
        <v>4</v>
      </c>
      <c r="P48" s="236">
        <v>13.6</v>
      </c>
      <c r="Q48" s="249"/>
      <c r="R48" s="249"/>
      <c r="S48" s="249"/>
      <c r="T48" s="249"/>
    </row>
    <row r="49" spans="1:20">
      <c r="A49" s="248">
        <v>2005</v>
      </c>
      <c r="B49" s="236">
        <v>8566.2999999999993</v>
      </c>
      <c r="C49" s="236" t="s">
        <v>9</v>
      </c>
      <c r="D49" s="236" t="s">
        <v>9</v>
      </c>
      <c r="E49" s="236">
        <v>3.4</v>
      </c>
      <c r="F49" s="236">
        <v>14</v>
      </c>
      <c r="G49" s="236">
        <v>9136.7000000000007</v>
      </c>
      <c r="H49" s="236" t="s">
        <v>9</v>
      </c>
      <c r="I49" s="236" t="s">
        <v>9</v>
      </c>
      <c r="J49" s="236">
        <v>3.7</v>
      </c>
      <c r="K49" s="236">
        <v>14.8</v>
      </c>
      <c r="L49" s="236">
        <v>9136.7999999999993</v>
      </c>
      <c r="M49" s="236" t="s">
        <v>9</v>
      </c>
      <c r="N49" s="236" t="s">
        <v>9</v>
      </c>
      <c r="O49" s="236">
        <v>3.7</v>
      </c>
      <c r="P49" s="236">
        <v>14.8</v>
      </c>
      <c r="Q49" s="249"/>
      <c r="R49" s="249"/>
      <c r="S49" s="249"/>
      <c r="T49" s="249"/>
    </row>
    <row r="50" spans="1:20">
      <c r="A50" s="248">
        <v>2006</v>
      </c>
      <c r="B50" s="236">
        <v>9075.7000000000007</v>
      </c>
      <c r="C50" s="236" t="s">
        <v>9</v>
      </c>
      <c r="D50" s="236" t="s">
        <v>9</v>
      </c>
      <c r="E50" s="236">
        <v>3.4</v>
      </c>
      <c r="F50" s="236">
        <v>14</v>
      </c>
      <c r="G50" s="236">
        <v>9373.4</v>
      </c>
      <c r="H50" s="236" t="s">
        <v>9</v>
      </c>
      <c r="I50" s="236" t="s">
        <v>9</v>
      </c>
      <c r="J50" s="236">
        <v>3.5</v>
      </c>
      <c r="K50" s="236">
        <v>14.5</v>
      </c>
      <c r="L50" s="236">
        <v>9373.4</v>
      </c>
      <c r="M50" s="236" t="s">
        <v>9</v>
      </c>
      <c r="N50" s="236" t="s">
        <v>9</v>
      </c>
      <c r="O50" s="236">
        <v>3.5</v>
      </c>
      <c r="P50" s="236">
        <v>14.5</v>
      </c>
      <c r="Q50" s="249"/>
      <c r="R50" s="249"/>
      <c r="S50" s="249"/>
      <c r="T50" s="249"/>
    </row>
    <row r="51" spans="1:20">
      <c r="A51" s="248">
        <v>2007</v>
      </c>
      <c r="B51" s="236">
        <v>9639.4</v>
      </c>
      <c r="C51" s="236" t="s">
        <v>9</v>
      </c>
      <c r="D51" s="236" t="s">
        <v>9</v>
      </c>
      <c r="E51" s="236">
        <v>3.3</v>
      </c>
      <c r="F51" s="236">
        <v>13.8</v>
      </c>
      <c r="G51" s="236">
        <v>9639.4</v>
      </c>
      <c r="H51" s="236" t="s">
        <v>9</v>
      </c>
      <c r="I51" s="236" t="s">
        <v>9</v>
      </c>
      <c r="J51" s="236">
        <v>3.3</v>
      </c>
      <c r="K51" s="236">
        <v>13.8</v>
      </c>
      <c r="L51" s="236">
        <v>9639.4</v>
      </c>
      <c r="M51" s="236" t="s">
        <v>9</v>
      </c>
      <c r="N51" s="236" t="s">
        <v>9</v>
      </c>
      <c r="O51" s="236">
        <v>3.3</v>
      </c>
      <c r="P51" s="236">
        <v>13.8</v>
      </c>
      <c r="Q51" s="249"/>
      <c r="R51" s="249"/>
      <c r="S51" s="249"/>
      <c r="T51" s="249"/>
    </row>
    <row r="52" spans="1:20">
      <c r="A52" s="248">
        <v>2008</v>
      </c>
      <c r="B52" s="236">
        <v>10408.4</v>
      </c>
      <c r="C52" s="236" t="s">
        <v>9</v>
      </c>
      <c r="D52" s="236" t="s">
        <v>9</v>
      </c>
      <c r="E52" s="236">
        <v>3.2</v>
      </c>
      <c r="F52" s="236">
        <v>14.3</v>
      </c>
      <c r="G52" s="236">
        <v>9866.4</v>
      </c>
      <c r="H52" s="236" t="s">
        <v>9</v>
      </c>
      <c r="I52" s="236" t="s">
        <v>9</v>
      </c>
      <c r="J52" s="236">
        <v>3</v>
      </c>
      <c r="K52" s="236">
        <v>13.8</v>
      </c>
      <c r="L52" s="236">
        <v>9865.9</v>
      </c>
      <c r="M52" s="236" t="s">
        <v>9</v>
      </c>
      <c r="N52" s="236" t="s">
        <v>9</v>
      </c>
      <c r="O52" s="236">
        <v>3</v>
      </c>
      <c r="P52" s="236">
        <v>13.8</v>
      </c>
      <c r="Q52" s="249"/>
      <c r="R52" s="249"/>
      <c r="S52" s="249"/>
      <c r="T52" s="249"/>
    </row>
    <row r="53" spans="1:20">
      <c r="A53" s="248">
        <v>2009</v>
      </c>
      <c r="B53" s="236">
        <v>10883.2</v>
      </c>
      <c r="C53" s="236" t="s">
        <v>9</v>
      </c>
      <c r="D53" s="236" t="s">
        <v>9</v>
      </c>
      <c r="E53" s="236">
        <v>2.9</v>
      </c>
      <c r="F53" s="236">
        <v>14.2</v>
      </c>
      <c r="G53" s="236">
        <v>10101.799999999999</v>
      </c>
      <c r="H53" s="236" t="s">
        <v>9</v>
      </c>
      <c r="I53" s="236" t="s">
        <v>9</v>
      </c>
      <c r="J53" s="236">
        <v>2.7</v>
      </c>
      <c r="K53" s="236">
        <v>13.3</v>
      </c>
      <c r="L53" s="236">
        <v>10103.4</v>
      </c>
      <c r="M53" s="236" t="s">
        <v>9</v>
      </c>
      <c r="N53" s="236" t="s">
        <v>9</v>
      </c>
      <c r="O53" s="236">
        <v>2.7</v>
      </c>
      <c r="P53" s="236">
        <v>13.3</v>
      </c>
      <c r="Q53" s="249"/>
      <c r="R53" s="249"/>
      <c r="S53" s="249"/>
      <c r="T53" s="249"/>
    </row>
    <row r="54" spans="1:20">
      <c r="A54" s="248">
        <v>2010</v>
      </c>
      <c r="B54" s="236">
        <v>11743.2</v>
      </c>
      <c r="C54" s="236" t="s">
        <v>9</v>
      </c>
      <c r="D54" s="236" t="s">
        <v>9</v>
      </c>
      <c r="E54" s="236" t="s">
        <v>9</v>
      </c>
      <c r="F54" s="236">
        <v>14.9</v>
      </c>
      <c r="G54" s="236">
        <v>10482.299999999999</v>
      </c>
      <c r="H54" s="236" t="s">
        <v>9</v>
      </c>
      <c r="I54" s="236" t="s">
        <v>9</v>
      </c>
      <c r="J54" s="236" t="s">
        <v>9</v>
      </c>
      <c r="K54" s="236">
        <v>13.3</v>
      </c>
      <c r="L54" s="236">
        <v>10485.299999999999</v>
      </c>
      <c r="M54" s="236" t="s">
        <v>9</v>
      </c>
      <c r="N54" s="236" t="s">
        <v>9</v>
      </c>
      <c r="O54" s="236" t="s">
        <v>9</v>
      </c>
      <c r="P54" s="236">
        <v>13.3</v>
      </c>
      <c r="Q54" s="249"/>
      <c r="R54" s="249"/>
      <c r="S54" s="249"/>
      <c r="T54" s="249"/>
    </row>
    <row r="55" spans="1:20">
      <c r="A55" s="248">
        <v>2011</v>
      </c>
      <c r="B55" s="236">
        <v>12755.4</v>
      </c>
      <c r="C55" s="236" t="s">
        <v>9</v>
      </c>
      <c r="D55" s="236" t="s">
        <v>9</v>
      </c>
      <c r="E55" s="236" t="s">
        <v>9</v>
      </c>
      <c r="F55" s="236">
        <v>16.8</v>
      </c>
      <c r="G55" s="236">
        <v>10899.6</v>
      </c>
      <c r="H55" s="236" t="s">
        <v>9</v>
      </c>
      <c r="I55" s="236" t="s">
        <v>9</v>
      </c>
      <c r="J55" s="236" t="s">
        <v>9</v>
      </c>
      <c r="K55" s="236">
        <v>14.5</v>
      </c>
      <c r="L55" s="236">
        <v>10901.3</v>
      </c>
      <c r="M55" s="236" t="s">
        <v>9</v>
      </c>
      <c r="N55" s="236" t="s">
        <v>9</v>
      </c>
      <c r="O55" s="236" t="s">
        <v>9</v>
      </c>
      <c r="P55" s="236">
        <v>14.5</v>
      </c>
      <c r="Q55" s="249"/>
      <c r="R55" s="249"/>
      <c r="S55" s="249"/>
      <c r="T55" s="249"/>
    </row>
    <row r="56" spans="1:20">
      <c r="A56" s="248">
        <v>2012</v>
      </c>
      <c r="B56" s="236">
        <v>13677.3</v>
      </c>
      <c r="C56" s="236" t="s">
        <v>9</v>
      </c>
      <c r="D56" s="236" t="s">
        <v>9</v>
      </c>
      <c r="E56" s="236" t="s">
        <v>9</v>
      </c>
      <c r="F56" s="236">
        <v>18.399999999999999</v>
      </c>
      <c r="G56" s="236">
        <v>11248.1</v>
      </c>
      <c r="H56" s="236" t="s">
        <v>9</v>
      </c>
      <c r="I56" s="236" t="s">
        <v>9</v>
      </c>
      <c r="J56" s="236" t="s">
        <v>9</v>
      </c>
      <c r="K56" s="236">
        <v>15.4</v>
      </c>
      <c r="L56" s="236">
        <v>11245.7</v>
      </c>
      <c r="M56" s="236" t="s">
        <v>9</v>
      </c>
      <c r="N56" s="236" t="s">
        <v>9</v>
      </c>
      <c r="O56" s="236" t="s">
        <v>9</v>
      </c>
      <c r="P56" s="236">
        <v>15.4</v>
      </c>
      <c r="Q56" s="249"/>
      <c r="R56" s="249"/>
      <c r="S56" s="249"/>
      <c r="T56" s="249"/>
    </row>
    <row r="57" spans="1:20">
      <c r="A57" s="248">
        <v>2013</v>
      </c>
      <c r="B57" s="236">
        <v>14383.8</v>
      </c>
      <c r="C57" s="236" t="s">
        <v>9</v>
      </c>
      <c r="D57" s="236" t="s">
        <v>9</v>
      </c>
      <c r="E57" s="236" t="s">
        <v>9</v>
      </c>
      <c r="F57" s="236">
        <v>19.3</v>
      </c>
      <c r="G57" s="236">
        <v>11499.4</v>
      </c>
      <c r="H57" s="236" t="s">
        <v>9</v>
      </c>
      <c r="I57" s="236" t="s">
        <v>9</v>
      </c>
      <c r="J57" s="236" t="s">
        <v>9</v>
      </c>
      <c r="K57" s="236">
        <v>15.6</v>
      </c>
      <c r="L57" s="236">
        <v>11494.7</v>
      </c>
      <c r="M57" s="236" t="s">
        <v>9</v>
      </c>
      <c r="N57" s="236" t="s">
        <v>9</v>
      </c>
      <c r="O57" s="236" t="s">
        <v>9</v>
      </c>
      <c r="P57" s="236">
        <v>15.6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4.5046686693053228</v>
      </c>
      <c r="C60" s="7" t="s">
        <v>10</v>
      </c>
      <c r="D60" s="7" t="s">
        <v>10</v>
      </c>
      <c r="E60" s="7" t="s">
        <v>10</v>
      </c>
      <c r="F60" s="11">
        <f t="shared" ref="F60:P60" si="1">((F57/F28)^(1/29)-1)*100</f>
        <v>4.2953419096769974</v>
      </c>
      <c r="G60" s="11">
        <f t="shared" si="1"/>
        <v>1.9113027094490143</v>
      </c>
      <c r="H60" s="7" t="s">
        <v>10</v>
      </c>
      <c r="I60" s="7" t="s">
        <v>10</v>
      </c>
      <c r="J60" s="7" t="s">
        <v>10</v>
      </c>
      <c r="K60" s="11">
        <f t="shared" si="1"/>
        <v>1.837602049615783</v>
      </c>
      <c r="L60" s="11">
        <f t="shared" si="1"/>
        <v>1.9124600194373897</v>
      </c>
      <c r="M60" s="7" t="s">
        <v>10</v>
      </c>
      <c r="N60" s="7" t="s">
        <v>10</v>
      </c>
      <c r="O60" s="7" t="s">
        <v>10</v>
      </c>
      <c r="P60" s="11">
        <f t="shared" si="1"/>
        <v>1.837602049615783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5.0182038148527619</v>
      </c>
      <c r="C61" s="7" t="s">
        <v>10</v>
      </c>
      <c r="D61" s="7" t="s">
        <v>10</v>
      </c>
      <c r="E61" s="11">
        <f t="shared" ref="E61:P61" si="3">((E33/E28)^(1/5)-1)*100</f>
        <v>2.1295687600135116</v>
      </c>
      <c r="F61" s="11">
        <f t="shared" si="3"/>
        <v>3.8950477489882784</v>
      </c>
      <c r="G61" s="11">
        <f t="shared" si="3"/>
        <v>1.4305693146691167</v>
      </c>
      <c r="H61" s="7" t="s">
        <v>10</v>
      </c>
      <c r="I61" s="7" t="s">
        <v>10</v>
      </c>
      <c r="J61" s="11">
        <f t="shared" si="3"/>
        <v>-1.4024244518326845</v>
      </c>
      <c r="K61" s="11">
        <f t="shared" si="3"/>
        <v>0.85482523039324132</v>
      </c>
      <c r="L61" s="11">
        <f t="shared" si="3"/>
        <v>1.5049499604802286</v>
      </c>
      <c r="M61" s="7" t="s">
        <v>10</v>
      </c>
      <c r="N61" s="7" t="s">
        <v>10</v>
      </c>
      <c r="O61" s="11">
        <f t="shared" si="3"/>
        <v>-1.8881504273735694</v>
      </c>
      <c r="P61" s="11">
        <f t="shared" si="3"/>
        <v>0.64383002330883343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3.2599611477665213</v>
      </c>
      <c r="C62" s="7" t="s">
        <v>10</v>
      </c>
      <c r="D62" s="7" t="s">
        <v>10</v>
      </c>
      <c r="E62" s="11">
        <f t="shared" ref="E62:P62" si="5">((E44/E33)^(1/11)-1)*100</f>
        <v>1.1443448530553235</v>
      </c>
      <c r="F62" s="11">
        <f t="shared" si="5"/>
        <v>2.8506783115734624</v>
      </c>
      <c r="G62" s="11">
        <f t="shared" si="5"/>
        <v>1.713175794888433</v>
      </c>
      <c r="H62" s="7" t="s">
        <v>10</v>
      </c>
      <c r="I62" s="7" t="s">
        <v>10</v>
      </c>
      <c r="J62" s="11">
        <f t="shared" si="5"/>
        <v>-0.22422653216910282</v>
      </c>
      <c r="K62" s="11">
        <f t="shared" si="5"/>
        <v>1.161233210552326</v>
      </c>
      <c r="L62" s="11">
        <f t="shared" si="5"/>
        <v>1.6987975082462858</v>
      </c>
      <c r="M62" s="7" t="s">
        <v>10</v>
      </c>
      <c r="N62" s="7" t="s">
        <v>10</v>
      </c>
      <c r="O62" s="11">
        <f t="shared" si="5"/>
        <v>0.22473043743569399</v>
      </c>
      <c r="P62" s="11">
        <f t="shared" si="5"/>
        <v>1.2575781156485721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4.0788362675241663</v>
      </c>
      <c r="C63" s="7" t="s">
        <v>10</v>
      </c>
      <c r="D63" s="7" t="s">
        <v>10</v>
      </c>
      <c r="E63" s="11">
        <f t="shared" ref="E63:P63" si="6">((E51/E44)^(1/7)-1)*100</f>
        <v>-0.42556280636650845</v>
      </c>
      <c r="F63" s="11">
        <f t="shared" si="6"/>
        <v>5.6383489019789623</v>
      </c>
      <c r="G63" s="11">
        <f t="shared" si="6"/>
        <v>1.6525982599423061</v>
      </c>
      <c r="H63" s="7" t="s">
        <v>10</v>
      </c>
      <c r="I63" s="7" t="s">
        <v>10</v>
      </c>
      <c r="J63" s="11">
        <f t="shared" si="6"/>
        <v>-2.7107512655060617</v>
      </c>
      <c r="K63" s="11">
        <f t="shared" si="6"/>
        <v>3.4275135300853909</v>
      </c>
      <c r="L63" s="11">
        <f t="shared" si="6"/>
        <v>1.6326758759051652</v>
      </c>
      <c r="M63" s="7" t="s">
        <v>10</v>
      </c>
      <c r="N63" s="7" t="s">
        <v>10</v>
      </c>
      <c r="O63" s="11">
        <f t="shared" si="6"/>
        <v>-3.0533360633155926</v>
      </c>
      <c r="P63" s="11">
        <f t="shared" si="6"/>
        <v>3.4275135300853909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6.8982524668095957</v>
      </c>
      <c r="C64" s="7" t="s">
        <v>10</v>
      </c>
      <c r="D64" s="7" t="s">
        <v>10</v>
      </c>
      <c r="E64" s="7" t="s">
        <v>10</v>
      </c>
      <c r="F64" s="11">
        <f t="shared" ref="F64:P64" si="7">((F57/F51)^(1/6)-1)*100</f>
        <v>5.7498363012047804</v>
      </c>
      <c r="G64" s="11">
        <f t="shared" si="7"/>
        <v>2.9842624697865583</v>
      </c>
      <c r="H64" s="7" t="s">
        <v>10</v>
      </c>
      <c r="I64" s="7" t="s">
        <v>10</v>
      </c>
      <c r="J64" s="7" t="s">
        <v>10</v>
      </c>
      <c r="K64" s="11">
        <f t="shared" si="7"/>
        <v>2.0643918078334433</v>
      </c>
      <c r="L64" s="11">
        <f t="shared" si="7"/>
        <v>2.9772460387376132</v>
      </c>
      <c r="M64" s="7" t="s">
        <v>10</v>
      </c>
      <c r="N64" s="7" t="s">
        <v>10</v>
      </c>
      <c r="O64" s="7" t="s">
        <v>10</v>
      </c>
      <c r="P64" s="11">
        <f t="shared" si="7"/>
        <v>2.0643918078334433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5.3707444117194081</v>
      </c>
      <c r="C65" s="7" t="s">
        <v>10</v>
      </c>
      <c r="D65" s="7" t="s">
        <v>10</v>
      </c>
      <c r="E65" s="7" t="s">
        <v>10</v>
      </c>
      <c r="F65" s="11">
        <f t="shared" ref="F65:P65" si="9">((F57/F44)^(1/13)-1)*100</f>
        <v>5.6897900120950196</v>
      </c>
      <c r="G65" s="11">
        <f t="shared" si="9"/>
        <v>2.2650592316100226</v>
      </c>
      <c r="H65" s="7" t="s">
        <v>10</v>
      </c>
      <c r="I65" s="7" t="s">
        <v>10</v>
      </c>
      <c r="J65" s="7" t="s">
        <v>10</v>
      </c>
      <c r="K65" s="11">
        <f t="shared" si="9"/>
        <v>2.7961328442189348</v>
      </c>
      <c r="L65" s="11">
        <f t="shared" si="9"/>
        <v>2.2510512157018381</v>
      </c>
      <c r="M65" s="7" t="s">
        <v>10</v>
      </c>
      <c r="N65" s="7" t="s">
        <v>10</v>
      </c>
      <c r="O65" s="7" t="s">
        <v>10</v>
      </c>
      <c r="P65" s="11">
        <f t="shared" si="9"/>
        <v>2.7961328442189348</v>
      </c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20">
      <c r="A68" s="229" t="s">
        <v>56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31"/>
      <c r="M68" s="132"/>
      <c r="N68" s="132"/>
      <c r="O68" s="132"/>
      <c r="P68" s="132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52"/>
  <sheetViews>
    <sheetView view="pageBreakPreview" topLeftCell="A10" zoomScaleNormal="100" zoomScaleSheetLayoutView="100" workbookViewId="0">
      <selection activeCell="E28" sqref="E28"/>
    </sheetView>
  </sheetViews>
  <sheetFormatPr defaultRowHeight="15"/>
  <cols>
    <col min="1" max="1" width="10.5703125" style="68" customWidth="1"/>
    <col min="2" max="11" width="9.140625" style="68" customWidth="1"/>
    <col min="12" max="12" width="9.5703125" style="68" bestFit="1" customWidth="1"/>
    <col min="13" max="15" width="9.28515625" style="68" bestFit="1" customWidth="1"/>
    <col min="16" max="18" width="9.28515625" style="68" customWidth="1"/>
    <col min="19" max="21" width="9.28515625" style="68" bestFit="1" customWidth="1"/>
    <col min="22" max="23" width="9.140625" style="68"/>
    <col min="24" max="30" width="9.28515625" style="68" hidden="1" customWidth="1"/>
    <col min="31" max="46" width="0" style="68" hidden="1" customWidth="1"/>
    <col min="47" max="16384" width="9.140625" style="68"/>
  </cols>
  <sheetData>
    <row r="1" spans="1:47">
      <c r="A1" s="454" t="s">
        <v>162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>
      <c r="A2" s="63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35">
      <c r="A3" s="63"/>
      <c r="B3" s="63" t="s">
        <v>2</v>
      </c>
      <c r="C3" s="63" t="s">
        <v>8</v>
      </c>
      <c r="D3" s="63" t="s">
        <v>3</v>
      </c>
      <c r="E3" s="63" t="s">
        <v>4</v>
      </c>
      <c r="F3" s="63" t="s">
        <v>36</v>
      </c>
      <c r="G3" s="63" t="s">
        <v>37</v>
      </c>
      <c r="H3" s="63" t="s">
        <v>38</v>
      </c>
      <c r="I3" s="63" t="s">
        <v>5</v>
      </c>
      <c r="J3" s="63" t="s">
        <v>6</v>
      </c>
      <c r="K3" s="63" t="s">
        <v>7</v>
      </c>
      <c r="L3" s="63" t="s">
        <v>2</v>
      </c>
      <c r="M3" s="63" t="s">
        <v>8</v>
      </c>
      <c r="N3" s="63" t="s">
        <v>3</v>
      </c>
      <c r="O3" s="63" t="s">
        <v>4</v>
      </c>
      <c r="P3" s="63" t="s">
        <v>36</v>
      </c>
      <c r="Q3" s="63" t="s">
        <v>37</v>
      </c>
      <c r="R3" s="63" t="s">
        <v>38</v>
      </c>
      <c r="S3" s="63" t="s">
        <v>5</v>
      </c>
      <c r="T3" s="63" t="s">
        <v>6</v>
      </c>
      <c r="U3" s="63" t="s">
        <v>7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>
      <c r="A4" s="63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X4" s="2" t="s">
        <v>24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>
      <c r="A5" s="63">
        <v>1984</v>
      </c>
      <c r="B5" s="62">
        <f>('1A'!B5/'1A'!B5)*100</f>
        <v>100</v>
      </c>
      <c r="C5" s="62">
        <f>('1A'!C5/'1A'!$B5)*100</f>
        <v>3.7081639766876937</v>
      </c>
      <c r="D5" s="62">
        <f>('1A'!D5/'1A'!$B5)*100</f>
        <v>0.52840359349192678</v>
      </c>
      <c r="E5" s="62">
        <f>('1A'!E5/'1A'!$B5)*100</f>
        <v>0.88327883877174951</v>
      </c>
      <c r="F5" s="62" t="s">
        <v>10</v>
      </c>
      <c r="G5" s="62" t="s">
        <v>10</v>
      </c>
      <c r="H5" s="62" t="s">
        <v>10</v>
      </c>
      <c r="I5" s="62">
        <f>('1A'!I5/'1A'!$B5)*100</f>
        <v>2.2964815444240174</v>
      </c>
      <c r="J5" s="62">
        <f>('1A'!J5/'1A'!$B5)*100</f>
        <v>1.9474702107859054</v>
      </c>
      <c r="K5" s="62">
        <f>('1A'!K5/'1A'!$B5)*100</f>
        <v>0.34901133363811193</v>
      </c>
      <c r="L5" s="62">
        <f>('1A'!L5/'1A'!$L5)*100</f>
        <v>100</v>
      </c>
      <c r="M5" s="62">
        <f>('1A'!M5/'1A'!$L5)*100</f>
        <v>3.4160910417653199</v>
      </c>
      <c r="N5" s="62">
        <f>('1A'!N5/'1A'!$L5)*100</f>
        <v>0.2840503284214459</v>
      </c>
      <c r="O5" s="62">
        <f>('1A'!O5/'1A'!$L5)*100</f>
        <v>1.579407684777467</v>
      </c>
      <c r="P5" s="62" t="s">
        <v>10</v>
      </c>
      <c r="Q5" s="62" t="s">
        <v>10</v>
      </c>
      <c r="R5" s="62" t="s">
        <v>10</v>
      </c>
      <c r="S5" s="62">
        <f>('1A'!S5/'1A'!$L5)*100</f>
        <v>1.5526330285664072</v>
      </c>
      <c r="T5" s="62">
        <f>('1A'!T5/'1A'!$L5)*100</f>
        <v>1.1231618264754899</v>
      </c>
      <c r="U5" s="62">
        <f>('1A'!U5/'1A'!$L5)*100</f>
        <v>0.42947120209091727</v>
      </c>
      <c r="X5" s="2" t="s">
        <v>2</v>
      </c>
      <c r="Y5" s="2" t="s">
        <v>8</v>
      </c>
      <c r="Z5" s="2" t="s">
        <v>3</v>
      </c>
      <c r="AA5" s="2" t="s">
        <v>4</v>
      </c>
      <c r="AB5" s="2" t="s">
        <v>5</v>
      </c>
      <c r="AC5" s="2" t="s">
        <v>6</v>
      </c>
      <c r="AD5" s="2" t="s">
        <v>7</v>
      </c>
      <c r="AE5" s="2"/>
      <c r="AF5" s="2" t="s">
        <v>26</v>
      </c>
      <c r="AG5" s="2" t="s">
        <v>2</v>
      </c>
      <c r="AH5" s="2" t="s">
        <v>23</v>
      </c>
      <c r="AI5" s="2" t="s">
        <v>3</v>
      </c>
      <c r="AJ5" s="2" t="s">
        <v>4</v>
      </c>
      <c r="AK5" s="2" t="s">
        <v>5</v>
      </c>
      <c r="AL5" s="2" t="s">
        <v>6</v>
      </c>
      <c r="AM5" s="2" t="s">
        <v>7</v>
      </c>
      <c r="AN5" s="2"/>
      <c r="AO5" s="2"/>
      <c r="AP5" s="2"/>
      <c r="AQ5" s="2"/>
      <c r="AR5" s="2"/>
      <c r="AS5" s="2"/>
      <c r="AT5" s="2"/>
      <c r="AU5" s="2"/>
    </row>
    <row r="6" spans="1:47">
      <c r="A6" s="63">
        <v>1985</v>
      </c>
      <c r="B6" s="62">
        <f>('1A'!B6/'1A'!B6)*100</f>
        <v>100</v>
      </c>
      <c r="C6" s="62">
        <f>('1A'!C6/'1A'!$B6)*100</f>
        <v>3.6580055454399996</v>
      </c>
      <c r="D6" s="62">
        <f>('1A'!D6/'1A'!$B6)*100</f>
        <v>0.51596086191287294</v>
      </c>
      <c r="E6" s="62">
        <f>('1A'!E6/'1A'!$B6)*100</f>
        <v>0.84943664567716948</v>
      </c>
      <c r="F6" s="62" t="s">
        <v>10</v>
      </c>
      <c r="G6" s="62" t="s">
        <v>10</v>
      </c>
      <c r="H6" s="62" t="s">
        <v>10</v>
      </c>
      <c r="I6" s="62">
        <f>('1A'!I6/'1A'!$B6)*100</f>
        <v>2.2926080378499574</v>
      </c>
      <c r="J6" s="62">
        <f>('1A'!J6/'1A'!$B6)*100</f>
        <v>1.9182199502166126</v>
      </c>
      <c r="K6" s="62">
        <f>('1A'!K6/'1A'!$B6)*100</f>
        <v>0.37438808763334469</v>
      </c>
      <c r="L6" s="62">
        <f>('1A'!L6/'1A'!$L6)*100</f>
        <v>100</v>
      </c>
      <c r="M6" s="62">
        <f>('1A'!M6/'1A'!$L6)*100</f>
        <v>3.1865572261870838</v>
      </c>
      <c r="N6" s="62">
        <f>('1A'!N6/'1A'!$L6)*100</f>
        <v>0.26352937598534687</v>
      </c>
      <c r="O6" s="62">
        <f>('1A'!O6/'1A'!$L6)*100</f>
        <v>1.4671666834603632</v>
      </c>
      <c r="P6" s="62" t="s">
        <v>10</v>
      </c>
      <c r="Q6" s="62" t="s">
        <v>10</v>
      </c>
      <c r="R6" s="62" t="s">
        <v>10</v>
      </c>
      <c r="S6" s="62">
        <f>('1A'!S6/'1A'!$L6)*100</f>
        <v>1.4558611667413737</v>
      </c>
      <c r="T6" s="62">
        <f>('1A'!T6/'1A'!$L6)*100</f>
        <v>1.0161682948084112</v>
      </c>
      <c r="U6" s="62">
        <f>('1A'!U6/'1A'!$L6)*100</f>
        <v>0.4396928719329623</v>
      </c>
      <c r="X6" s="2">
        <f>((L6/L5)-1)*100</f>
        <v>0</v>
      </c>
      <c r="Y6" s="2">
        <f>((M6/M5)-1)*100</f>
        <v>-6.7191949152391679</v>
      </c>
      <c r="Z6" s="2">
        <f>((N6/N5)-1)*100</f>
        <v>-7.2244072204176613</v>
      </c>
      <c r="AA6" s="2">
        <f>((O6/O5)-1)*100</f>
        <v>-7.1065249586219519</v>
      </c>
      <c r="AB6" s="2">
        <f t="shared" ref="AB6:AD21" si="0">((S6/S5)-1)*100</f>
        <v>-6.2327581627183211</v>
      </c>
      <c r="AC6" s="2">
        <f t="shared" si="0"/>
        <v>-9.5261011498963715</v>
      </c>
      <c r="AD6" s="2">
        <f t="shared" si="0"/>
        <v>2.3800594294285604</v>
      </c>
      <c r="AE6" s="2"/>
      <c r="AF6" s="2" t="s">
        <v>21</v>
      </c>
      <c r="AG6" s="2">
        <f>((L29/L21)^(1/8)-1)*100</f>
        <v>0</v>
      </c>
      <c r="AH6" s="2">
        <f>((M29/M21)^(1/8)-1)*100</f>
        <v>-2.5920930784853802</v>
      </c>
      <c r="AI6" s="2">
        <f>((N29/N21)^(1/8)-1)*100</f>
        <v>-1.807690220909397</v>
      </c>
      <c r="AJ6" s="2">
        <f>((O29/O21)^(1/8)-1)*100</f>
        <v>-1.6414783442014746</v>
      </c>
      <c r="AK6" s="2">
        <f t="shared" ref="AK6:AM6" si="1">((S29/S21)^(1/8)-1)*100</f>
        <v>-3.5331802970869908</v>
      </c>
      <c r="AL6" s="2">
        <f t="shared" si="1"/>
        <v>-4.1348598551098625</v>
      </c>
      <c r="AM6" s="2">
        <f t="shared" si="1"/>
        <v>-1.9853433653842956</v>
      </c>
      <c r="AN6" s="2"/>
      <c r="AO6" s="2"/>
      <c r="AP6" s="2"/>
      <c r="AQ6" s="2"/>
      <c r="AR6" s="2"/>
      <c r="AS6" s="2"/>
      <c r="AT6" s="2"/>
      <c r="AU6" s="2"/>
    </row>
    <row r="7" spans="1:47">
      <c r="A7" s="63">
        <v>1986</v>
      </c>
      <c r="B7" s="62">
        <f>('1A'!B7/'1A'!B7)*100</f>
        <v>100</v>
      </c>
      <c r="C7" s="62">
        <f>('1A'!C7/'1A'!$B7)*100</f>
        <v>3.771840647594797</v>
      </c>
      <c r="D7" s="62">
        <f>('1A'!D7/'1A'!$B7)*100</f>
        <v>0.49120673437782064</v>
      </c>
      <c r="E7" s="62">
        <f>('1A'!E7/'1A'!$B7)*100</f>
        <v>0.88445715480137943</v>
      </c>
      <c r="F7" s="62" t="s">
        <v>10</v>
      </c>
      <c r="G7" s="62" t="s">
        <v>10</v>
      </c>
      <c r="H7" s="62" t="s">
        <v>10</v>
      </c>
      <c r="I7" s="62">
        <f>('1A'!I7/'1A'!$B7)*100</f>
        <v>2.3961767584155966</v>
      </c>
      <c r="J7" s="62">
        <f>('1A'!J7/'1A'!$B7)*100</f>
        <v>2.0619281527016367</v>
      </c>
      <c r="K7" s="62">
        <f>('1A'!K7/'1A'!$B7)*100</f>
        <v>0.33424860571395998</v>
      </c>
      <c r="L7" s="62">
        <f>('1A'!L7/'1A'!$L7)*100</f>
        <v>100</v>
      </c>
      <c r="M7" s="62">
        <f>('1A'!M7/'1A'!$L7)*100</f>
        <v>3.09656972532858</v>
      </c>
      <c r="N7" s="62">
        <f>('1A'!N7/'1A'!$L7)*100</f>
        <v>0.26496290793402127</v>
      </c>
      <c r="O7" s="62">
        <f>('1A'!O7/'1A'!$L7)*100</f>
        <v>1.413645092254854</v>
      </c>
      <c r="P7" s="62" t="s">
        <v>10</v>
      </c>
      <c r="Q7" s="62" t="s">
        <v>10</v>
      </c>
      <c r="R7" s="62" t="s">
        <v>10</v>
      </c>
      <c r="S7" s="62">
        <f>('1A'!S7/'1A'!$L7)*100</f>
        <v>1.4179617251397052</v>
      </c>
      <c r="T7" s="62">
        <f>('1A'!T7/'1A'!$L7)*100</f>
        <v>1.0388502145004197</v>
      </c>
      <c r="U7" s="62">
        <f>('1A'!U7/'1A'!$L7)*100</f>
        <v>0.37911151063928528</v>
      </c>
      <c r="X7" s="2">
        <f t="shared" ref="X7:AA34" si="2">((L7/L6)-1)*100</f>
        <v>0</v>
      </c>
      <c r="Y7" s="2">
        <f t="shared" si="2"/>
        <v>-2.8239725343385591</v>
      </c>
      <c r="Z7" s="2">
        <f t="shared" si="2"/>
        <v>0.54397425080765505</v>
      </c>
      <c r="AA7" s="2">
        <f t="shared" si="2"/>
        <v>-3.6479557373315319</v>
      </c>
      <c r="AB7" s="2">
        <f t="shared" si="0"/>
        <v>-2.6032318511866159</v>
      </c>
      <c r="AC7" s="2">
        <f t="shared" si="0"/>
        <v>2.2321026751070727</v>
      </c>
      <c r="AD7" s="2">
        <f t="shared" si="0"/>
        <v>-13.778108575504389</v>
      </c>
      <c r="AE7" s="2"/>
      <c r="AF7" s="2" t="s">
        <v>22</v>
      </c>
      <c r="AG7" s="2">
        <f>((L34/L29)^(1/5)-1)*100</f>
        <v>0</v>
      </c>
      <c r="AH7" s="2">
        <f>((M34/M29)^(1/5)-1)*100</f>
        <v>-2.519904345773516</v>
      </c>
      <c r="AI7" s="2">
        <f>((N34/N29)^(1/5)-1)*100</f>
        <v>5.4693453906873302E-2</v>
      </c>
      <c r="AJ7" s="2">
        <f>((O34/O29)^(1/5)-1)*100</f>
        <v>-1.1909196081384965</v>
      </c>
      <c r="AK7" s="2">
        <f t="shared" ref="AK7:AM7" si="3">((S34/S29)^(1/5)-1)*100</f>
        <v>-4.5453539036822255</v>
      </c>
      <c r="AL7" s="2">
        <f t="shared" si="3"/>
        <v>-3.8481953619814213</v>
      </c>
      <c r="AM7" s="2">
        <f t="shared" si="3"/>
        <v>-5.8986619440619892</v>
      </c>
      <c r="AN7" s="2"/>
      <c r="AO7" s="2"/>
      <c r="AP7" s="2"/>
      <c r="AQ7" s="2"/>
      <c r="AR7" s="2"/>
      <c r="AS7" s="2"/>
      <c r="AT7" s="2"/>
      <c r="AU7" s="2"/>
    </row>
    <row r="8" spans="1:47">
      <c r="A8" s="63">
        <v>1987</v>
      </c>
      <c r="B8" s="62">
        <f>('1A'!B8/'1A'!B8)*100</f>
        <v>100</v>
      </c>
      <c r="C8" s="62">
        <f>('1A'!C8/'1A'!$B8)*100</f>
        <v>3.9152413923767204</v>
      </c>
      <c r="D8" s="62">
        <f>('1A'!D8/'1A'!$B8)*100</f>
        <v>0.58888372173134229</v>
      </c>
      <c r="E8" s="62">
        <f>('1A'!E8/'1A'!$B8)*100</f>
        <v>0.93689178249711513</v>
      </c>
      <c r="F8" s="62" t="s">
        <v>10</v>
      </c>
      <c r="G8" s="62" t="s">
        <v>10</v>
      </c>
      <c r="H8" s="62" t="s">
        <v>10</v>
      </c>
      <c r="I8" s="62">
        <f>('1A'!I8/'1A'!$B8)*100</f>
        <v>2.3894658881482633</v>
      </c>
      <c r="J8" s="62">
        <f>('1A'!J8/'1A'!$B8)*100</f>
        <v>2.0503281145042114</v>
      </c>
      <c r="K8" s="62">
        <f>('1A'!K8/'1A'!$B8)*100</f>
        <v>0.33913777364405179</v>
      </c>
      <c r="L8" s="62">
        <f>('1A'!L8/'1A'!$L8)*100</f>
        <v>100</v>
      </c>
      <c r="M8" s="62">
        <f>('1A'!M8/'1A'!$L8)*100</f>
        <v>2.8049787491629492</v>
      </c>
      <c r="N8" s="62">
        <f>('1A'!N8/'1A'!$L8)*100</f>
        <v>0.20631921201282544</v>
      </c>
      <c r="O8" s="62">
        <f>('1A'!O8/'1A'!$L8)*100</f>
        <v>1.26417154896252</v>
      </c>
      <c r="P8" s="62" t="s">
        <v>10</v>
      </c>
      <c r="Q8" s="62" t="s">
        <v>10</v>
      </c>
      <c r="R8" s="62" t="s">
        <v>10</v>
      </c>
      <c r="S8" s="62">
        <f>('1A'!S8/'1A'!$L8)*100</f>
        <v>1.3344879881876037</v>
      </c>
      <c r="T8" s="62">
        <f>('1A'!T8/'1A'!$L8)*100</f>
        <v>0.95843657190274023</v>
      </c>
      <c r="U8" s="62">
        <f>('1A'!U8/'1A'!$L8)*100</f>
        <v>0.37605141628486333</v>
      </c>
      <c r="X8" s="2">
        <f t="shared" si="2"/>
        <v>0</v>
      </c>
      <c r="Y8" s="2">
        <f t="shared" si="2"/>
        <v>-9.4165803463278959</v>
      </c>
      <c r="Z8" s="2">
        <f t="shared" si="2"/>
        <v>-22.132794502617237</v>
      </c>
      <c r="AA8" s="2">
        <f t="shared" si="2"/>
        <v>-10.573625877617854</v>
      </c>
      <c r="AB8" s="2">
        <f t="shared" si="0"/>
        <v>-5.8868822389318893</v>
      </c>
      <c r="AC8" s="2">
        <f t="shared" si="0"/>
        <v>-7.7406387826901675</v>
      </c>
      <c r="AD8" s="2">
        <f t="shared" si="0"/>
        <v>-0.80717526863317568</v>
      </c>
      <c r="AE8" s="2"/>
      <c r="AF8" s="2" t="s">
        <v>15</v>
      </c>
      <c r="AG8" s="2">
        <f>((L34/L21)^(1/13)-1)*100</f>
        <v>0</v>
      </c>
      <c r="AH8" s="2">
        <f>((M34/M21)^(1/13)-1)*100</f>
        <v>-2.5643345099906845</v>
      </c>
      <c r="AI8" s="2">
        <f>((N34/N21)^(1/13)-1)*100</f>
        <v>-1.0955269054252148</v>
      </c>
      <c r="AJ8" s="2">
        <f>((O34/O21)^(1/13)-1)*100</f>
        <v>-1.468430171727364</v>
      </c>
      <c r="AK8" s="2">
        <f t="shared" ref="AK8:AM8" si="4">((S34/S21)^(1/13)-1)*100</f>
        <v>-3.923741814520687</v>
      </c>
      <c r="AL8" s="2">
        <f t="shared" si="4"/>
        <v>-4.0247055627455675</v>
      </c>
      <c r="AM8" s="2">
        <f t="shared" si="4"/>
        <v>-3.5093643406668429</v>
      </c>
      <c r="AN8" s="2"/>
      <c r="AO8" s="2"/>
      <c r="AP8" s="2"/>
      <c r="AQ8" s="2"/>
      <c r="AR8" s="2"/>
      <c r="AS8" s="2"/>
      <c r="AT8" s="2"/>
      <c r="AU8" s="2"/>
    </row>
    <row r="9" spans="1:47">
      <c r="A9" s="63">
        <v>1988</v>
      </c>
      <c r="B9" s="62">
        <f>('1A'!B9/'1A'!B9)*100</f>
        <v>100</v>
      </c>
      <c r="C9" s="62">
        <f>('1A'!C9/'1A'!$B9)*100</f>
        <v>3.9297757631408596</v>
      </c>
      <c r="D9" s="62">
        <f>('1A'!D9/'1A'!$B9)*100</f>
        <v>0.60756738367230578</v>
      </c>
      <c r="E9" s="62">
        <f>('1A'!E9/'1A'!$B9)*100</f>
        <v>0.88311868314986874</v>
      </c>
      <c r="F9" s="62" t="s">
        <v>10</v>
      </c>
      <c r="G9" s="62" t="s">
        <v>10</v>
      </c>
      <c r="H9" s="62" t="s">
        <v>10</v>
      </c>
      <c r="I9" s="62">
        <f>('1A'!I9/'1A'!$B9)*100</f>
        <v>2.439089696318685</v>
      </c>
      <c r="J9" s="62">
        <f>('1A'!J9/'1A'!$B9)*100</f>
        <v>2.1054198318184181</v>
      </c>
      <c r="K9" s="62">
        <f>('1A'!K9/'1A'!$B9)*100</f>
        <v>0.33366986450026698</v>
      </c>
      <c r="L9" s="62">
        <f>('1A'!L9/'1A'!$L9)*100</f>
        <v>100</v>
      </c>
      <c r="M9" s="62">
        <f>('1A'!M9/'1A'!$L9)*100</f>
        <v>2.5759835442655641</v>
      </c>
      <c r="N9" s="62">
        <f>('1A'!N9/'1A'!$L9)*100</f>
        <v>0.19233138296527486</v>
      </c>
      <c r="O9" s="62">
        <f>('1A'!O9/'1A'!$L9)*100</f>
        <v>1.0845655569522332</v>
      </c>
      <c r="P9" s="62" t="s">
        <v>10</v>
      </c>
      <c r="Q9" s="62" t="s">
        <v>10</v>
      </c>
      <c r="R9" s="62" t="s">
        <v>10</v>
      </c>
      <c r="S9" s="62">
        <f>('1A'!S9/'1A'!$L9)*100</f>
        <v>1.299086604348056</v>
      </c>
      <c r="T9" s="62">
        <f>('1A'!T9/'1A'!$L9)*100</f>
        <v>0.92353369414915798</v>
      </c>
      <c r="U9" s="62">
        <f>('1A'!U9/'1A'!$L9)*100</f>
        <v>0.37555291019889814</v>
      </c>
      <c r="X9" s="2">
        <f t="shared" si="2"/>
        <v>0</v>
      </c>
      <c r="Y9" s="2">
        <f t="shared" si="2"/>
        <v>-8.1638837715159553</v>
      </c>
      <c r="Z9" s="2">
        <f t="shared" si="2"/>
        <v>-6.7797026321916416</v>
      </c>
      <c r="AA9" s="2">
        <f t="shared" si="2"/>
        <v>-14.207406594277948</v>
      </c>
      <c r="AB9" s="2">
        <f t="shared" si="0"/>
        <v>-2.6528064810554808</v>
      </c>
      <c r="AC9" s="2">
        <f t="shared" si="0"/>
        <v>-3.6416471133077888</v>
      </c>
      <c r="AD9" s="2">
        <f t="shared" si="0"/>
        <v>-0.13256327841817406</v>
      </c>
      <c r="AE9" s="2"/>
      <c r="AF9" s="2" t="s">
        <v>29</v>
      </c>
      <c r="AG9" s="2">
        <f>((L21/L5)^(1/16)-1)*100</f>
        <v>0</v>
      </c>
      <c r="AH9" s="2">
        <f>((M21/M5)^(1/16)-1)*100</f>
        <v>-1.5767066320055423</v>
      </c>
      <c r="AI9" s="2">
        <f>((N21/N5)^(1/16)-1)*100</f>
        <v>1.2094138833943724</v>
      </c>
      <c r="AJ9" s="2">
        <f>((O21/O5)^(1/16)-1)*100</f>
        <v>-3.0603507262729535</v>
      </c>
      <c r="AK9" s="2">
        <f t="shared" ref="AK9:AM9" si="5">((S21/S5)^(1/16)-1)*100</f>
        <v>-0.896335378728641</v>
      </c>
      <c r="AL9" s="2">
        <f t="shared" si="5"/>
        <v>-1.3471693662907347</v>
      </c>
      <c r="AM9" s="2">
        <f t="shared" si="5"/>
        <v>-4.5348658986854584E-2</v>
      </c>
      <c r="AN9" s="2"/>
      <c r="AO9" s="2"/>
      <c r="AP9" s="2"/>
      <c r="AQ9" s="2"/>
      <c r="AR9" s="2"/>
      <c r="AS9" s="2"/>
      <c r="AT9" s="2"/>
      <c r="AU9" s="2"/>
    </row>
    <row r="10" spans="1:47">
      <c r="A10" s="63">
        <v>1989</v>
      </c>
      <c r="B10" s="62">
        <f>('1A'!B10/'1A'!B10)*100</f>
        <v>100</v>
      </c>
      <c r="C10" s="62">
        <f>('1A'!C10/'1A'!$B10)*100</f>
        <v>3.4703036237089617</v>
      </c>
      <c r="D10" s="62">
        <f>('1A'!D10/'1A'!$B10)*100</f>
        <v>0.63538782578205144</v>
      </c>
      <c r="E10" s="62">
        <f>('1A'!E10/'1A'!$B10)*100</f>
        <v>0.79191327286761015</v>
      </c>
      <c r="F10" s="62" t="s">
        <v>10</v>
      </c>
      <c r="G10" s="62" t="s">
        <v>10</v>
      </c>
      <c r="H10" s="62" t="s">
        <v>10</v>
      </c>
      <c r="I10" s="62">
        <f>('1A'!I10/'1A'!$B10)*100</f>
        <v>2.0430025250593</v>
      </c>
      <c r="J10" s="62">
        <f>('1A'!J10/'1A'!$B10)*100</f>
        <v>1.6902073906457655</v>
      </c>
      <c r="K10" s="62">
        <f>('1A'!K10/'1A'!$B10)*100</f>
        <v>0.35279513441353472</v>
      </c>
      <c r="L10" s="62">
        <f>('1A'!L10/'1A'!$L10)*100</f>
        <v>100</v>
      </c>
      <c r="M10" s="62">
        <f>('1A'!M10/'1A'!$L10)*100</f>
        <v>2.5909732371361289</v>
      </c>
      <c r="N10" s="62">
        <f>('1A'!N10/'1A'!$L10)*100</f>
        <v>0.18668926825894089</v>
      </c>
      <c r="O10" s="62">
        <f>('1A'!O10/'1A'!$L10)*100</f>
        <v>1.1861420045485127</v>
      </c>
      <c r="P10" s="62" t="s">
        <v>10</v>
      </c>
      <c r="Q10" s="62" t="s">
        <v>10</v>
      </c>
      <c r="R10" s="62" t="s">
        <v>10</v>
      </c>
      <c r="S10" s="62">
        <f>('1A'!S10/'1A'!$L10)*100</f>
        <v>1.2181419643286755</v>
      </c>
      <c r="T10" s="62">
        <f>('1A'!T10/'1A'!$L10)*100</f>
        <v>0.83586724009458924</v>
      </c>
      <c r="U10" s="62">
        <f>('1A'!U10/'1A'!$L10)*100</f>
        <v>0.38227472423408615</v>
      </c>
      <c r="X10" s="2">
        <f t="shared" si="2"/>
        <v>0</v>
      </c>
      <c r="Y10" s="2">
        <f t="shared" si="2"/>
        <v>0.58190173240562082</v>
      </c>
      <c r="Z10" s="2">
        <f t="shared" si="2"/>
        <v>-2.9335382605513938</v>
      </c>
      <c r="AA10" s="2">
        <f t="shared" si="2"/>
        <v>9.3656346492988476</v>
      </c>
      <c r="AB10" s="2">
        <f t="shared" si="0"/>
        <v>-6.2308886681194275</v>
      </c>
      <c r="AC10" s="2">
        <f t="shared" si="0"/>
        <v>-9.4925019639196755</v>
      </c>
      <c r="AD10" s="2">
        <f t="shared" si="0"/>
        <v>1.789844746943392</v>
      </c>
      <c r="AE10" s="2"/>
      <c r="AF10" s="2" t="s">
        <v>15</v>
      </c>
      <c r="AG10" s="2">
        <f t="shared" ref="AG10:AM10" si="6">AG8</f>
        <v>0</v>
      </c>
      <c r="AH10" s="2">
        <f t="shared" si="6"/>
        <v>-2.5643345099906845</v>
      </c>
      <c r="AI10" s="2">
        <f t="shared" si="6"/>
        <v>-1.0955269054252148</v>
      </c>
      <c r="AJ10" s="2">
        <f t="shared" si="6"/>
        <v>-1.468430171727364</v>
      </c>
      <c r="AK10" s="2">
        <f t="shared" si="6"/>
        <v>-3.923741814520687</v>
      </c>
      <c r="AL10" s="2">
        <f t="shared" si="6"/>
        <v>-4.0247055627455675</v>
      </c>
      <c r="AM10" s="2">
        <f t="shared" si="6"/>
        <v>-3.5093643406668429</v>
      </c>
      <c r="AN10" s="2"/>
      <c r="AO10" s="2"/>
      <c r="AP10" s="2"/>
      <c r="AQ10" s="2"/>
      <c r="AR10" s="2"/>
      <c r="AS10" s="2"/>
      <c r="AT10" s="2"/>
      <c r="AU10" s="2"/>
    </row>
    <row r="11" spans="1:47">
      <c r="A11" s="63">
        <v>1990</v>
      </c>
      <c r="B11" s="62">
        <f>('1A'!B11/'1A'!B11)*100</f>
        <v>100</v>
      </c>
      <c r="C11" s="62">
        <f>('1A'!C11/'1A'!$B11)*100</f>
        <v>2.9709944278243401</v>
      </c>
      <c r="D11" s="62">
        <f>('1A'!D11/'1A'!$B11)*100</f>
        <v>0.51554043252871729</v>
      </c>
      <c r="E11" s="62">
        <f>('1A'!E11/'1A'!$B11)*100</f>
        <v>0.69017047660371333</v>
      </c>
      <c r="F11" s="62" t="s">
        <v>10</v>
      </c>
      <c r="G11" s="62" t="s">
        <v>10</v>
      </c>
      <c r="H11" s="62" t="s">
        <v>10</v>
      </c>
      <c r="I11" s="62">
        <f>('1A'!I11/'1A'!$B11)*100</f>
        <v>1.7652835186919089</v>
      </c>
      <c r="J11" s="62">
        <f>('1A'!J11/'1A'!$B11)*100</f>
        <v>1.4371474571239353</v>
      </c>
      <c r="K11" s="62">
        <f>('1A'!K11/'1A'!$B11)*100</f>
        <v>0.32813606156797376</v>
      </c>
      <c r="L11" s="62">
        <f>('1A'!L11/'1A'!$L11)*100</f>
        <v>100</v>
      </c>
      <c r="M11" s="62">
        <f>('1A'!M11/'1A'!$L11)*100</f>
        <v>2.7767858857048382</v>
      </c>
      <c r="N11" s="62">
        <f>('1A'!N11/'1A'!$L11)*100</f>
        <v>0.21817459386340915</v>
      </c>
      <c r="O11" s="62">
        <f>('1A'!O11/'1A'!$L11)*100</f>
        <v>1.2509370586733337</v>
      </c>
      <c r="P11" s="62" t="s">
        <v>10</v>
      </c>
      <c r="Q11" s="62" t="s">
        <v>10</v>
      </c>
      <c r="R11" s="62" t="s">
        <v>10</v>
      </c>
      <c r="S11" s="62">
        <f>('1A'!S11/'1A'!$L11)*100</f>
        <v>1.3076742331680955</v>
      </c>
      <c r="T11" s="62">
        <f>('1A'!T11/'1A'!$L11)*100</f>
        <v>0.92924413050056631</v>
      </c>
      <c r="U11" s="62">
        <f>('1A'!U11/'1A'!$L11)*100</f>
        <v>0.37843010266752919</v>
      </c>
      <c r="X11" s="2">
        <f t="shared" si="2"/>
        <v>0</v>
      </c>
      <c r="Y11" s="2">
        <f t="shared" si="2"/>
        <v>7.1715387062080582</v>
      </c>
      <c r="Z11" s="2">
        <f t="shared" si="2"/>
        <v>16.865096691470029</v>
      </c>
      <c r="AA11" s="2">
        <f t="shared" si="2"/>
        <v>5.4626725869542314</v>
      </c>
      <c r="AB11" s="2">
        <f t="shared" si="0"/>
        <v>7.3499043183165913</v>
      </c>
      <c r="AC11" s="2">
        <f t="shared" si="0"/>
        <v>11.171258535674911</v>
      </c>
      <c r="AD11" s="2">
        <f t="shared" si="0"/>
        <v>-1.005722147667476</v>
      </c>
      <c r="AE11" s="2"/>
      <c r="AF11" s="2" t="s">
        <v>12</v>
      </c>
      <c r="AG11" s="2">
        <f>((L34/L5)^(1/29)-1)*100</f>
        <v>0</v>
      </c>
      <c r="AH11" s="2">
        <f>((M34/M5)^(1/29)-1)*100</f>
        <v>-2.0206683084322496</v>
      </c>
      <c r="AI11" s="2">
        <f>((N34/N5)^(1/29)-1)*100</f>
        <v>0.16959560484752778</v>
      </c>
      <c r="AJ11" s="2">
        <f>((O34/O5)^(1/29)-1)*100</f>
        <v>-2.3499367910629343</v>
      </c>
      <c r="AK11" s="2">
        <f t="shared" ref="AK11:AM11" si="7">((S34/S5)^(1/29)-1)*100</f>
        <v>-2.2650693038644309</v>
      </c>
      <c r="AL11" s="2">
        <f t="shared" si="7"/>
        <v>-2.5565592628838618</v>
      </c>
      <c r="AM11" s="2">
        <f t="shared" si="7"/>
        <v>-1.6133008914791191</v>
      </c>
      <c r="AN11" s="2"/>
      <c r="AO11" s="2"/>
      <c r="AP11" s="2"/>
      <c r="AQ11" s="2"/>
      <c r="AR11" s="2"/>
      <c r="AS11" s="2"/>
      <c r="AT11" s="2"/>
      <c r="AU11" s="2"/>
    </row>
    <row r="12" spans="1:47">
      <c r="A12" s="63">
        <v>1991</v>
      </c>
      <c r="B12" s="62">
        <f>('1A'!B12/'1A'!B12)*100</f>
        <v>100</v>
      </c>
      <c r="C12" s="62">
        <f>('1A'!C12/'1A'!$B12)*100</f>
        <v>2.6710828494286916</v>
      </c>
      <c r="D12" s="62">
        <f>('1A'!D12/'1A'!$B12)*100</f>
        <v>0.44126441540426825</v>
      </c>
      <c r="E12" s="62">
        <f>('1A'!E12/'1A'!$B12)*100</f>
        <v>0.64544209598828017</v>
      </c>
      <c r="F12" s="62" t="s">
        <v>10</v>
      </c>
      <c r="G12" s="62" t="s">
        <v>10</v>
      </c>
      <c r="H12" s="62" t="s">
        <v>10</v>
      </c>
      <c r="I12" s="62">
        <f>('1A'!I12/'1A'!$B12)*100</f>
        <v>1.5843763380361433</v>
      </c>
      <c r="J12" s="62">
        <f>('1A'!J12/'1A'!$B12)*100</f>
        <v>1.2061699168780984</v>
      </c>
      <c r="K12" s="62">
        <f>('1A'!K12/'1A'!$B12)*100</f>
        <v>0.37820642115804481</v>
      </c>
      <c r="L12" s="62">
        <f>('1A'!L12/'1A'!$L12)*100</f>
        <v>100</v>
      </c>
      <c r="M12" s="62">
        <f>('1A'!M12/'1A'!$L12)*100</f>
        <v>2.9457019884543119</v>
      </c>
      <c r="N12" s="62">
        <f>('1A'!N12/'1A'!$L12)*100</f>
        <v>0.26633444973846543</v>
      </c>
      <c r="O12" s="62">
        <f>('1A'!O12/'1A'!$L12)*100</f>
        <v>1.3402538862154543</v>
      </c>
      <c r="P12" s="62" t="s">
        <v>10</v>
      </c>
      <c r="Q12" s="62" t="s">
        <v>10</v>
      </c>
      <c r="R12" s="62" t="s">
        <v>10</v>
      </c>
      <c r="S12" s="62">
        <f>('1A'!S12/'1A'!$L12)*100</f>
        <v>1.3391136525003919</v>
      </c>
      <c r="T12" s="62">
        <f>('1A'!T12/'1A'!$L12)*100</f>
        <v>0.9162344689213503</v>
      </c>
      <c r="U12" s="62">
        <f>('1A'!U12/'1A'!$L12)*100</f>
        <v>0.42287918357904175</v>
      </c>
      <c r="X12" s="2">
        <f t="shared" si="2"/>
        <v>0</v>
      </c>
      <c r="Y12" s="2">
        <f t="shared" si="2"/>
        <v>6.0831518778264426</v>
      </c>
      <c r="Z12" s="2">
        <f t="shared" si="2"/>
        <v>22.073998178361375</v>
      </c>
      <c r="AA12" s="2">
        <f t="shared" si="2"/>
        <v>7.1399937289286619</v>
      </c>
      <c r="AB12" s="2">
        <f t="shared" si="0"/>
        <v>2.4042241205692649</v>
      </c>
      <c r="AC12" s="2">
        <f t="shared" si="0"/>
        <v>-1.400026231234619</v>
      </c>
      <c r="AD12" s="2">
        <f t="shared" si="0"/>
        <v>11.745651468578711</v>
      </c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47">
      <c r="A13" s="63">
        <v>1992</v>
      </c>
      <c r="B13" s="62">
        <f>('1A'!B13/'1A'!B13)*100</f>
        <v>100</v>
      </c>
      <c r="C13" s="62" t="s">
        <v>10</v>
      </c>
      <c r="D13" s="62">
        <f>('1A'!D13/'1A'!$B13)*100</f>
        <v>0.45901254690161286</v>
      </c>
      <c r="E13" s="62">
        <f>('1A'!E13/'1A'!$B13)*100</f>
        <v>0.70070468516823115</v>
      </c>
      <c r="F13" s="62" t="s">
        <v>10</v>
      </c>
      <c r="G13" s="62" t="s">
        <v>10</v>
      </c>
      <c r="H13" s="62" t="s">
        <v>10</v>
      </c>
      <c r="I13" s="62" t="s">
        <v>10</v>
      </c>
      <c r="J13" s="62">
        <f>('1A'!J13/'1A'!$B13)*100</f>
        <v>0.91271778305249962</v>
      </c>
      <c r="K13" s="62" t="s">
        <v>10</v>
      </c>
      <c r="L13" s="62">
        <f>('1A'!L13/'1A'!$L13)*100</f>
        <v>100</v>
      </c>
      <c r="M13" s="62" t="s">
        <v>10</v>
      </c>
      <c r="N13" s="62">
        <f>('1A'!N13/'1A'!$L13)*100</f>
        <v>0.27708580561670154</v>
      </c>
      <c r="O13" s="62">
        <f>('1A'!O13/'1A'!$L13)*100</f>
        <v>1.3124525226239456</v>
      </c>
      <c r="P13" s="62" t="s">
        <v>10</v>
      </c>
      <c r="Q13" s="62" t="s">
        <v>10</v>
      </c>
      <c r="R13" s="62" t="s">
        <v>10</v>
      </c>
      <c r="S13" s="62" t="s">
        <v>10</v>
      </c>
      <c r="T13" s="62">
        <f>('1A'!T13/'1A'!$L13)*100</f>
        <v>0.92279271241223348</v>
      </c>
      <c r="U13" s="62" t="s">
        <v>10</v>
      </c>
      <c r="X13" s="2">
        <f t="shared" si="2"/>
        <v>0</v>
      </c>
      <c r="Y13" s="2"/>
      <c r="Z13" s="2">
        <f t="shared" si="2"/>
        <v>4.0367875386731589</v>
      </c>
      <c r="AA13" s="2">
        <f t="shared" si="2"/>
        <v>-2.074335607413369</v>
      </c>
      <c r="AB13" s="2"/>
      <c r="AC13" s="2">
        <f t="shared" si="0"/>
        <v>0.71578222751256249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47">
      <c r="A14" s="63">
        <v>1993</v>
      </c>
      <c r="B14" s="62">
        <f>('1A'!B14/'1A'!B14)*100</f>
        <v>100</v>
      </c>
      <c r="C14" s="62" t="s">
        <v>10</v>
      </c>
      <c r="D14" s="62">
        <f>('1A'!D14/'1A'!$B14)*100</f>
        <v>0.49266236768134869</v>
      </c>
      <c r="E14" s="62">
        <f>('1A'!E14/'1A'!$B14)*100</f>
        <v>0.94260483416512297</v>
      </c>
      <c r="F14" s="62" t="s">
        <v>10</v>
      </c>
      <c r="G14" s="62" t="s">
        <v>10</v>
      </c>
      <c r="H14" s="62" t="s">
        <v>10</v>
      </c>
      <c r="I14" s="62" t="s">
        <v>10</v>
      </c>
      <c r="J14" s="62">
        <f>('1A'!J14/'1A'!$B14)*100</f>
        <v>1.0916858163854104</v>
      </c>
      <c r="K14" s="62" t="s">
        <v>10</v>
      </c>
      <c r="L14" s="62">
        <f>('1A'!L14/'1A'!$L14)*100</f>
        <v>100</v>
      </c>
      <c r="M14" s="62" t="s">
        <v>10</v>
      </c>
      <c r="N14" s="62">
        <f>('1A'!N14/'1A'!$L14)*100</f>
        <v>0.28597525531350537</v>
      </c>
      <c r="O14" s="62">
        <f>('1A'!O14/'1A'!$L14)*100</f>
        <v>1.1919671756942618</v>
      </c>
      <c r="P14" s="62" t="s">
        <v>10</v>
      </c>
      <c r="Q14" s="62" t="s">
        <v>10</v>
      </c>
      <c r="R14" s="62" t="s">
        <v>10</v>
      </c>
      <c r="S14" s="62" t="s">
        <v>10</v>
      </c>
      <c r="T14" s="62">
        <f>('1A'!T14/'1A'!$L14)*100</f>
        <v>0.98801277897221196</v>
      </c>
      <c r="U14" s="62" t="s">
        <v>10</v>
      </c>
      <c r="X14" s="2">
        <f t="shared" si="2"/>
        <v>0</v>
      </c>
      <c r="Y14" s="2"/>
      <c r="Z14" s="2">
        <f t="shared" si="2"/>
        <v>3.208193821772598</v>
      </c>
      <c r="AA14" s="2">
        <f t="shared" si="2"/>
        <v>-9.1801680329587239</v>
      </c>
      <c r="AB14" s="2"/>
      <c r="AC14" s="2">
        <f t="shared" si="0"/>
        <v>7.0676833142179207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47">
      <c r="A15" s="63">
        <v>1994</v>
      </c>
      <c r="B15" s="62">
        <f>('1A'!B15/'1A'!B15)*100</f>
        <v>100</v>
      </c>
      <c r="C15" s="62" t="s">
        <v>10</v>
      </c>
      <c r="D15" s="62">
        <f>('1A'!D15/'1A'!$B15)*100</f>
        <v>0.47027656985609323</v>
      </c>
      <c r="E15" s="62" t="s">
        <v>10</v>
      </c>
      <c r="F15" s="62" t="s">
        <v>10</v>
      </c>
      <c r="G15" s="62" t="s">
        <v>10</v>
      </c>
      <c r="H15" s="62" t="s">
        <v>10</v>
      </c>
      <c r="I15" s="62" t="s">
        <v>10</v>
      </c>
      <c r="J15" s="62">
        <f>('1A'!J15/'1A'!$B15)*100</f>
        <v>1.2614296202362676</v>
      </c>
      <c r="K15" s="62" t="s">
        <v>10</v>
      </c>
      <c r="L15" s="62">
        <f>('1A'!L15/'1A'!$L15)*100</f>
        <v>100</v>
      </c>
      <c r="M15" s="62" t="s">
        <v>10</v>
      </c>
      <c r="N15" s="62">
        <f>('1A'!N15/'1A'!$L15)*100</f>
        <v>0.28655929064052693</v>
      </c>
      <c r="O15" s="62" t="s">
        <v>10</v>
      </c>
      <c r="P15" s="62" t="s">
        <v>10</v>
      </c>
      <c r="Q15" s="62" t="s">
        <v>10</v>
      </c>
      <c r="R15" s="62" t="s">
        <v>10</v>
      </c>
      <c r="S15" s="62" t="s">
        <v>10</v>
      </c>
      <c r="T15" s="62">
        <f>('1A'!T15/'1A'!$L15)*100</f>
        <v>1.042047062796033</v>
      </c>
      <c r="U15" s="62" t="s">
        <v>10</v>
      </c>
      <c r="X15" s="2">
        <f t="shared" si="2"/>
        <v>0</v>
      </c>
      <c r="Y15" s="2"/>
      <c r="Z15" s="2">
        <f t="shared" si="2"/>
        <v>0.20422582589576521</v>
      </c>
      <c r="AA15" s="2"/>
      <c r="AB15" s="2"/>
      <c r="AC15" s="2">
        <f t="shared" si="0"/>
        <v>5.4689863303216235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7">
      <c r="A16" s="63">
        <v>1995</v>
      </c>
      <c r="B16" s="62">
        <f>('1A'!B16/'1A'!B16)*100</f>
        <v>100</v>
      </c>
      <c r="C16" s="62" t="s">
        <v>10</v>
      </c>
      <c r="D16" s="62">
        <f>('1A'!D16/'1A'!$B16)*100</f>
        <v>0.58999599918995949</v>
      </c>
      <c r="E16" s="62">
        <f>('1A'!E16/'1A'!$B16)*100</f>
        <v>1.1202885522500852</v>
      </c>
      <c r="F16" s="62" t="s">
        <v>10</v>
      </c>
      <c r="G16" s="62" t="s">
        <v>10</v>
      </c>
      <c r="H16" s="62" t="s">
        <v>10</v>
      </c>
      <c r="I16" s="62" t="s">
        <v>10</v>
      </c>
      <c r="J16" s="62">
        <f>('1A'!J16/'1A'!$B16)*100</f>
        <v>2.4815518203685683</v>
      </c>
      <c r="K16" s="62" t="s">
        <v>10</v>
      </c>
      <c r="L16" s="62">
        <f>('1A'!L16/'1A'!$L16)*100</f>
        <v>100</v>
      </c>
      <c r="M16" s="62" t="s">
        <v>10</v>
      </c>
      <c r="N16" s="62">
        <f>('1A'!N16/'1A'!$L16)*100</f>
        <v>0.25369114377027963</v>
      </c>
      <c r="O16" s="62">
        <f>('1A'!O16/'1A'!$L16)*100</f>
        <v>1.243407870534613</v>
      </c>
      <c r="P16" s="62" t="s">
        <v>10</v>
      </c>
      <c r="Q16" s="62" t="s">
        <v>10</v>
      </c>
      <c r="R16" s="62" t="s">
        <v>10</v>
      </c>
      <c r="S16" s="62" t="s">
        <v>10</v>
      </c>
      <c r="T16" s="62">
        <f>('1A'!T16/'1A'!$L16)*100</f>
        <v>1.0094421450391036</v>
      </c>
      <c r="U16" s="62" t="s">
        <v>10</v>
      </c>
      <c r="X16" s="2">
        <f t="shared" si="2"/>
        <v>0</v>
      </c>
      <c r="Y16" s="2"/>
      <c r="Z16" s="2">
        <f t="shared" si="2"/>
        <v>-11.46992889212537</v>
      </c>
      <c r="AA16" s="2"/>
      <c r="AB16" s="2"/>
      <c r="AC16" s="2">
        <f t="shared" si="0"/>
        <v>-3.1289294813080293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ht="15.75" thickBot="1">
      <c r="A17" s="63">
        <v>1996</v>
      </c>
      <c r="B17" s="62">
        <f>('1A'!B17/'1A'!B17)*100</f>
        <v>100</v>
      </c>
      <c r="C17" s="62" t="s">
        <v>10</v>
      </c>
      <c r="D17" s="62">
        <f>('1A'!D17/'1A'!$B17)*100</f>
        <v>0.47973966880410668</v>
      </c>
      <c r="E17" s="62">
        <f>('1A'!E17/'1A'!$B17)*100</f>
        <v>1.2688594962217237</v>
      </c>
      <c r="F17" s="62" t="s">
        <v>10</v>
      </c>
      <c r="G17" s="62" t="s">
        <v>10</v>
      </c>
      <c r="H17" s="62" t="s">
        <v>10</v>
      </c>
      <c r="I17" s="62" t="s">
        <v>10</v>
      </c>
      <c r="J17" s="62">
        <f>('1A'!J17/'1A'!$B17)*100</f>
        <v>2.1116076471681455</v>
      </c>
      <c r="K17" s="62" t="s">
        <v>10</v>
      </c>
      <c r="L17" s="78">
        <f>('1A'!L17/'1A'!$L17)*100</f>
        <v>100</v>
      </c>
      <c r="M17" s="92" t="s">
        <v>10</v>
      </c>
      <c r="N17" s="78">
        <f>('1A'!N17/'1A'!$L17)*100</f>
        <v>0.2543972909868043</v>
      </c>
      <c r="O17" s="78">
        <f>('1A'!O17/'1A'!$L17)*100</f>
        <v>1.0844421486564872</v>
      </c>
      <c r="P17" s="78" t="s">
        <v>10</v>
      </c>
      <c r="Q17" s="78" t="s">
        <v>10</v>
      </c>
      <c r="R17" s="78" t="s">
        <v>10</v>
      </c>
      <c r="S17" s="62" t="s">
        <v>10</v>
      </c>
      <c r="T17" s="62">
        <f>('1A'!T17/'1A'!$L17)*100</f>
        <v>0.87844412851373721</v>
      </c>
      <c r="U17" s="62" t="s">
        <v>10</v>
      </c>
      <c r="X17" s="2">
        <f t="shared" si="2"/>
        <v>0</v>
      </c>
      <c r="Y17" s="2"/>
      <c r="Z17" s="2">
        <f t="shared" si="2"/>
        <v>0.27834917925400049</v>
      </c>
      <c r="AA17" s="2">
        <f t="shared" si="2"/>
        <v>-12.784680364760536</v>
      </c>
      <c r="AB17" s="2"/>
      <c r="AC17" s="2">
        <f t="shared" si="0"/>
        <v>-12.977268402072884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47" ht="15.75" thickBot="1">
      <c r="A18" s="63">
        <v>1997</v>
      </c>
      <c r="B18" s="62">
        <f>('1A'!B18/'1A'!B18)*100</f>
        <v>100</v>
      </c>
      <c r="C18" s="62">
        <f>('1A'!C18/'1A'!$B18)*100</f>
        <v>4.0685207720293262</v>
      </c>
      <c r="D18" s="62">
        <f>('1A'!D18/'1A'!$B18)*100</f>
        <v>0.45575061801291356</v>
      </c>
      <c r="E18" s="62">
        <f>('1A'!E18/'1A'!$B18)*100</f>
        <v>1.3788440574539294</v>
      </c>
      <c r="F18" s="62" t="s">
        <v>10</v>
      </c>
      <c r="G18" s="62" t="s">
        <v>10</v>
      </c>
      <c r="H18" s="62" t="s">
        <v>10</v>
      </c>
      <c r="I18" s="62">
        <f>('1A'!I18/'1A'!$B18)*100</f>
        <v>2.2339260965624832</v>
      </c>
      <c r="J18" s="62">
        <f>('1A'!J18/'1A'!$B18)*100</f>
        <v>1.8148365356557332</v>
      </c>
      <c r="K18" s="62">
        <f>('1A'!K18/'1A'!$B18)*100</f>
        <v>0.41908956090675015</v>
      </c>
      <c r="L18" s="62">
        <f>('1A'!L18/'1A'!$L18)*100</f>
        <v>100</v>
      </c>
      <c r="M18" s="78">
        <f>('1A'!M18/'1A'!$L18)*100</f>
        <v>2.5722373853012326</v>
      </c>
      <c r="N18" s="62">
        <f>('1A'!N18/'1A'!$L18)*100</f>
        <v>0.24422256426380423</v>
      </c>
      <c r="O18" s="62">
        <f>('1A'!O18/'1A'!$L18)*100</f>
        <v>0.91446360608509036</v>
      </c>
      <c r="P18" s="62">
        <f>('1A'!P18/'1A'!$L18)*100</f>
        <v>0.40399091843039475</v>
      </c>
      <c r="Q18" s="62">
        <f>('1A'!Q18/'1A'!$L18)*100</f>
        <v>0.15172509606209394</v>
      </c>
      <c r="R18" s="62">
        <f>('1A'!R18/'1A'!$L18)*100</f>
        <v>0.32767136709795591</v>
      </c>
      <c r="S18" s="78">
        <f>('1A'!S18/'1A'!$L18)*100</f>
        <v>1.4135512149523375</v>
      </c>
      <c r="T18" s="78">
        <f>('1A'!T18/'1A'!$L18)*100</f>
        <v>0.96250271532945764</v>
      </c>
      <c r="U18" s="78">
        <f>('1A'!U18/'1A'!$L18)*100</f>
        <v>0.45104849962287979</v>
      </c>
      <c r="X18" s="2">
        <f t="shared" si="2"/>
        <v>0</v>
      </c>
      <c r="Y18" s="2"/>
      <c r="Z18" s="2">
        <f t="shared" si="2"/>
        <v>-3.9995420877055765</v>
      </c>
      <c r="AA18" s="2">
        <f t="shared" si="2"/>
        <v>-15.674284034605524</v>
      </c>
      <c r="AB18" s="2"/>
      <c r="AC18" s="2">
        <f t="shared" si="0"/>
        <v>9.5690305264993114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47">
      <c r="A19" s="63">
        <v>1998</v>
      </c>
      <c r="B19" s="62">
        <f>('1A'!B19/'1A'!B19)*100</f>
        <v>100</v>
      </c>
      <c r="C19" s="62">
        <f>('1A'!C19/'1A'!$B19)*100</f>
        <v>4.3836007286614143</v>
      </c>
      <c r="D19" s="62">
        <f>('1A'!D19/'1A'!$B19)*100</f>
        <v>0.54468538068169348</v>
      </c>
      <c r="E19" s="62">
        <f>('1A'!E19/'1A'!$B19)*100</f>
        <v>1.3620701007396354</v>
      </c>
      <c r="F19" s="62" t="s">
        <v>10</v>
      </c>
      <c r="G19" s="62" t="s">
        <v>10</v>
      </c>
      <c r="H19" s="62" t="s">
        <v>10</v>
      </c>
      <c r="I19" s="62">
        <f>('1A'!I19/'1A'!$B19)*100</f>
        <v>2.4768452472400853</v>
      </c>
      <c r="J19" s="62">
        <f>('1A'!J19/'1A'!$B19)*100</f>
        <v>1.9165221780830937</v>
      </c>
      <c r="K19" s="62">
        <f>('1A'!K19/'1A'!$B19)*100</f>
        <v>0.56032306915699137</v>
      </c>
      <c r="L19" s="62">
        <f>('1A'!L19/'1A'!$L19)*100</f>
        <v>100</v>
      </c>
      <c r="M19" s="62">
        <f>('1A'!M19/'1A'!$L19)*100</f>
        <v>2.6426095470759878</v>
      </c>
      <c r="N19" s="62">
        <f>('1A'!N19/'1A'!$L19)*100</f>
        <v>0.27145190949480225</v>
      </c>
      <c r="O19" s="62">
        <f>('1A'!O19/'1A'!$L19)*100</f>
        <v>0.95348699392439518</v>
      </c>
      <c r="P19" s="62">
        <f>('1A'!P19/'1A'!$L19)*100</f>
        <v>0.43782566047548754</v>
      </c>
      <c r="Q19" s="62">
        <f>('1A'!Q19/'1A'!$L19)*100</f>
        <v>0.1499221201022124</v>
      </c>
      <c r="R19" s="62">
        <f>('1A'!R19/'1A'!$L19)*100</f>
        <v>0.32018765473156863</v>
      </c>
      <c r="S19" s="62">
        <f>('1A'!S19/'1A'!$L19)*100</f>
        <v>1.4178033180993592</v>
      </c>
      <c r="T19" s="62">
        <f>('1A'!T19/'1A'!$L19)*100</f>
        <v>0.90709516383966904</v>
      </c>
      <c r="U19" s="62">
        <f>('1A'!U19/'1A'!$L19)*100</f>
        <v>0.53706614351659809</v>
      </c>
      <c r="X19" s="2">
        <f t="shared" si="2"/>
        <v>0</v>
      </c>
      <c r="Y19" s="2">
        <f t="shared" si="2"/>
        <v>2.7358346541765277</v>
      </c>
      <c r="Z19" s="2">
        <f t="shared" si="2"/>
        <v>11.149397809772177</v>
      </c>
      <c r="AA19" s="2">
        <f t="shared" si="2"/>
        <v>4.2673527497029351</v>
      </c>
      <c r="AB19" s="2">
        <f t="shared" si="0"/>
        <v>0.30080998141726045</v>
      </c>
      <c r="AC19" s="2">
        <f t="shared" si="0"/>
        <v>-5.7566124861084695</v>
      </c>
      <c r="AD19" s="2">
        <f t="shared" si="0"/>
        <v>19.070597500188423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>
      <c r="A20" s="63">
        <v>1999</v>
      </c>
      <c r="B20" s="62">
        <f>('1A'!B20/'1A'!B20)*100</f>
        <v>100</v>
      </c>
      <c r="C20" s="62">
        <f>('1A'!C20/'1A'!$B20)*100</f>
        <v>4.2076426249404895</v>
      </c>
      <c r="D20" s="62">
        <f>('1A'!D20/'1A'!$B20)*100</f>
        <v>0.49334611054467287</v>
      </c>
      <c r="E20" s="62">
        <f>('1A'!E20/'1A'!$B20)*100</f>
        <v>1.5925200188797599</v>
      </c>
      <c r="F20" s="62" t="s">
        <v>10</v>
      </c>
      <c r="G20" s="62" t="s">
        <v>10</v>
      </c>
      <c r="H20" s="62" t="s">
        <v>10</v>
      </c>
      <c r="I20" s="62">
        <f>('1A'!I20/'1A'!$B20)*100</f>
        <v>2.1217764955160567</v>
      </c>
      <c r="J20" s="62">
        <f>('1A'!J20/'1A'!$B20)*100</f>
        <v>1.5352575432201432</v>
      </c>
      <c r="K20" s="62">
        <f>('1A'!K20/'1A'!$B20)*100</f>
        <v>0.58651895229591366</v>
      </c>
      <c r="L20" s="62">
        <f>('1A'!L20/'1A'!$L20)*100</f>
        <v>100</v>
      </c>
      <c r="M20" s="62">
        <f>('1A'!M20/'1A'!$L20)*100</f>
        <v>2.5939968404423377</v>
      </c>
      <c r="N20" s="62">
        <f>('1A'!N20/'1A'!$L20)*100</f>
        <v>0.28381973892076162</v>
      </c>
      <c r="O20" s="62">
        <f>('1A'!O20/'1A'!$L20)*100</f>
        <v>0.93248524153986856</v>
      </c>
      <c r="P20" s="62">
        <f>('1A'!P20/'1A'!$L20)*100</f>
        <v>0.39619190155483497</v>
      </c>
      <c r="Q20" s="62">
        <f>('1A'!Q20/'1A'!$L20)*100</f>
        <v>0.15714642055375405</v>
      </c>
      <c r="R20" s="62">
        <f>('1A'!R20/'1A'!$L20)*100</f>
        <v>0.36833790637731767</v>
      </c>
      <c r="S20" s="62">
        <f>('1A'!S20/'1A'!$L20)*100</f>
        <v>1.3778165793630996</v>
      </c>
      <c r="T20" s="62">
        <f>('1A'!T20/'1A'!$L20)*100</f>
        <v>0.86684127380061526</v>
      </c>
      <c r="U20" s="62">
        <f>('1A'!U20/'1A'!$L20)*100</f>
        <v>0.54909786314126541</v>
      </c>
      <c r="X20" s="2">
        <f t="shared" si="2"/>
        <v>0</v>
      </c>
      <c r="Y20" s="2">
        <f t="shared" si="2"/>
        <v>-1.8395720505679503</v>
      </c>
      <c r="Z20" s="2">
        <f t="shared" si="2"/>
        <v>4.5561769850788858</v>
      </c>
      <c r="AA20" s="2">
        <f t="shared" si="2"/>
        <v>-2.2026259947277138</v>
      </c>
      <c r="AB20" s="2">
        <f t="shared" si="0"/>
        <v>-2.8203304524540118</v>
      </c>
      <c r="AC20" s="2">
        <f t="shared" si="0"/>
        <v>-4.4376700090277161</v>
      </c>
      <c r="AD20" s="2">
        <f t="shared" si="0"/>
        <v>2.240267752848113</v>
      </c>
      <c r="AE20" s="2"/>
      <c r="AF20" s="2" t="s">
        <v>30</v>
      </c>
      <c r="AG20" s="2"/>
      <c r="AH20" s="2"/>
      <c r="AI20" s="2"/>
      <c r="AJ20" s="2"/>
      <c r="AK20" s="2"/>
      <c r="AL20" s="2"/>
      <c r="AM20" s="2"/>
      <c r="AN20" s="2"/>
      <c r="AO20" s="2" t="s">
        <v>25</v>
      </c>
      <c r="AP20" s="2"/>
      <c r="AQ20" s="2"/>
      <c r="AR20" s="2"/>
      <c r="AS20" s="2"/>
      <c r="AT20" s="2"/>
      <c r="AU20" s="2"/>
    </row>
    <row r="21" spans="1:47">
      <c r="A21" s="63">
        <v>2000</v>
      </c>
      <c r="B21" s="62">
        <f>('1A'!B21/'1A'!B21)*100</f>
        <v>100</v>
      </c>
      <c r="C21" s="62">
        <f>('1A'!C21/'1A'!$B21)*100</f>
        <v>4.4415066177545581</v>
      </c>
      <c r="D21" s="62">
        <f>('1A'!D21/'1A'!$B21)*100</f>
        <v>0.56617133443477952</v>
      </c>
      <c r="E21" s="62">
        <f>('1A'!E21/'1A'!$B21)*100</f>
        <v>1.5473916462733504</v>
      </c>
      <c r="F21" s="62" t="s">
        <v>10</v>
      </c>
      <c r="G21" s="62" t="s">
        <v>10</v>
      </c>
      <c r="H21" s="62" t="s">
        <v>10</v>
      </c>
      <c r="I21" s="62">
        <f>('1A'!I21/'1A'!$B21)*100</f>
        <v>2.3279436370464297</v>
      </c>
      <c r="J21" s="62">
        <f>('1A'!J21/'1A'!$B21)*100</f>
        <v>1.8276584013614867</v>
      </c>
      <c r="K21" s="62">
        <f>('1A'!K21/'1A'!$B21)*100</f>
        <v>0.5002852356849431</v>
      </c>
      <c r="L21" s="62">
        <f>('1A'!L21/'1A'!$L21)*100</f>
        <v>100</v>
      </c>
      <c r="M21" s="62">
        <f>('1A'!M21/'1A'!$L21)*100</f>
        <v>2.6490839673732771</v>
      </c>
      <c r="N21" s="62">
        <f>('1A'!N21/'1A'!$L21)*100</f>
        <v>0.34429431582677317</v>
      </c>
      <c r="O21" s="62">
        <f>('1A'!O21/'1A'!$L21)*100</f>
        <v>0.96054419714911443</v>
      </c>
      <c r="P21" s="62">
        <f>('1A'!P21/'1A'!$L21)*100</f>
        <v>0.39287767203493557</v>
      </c>
      <c r="Q21" s="62">
        <f>('1A'!Q21/'1A'!$L21)*100</f>
        <v>0.15691272037795706</v>
      </c>
      <c r="R21" s="62">
        <f>('1A'!R21/'1A'!$L21)*100</f>
        <v>0.41989049478354584</v>
      </c>
      <c r="S21" s="62">
        <f>('1A'!S21/'1A'!$L21)*100</f>
        <v>1.3443249038760621</v>
      </c>
      <c r="T21" s="62">
        <f>('1A'!T21/'1A'!$L21)*100</f>
        <v>0.90405561781304999</v>
      </c>
      <c r="U21" s="62">
        <f>('1A'!U21/'1A'!$L21)*100</f>
        <v>0.42636562729534511</v>
      </c>
      <c r="X21" s="2">
        <f t="shared" si="2"/>
        <v>0</v>
      </c>
      <c r="Y21" s="2">
        <f t="shared" si="2"/>
        <v>2.1236389371062536</v>
      </c>
      <c r="Z21" s="2">
        <f t="shared" si="2"/>
        <v>21.307389378895579</v>
      </c>
      <c r="AA21" s="2">
        <f t="shared" si="2"/>
        <v>3.0090509060401338</v>
      </c>
      <c r="AB21" s="2">
        <f t="shared" si="0"/>
        <v>-2.4307789577128758</v>
      </c>
      <c r="AC21" s="2">
        <f t="shared" si="0"/>
        <v>4.2930978412311305</v>
      </c>
      <c r="AD21" s="2">
        <f t="shared" si="0"/>
        <v>-22.351614181085456</v>
      </c>
      <c r="AE21" s="2"/>
      <c r="AF21" s="2" t="s">
        <v>2</v>
      </c>
      <c r="AG21" s="2" t="s">
        <v>3</v>
      </c>
      <c r="AH21" s="2" t="s">
        <v>4</v>
      </c>
      <c r="AI21" s="2" t="s">
        <v>5</v>
      </c>
      <c r="AJ21" s="2" t="s">
        <v>6</v>
      </c>
      <c r="AK21" s="2" t="s">
        <v>7</v>
      </c>
      <c r="AL21" s="2"/>
      <c r="AM21" s="2"/>
      <c r="AN21" s="2"/>
      <c r="AO21" s="2" t="s">
        <v>2</v>
      </c>
      <c r="AP21" s="2" t="s">
        <v>3</v>
      </c>
      <c r="AQ21" s="2" t="s">
        <v>4</v>
      </c>
      <c r="AR21" s="2" t="s">
        <v>5</v>
      </c>
      <c r="AS21" s="2" t="s">
        <v>6</v>
      </c>
      <c r="AT21" s="2" t="s">
        <v>7</v>
      </c>
      <c r="AU21" s="2"/>
    </row>
    <row r="22" spans="1:47">
      <c r="A22" s="63">
        <v>2001</v>
      </c>
      <c r="B22" s="62">
        <f>('1A'!B22/'1A'!B22)*100</f>
        <v>100</v>
      </c>
      <c r="C22" s="62">
        <f>('1A'!C22/'1A'!$B22)*100</f>
        <v>4.4082994261311308</v>
      </c>
      <c r="D22" s="62">
        <f>('1A'!D22/'1A'!$B22)*100</f>
        <v>0.51045077378885573</v>
      </c>
      <c r="E22" s="62">
        <f>('1A'!E22/'1A'!$B22)*100</f>
        <v>1.5332530099257666</v>
      </c>
      <c r="F22" s="62" t="s">
        <v>10</v>
      </c>
      <c r="G22" s="62" t="s">
        <v>10</v>
      </c>
      <c r="H22" s="62" t="s">
        <v>10</v>
      </c>
      <c r="I22" s="62">
        <f>('1A'!I22/'1A'!$B22)*100</f>
        <v>2.3645956424165075</v>
      </c>
      <c r="J22" s="62">
        <f>('1A'!J22/'1A'!$B22)*100</f>
        <v>1.8136277515364285</v>
      </c>
      <c r="K22" s="62">
        <f>('1A'!K22/'1A'!$B22)*100</f>
        <v>0.55096789088007914</v>
      </c>
      <c r="L22" s="62">
        <f>('1A'!L22/'1A'!$L22)*100</f>
        <v>100</v>
      </c>
      <c r="M22" s="62">
        <f>('1A'!M22/'1A'!$L22)*100</f>
        <v>2.690036631585873</v>
      </c>
      <c r="N22" s="62">
        <f>('1A'!N22/'1A'!$L22)*100</f>
        <v>0.34982890378589043</v>
      </c>
      <c r="O22" s="62">
        <f>('1A'!O22/'1A'!$L22)*100</f>
        <v>1.0232877259515636</v>
      </c>
      <c r="P22" s="62">
        <f>('1A'!P22/'1A'!$L22)*100</f>
        <v>0.42685940347769014</v>
      </c>
      <c r="Q22" s="62">
        <f>('1A'!Q22/'1A'!$L22)*100</f>
        <v>0.17270183204923059</v>
      </c>
      <c r="R22" s="62">
        <f>('1A'!R22/'1A'!$L22)*100</f>
        <v>0.4209851915032265</v>
      </c>
      <c r="S22" s="62">
        <f>('1A'!S22/'1A'!$L22)*100</f>
        <v>1.3169591632615818</v>
      </c>
      <c r="T22" s="62">
        <f>('1A'!T22/'1A'!$L22)*100</f>
        <v>0.8783513358349645</v>
      </c>
      <c r="U22" s="62">
        <f>('1A'!U22/'1A'!$L22)*100</f>
        <v>0.43132380457828251</v>
      </c>
      <c r="X22" s="2">
        <f t="shared" si="2"/>
        <v>0</v>
      </c>
      <c r="Y22" s="2">
        <f t="shared" si="2"/>
        <v>1.5459179368029874</v>
      </c>
      <c r="Z22" s="2">
        <f t="shared" si="2"/>
        <v>1.6075165068661468</v>
      </c>
      <c r="AA22" s="2">
        <f t="shared" si="2"/>
        <v>6.5320813960118906</v>
      </c>
      <c r="AB22" s="2">
        <f t="shared" ref="AB22:AD34" si="8">((S22/S21)-1)*100</f>
        <v>-2.0356493088521388</v>
      </c>
      <c r="AC22" s="2">
        <f t="shared" si="8"/>
        <v>-2.8432190975446026</v>
      </c>
      <c r="AD22" s="2">
        <f t="shared" si="8"/>
        <v>1.1628932928739344</v>
      </c>
      <c r="AE22" s="2">
        <v>2007</v>
      </c>
      <c r="AF22" s="2">
        <f>((B28/L28))*100</f>
        <v>100</v>
      </c>
      <c r="AG22" s="2">
        <f t="shared" ref="AG22:AH26" si="9">((D28/N28))*100</f>
        <v>100</v>
      </c>
      <c r="AH22" s="2">
        <f t="shared" si="9"/>
        <v>99.99609832227857</v>
      </c>
      <c r="AI22" s="2">
        <f t="shared" ref="AI22:AK26" si="10">((I28/S28))*100</f>
        <v>100</v>
      </c>
      <c r="AJ22" s="2">
        <f t="shared" si="10"/>
        <v>100</v>
      </c>
      <c r="AK22" s="2">
        <f t="shared" si="10"/>
        <v>100</v>
      </c>
      <c r="AL22" s="2"/>
      <c r="AM22" s="2"/>
      <c r="AN22" s="2">
        <v>2008</v>
      </c>
      <c r="AO22" s="2">
        <f>((AF23/AF22)-1)*100</f>
        <v>0</v>
      </c>
      <c r="AP22" s="2">
        <f t="shared" ref="AP22:AT25" si="11">((AG23/AG22)-1)*100</f>
        <v>-3.086972655743081</v>
      </c>
      <c r="AQ22" s="2">
        <f t="shared" si="11"/>
        <v>-6.2717324029848083</v>
      </c>
      <c r="AR22" s="2">
        <f t="shared" si="11"/>
        <v>2.9703256513706089</v>
      </c>
      <c r="AS22" s="2">
        <f t="shared" si="11"/>
        <v>2.9004467161130254</v>
      </c>
      <c r="AT22" s="2">
        <f t="shared" si="11"/>
        <v>3.1236822651055762</v>
      </c>
      <c r="AU22" s="2"/>
    </row>
    <row r="23" spans="1:47">
      <c r="A23" s="63">
        <v>2002</v>
      </c>
      <c r="B23" s="62">
        <f>('1A'!B23/'1A'!B23)*100</f>
        <v>100</v>
      </c>
      <c r="C23" s="62">
        <f>('1A'!C23/'1A'!$B23)*100</f>
        <v>4.0703687075468116</v>
      </c>
      <c r="D23" s="62">
        <f>('1A'!D23/'1A'!$B23)*100</f>
        <v>0.54018436494162381</v>
      </c>
      <c r="E23" s="62">
        <f>('1A'!E23/'1A'!$B23)*100</f>
        <v>1.5605127552217002</v>
      </c>
      <c r="F23" s="62" t="s">
        <v>10</v>
      </c>
      <c r="G23" s="62" t="s">
        <v>10</v>
      </c>
      <c r="H23" s="62" t="s">
        <v>10</v>
      </c>
      <c r="I23" s="62">
        <f>('1A'!I23/'1A'!$B23)*100</f>
        <v>1.9696715873834876</v>
      </c>
      <c r="J23" s="62">
        <f>('1A'!J23/'1A'!$B23)*100</f>
        <v>1.4058999461691895</v>
      </c>
      <c r="K23" s="62">
        <f>('1A'!K23/'1A'!$B23)*100</f>
        <v>0.56377164121429801</v>
      </c>
      <c r="L23" s="62">
        <f>('1A'!L23/'1A'!$L23)*100</f>
        <v>100</v>
      </c>
      <c r="M23" s="62">
        <f>('1A'!M23/'1A'!$L23)*100</f>
        <v>2.7768676340412601</v>
      </c>
      <c r="N23" s="62">
        <f>('1A'!N23/'1A'!$L23)*100</f>
        <v>0.34712754817969982</v>
      </c>
      <c r="O23" s="62">
        <f>('1A'!O23/'1A'!$L23)*100</f>
        <v>1.0910268483491774</v>
      </c>
      <c r="P23" s="62">
        <f>('1A'!P23/'1A'!$L23)*100</f>
        <v>0.45672667505271836</v>
      </c>
      <c r="Q23" s="62">
        <f>('1A'!Q23/'1A'!$L23)*100</f>
        <v>0.1886479744782967</v>
      </c>
      <c r="R23" s="62">
        <f>('1A'!R23/'1A'!$L23)*100</f>
        <v>0.43839650749207415</v>
      </c>
      <c r="S23" s="62">
        <f>('1A'!S23/'1A'!$L23)*100</f>
        <v>1.338636861814213</v>
      </c>
      <c r="T23" s="62">
        <f>('1A'!T23/'1A'!$L23)*100</f>
        <v>0.87774771121126516</v>
      </c>
      <c r="U23" s="62">
        <f>('1A'!U23/'1A'!$L23)*100</f>
        <v>0.46337136079345187</v>
      </c>
      <c r="X23" s="2">
        <f t="shared" si="2"/>
        <v>0</v>
      </c>
      <c r="Y23" s="2">
        <f t="shared" si="2"/>
        <v>3.227874350699711</v>
      </c>
      <c r="Z23" s="2">
        <f t="shared" si="2"/>
        <v>-0.77219337137560684</v>
      </c>
      <c r="AA23" s="2">
        <f t="shared" si="2"/>
        <v>6.6197532404312476</v>
      </c>
      <c r="AB23" s="2">
        <f t="shared" si="8"/>
        <v>1.6460418179516045</v>
      </c>
      <c r="AC23" s="2">
        <f t="shared" si="8"/>
        <v>-6.8722457526126934E-2</v>
      </c>
      <c r="AD23" s="2">
        <f t="shared" si="8"/>
        <v>7.4300457973802692</v>
      </c>
      <c r="AE23" s="2">
        <v>2008</v>
      </c>
      <c r="AF23" s="2">
        <f>((B29/L29))*100</f>
        <v>100</v>
      </c>
      <c r="AG23" s="2">
        <f t="shared" si="9"/>
        <v>96.913027344256918</v>
      </c>
      <c r="AH23" s="2">
        <f t="shared" si="9"/>
        <v>93.72461062207968</v>
      </c>
      <c r="AI23" s="2">
        <f t="shared" si="10"/>
        <v>102.97032565137062</v>
      </c>
      <c r="AJ23" s="2">
        <f t="shared" si="10"/>
        <v>102.90044671611302</v>
      </c>
      <c r="AK23" s="2">
        <f t="shared" si="10"/>
        <v>103.12368226510557</v>
      </c>
      <c r="AL23" s="2"/>
      <c r="AM23" s="2"/>
      <c r="AN23" s="2">
        <v>2009</v>
      </c>
      <c r="AO23" s="2">
        <f t="shared" ref="AO23:AO25" si="12">((AF24/AF23)-1)*100</f>
        <v>0</v>
      </c>
      <c r="AP23" s="2">
        <f t="shared" si="11"/>
        <v>6.8049677729310476</v>
      </c>
      <c r="AQ23" s="2">
        <f t="shared" si="11"/>
        <v>-16.50549795473313</v>
      </c>
      <c r="AR23" s="2">
        <f t="shared" si="11"/>
        <v>-3.8121192981011465</v>
      </c>
      <c r="AS23" s="2">
        <f t="shared" si="11"/>
        <v>-0.12729122587346042</v>
      </c>
      <c r="AT23" s="2">
        <f t="shared" si="11"/>
        <v>-9.9419260523561093</v>
      </c>
      <c r="AU23" s="2"/>
    </row>
    <row r="24" spans="1:47">
      <c r="A24" s="63">
        <v>2003</v>
      </c>
      <c r="B24" s="62">
        <f>('1A'!B24/'1A'!B24)*100</f>
        <v>100</v>
      </c>
      <c r="C24" s="62">
        <f>('1A'!C24/'1A'!$B24)*100</f>
        <v>3.461199871748593</v>
      </c>
      <c r="D24" s="62">
        <f>('1A'!D24/'1A'!$B24)*100</f>
        <v>0.47154282408053227</v>
      </c>
      <c r="E24" s="62">
        <f>('1A'!E24/'1A'!$B24)*100</f>
        <v>1.4045417651909027</v>
      </c>
      <c r="F24" s="62" t="s">
        <v>10</v>
      </c>
      <c r="G24" s="62" t="s">
        <v>10</v>
      </c>
      <c r="H24" s="62" t="s">
        <v>10</v>
      </c>
      <c r="I24" s="62">
        <f>('1A'!I24/'1A'!$B24)*100</f>
        <v>1.5851152824771577</v>
      </c>
      <c r="J24" s="62">
        <f>('1A'!J24/'1A'!$B24)*100</f>
        <v>1.0867890320152083</v>
      </c>
      <c r="K24" s="62">
        <f>('1A'!K24/'1A'!$B24)*100</f>
        <v>0.49832625046194978</v>
      </c>
      <c r="L24" s="62">
        <f>('1A'!L24/'1A'!$L24)*100</f>
        <v>100</v>
      </c>
      <c r="M24" s="62">
        <f>('1A'!M24/'1A'!$L24)*100</f>
        <v>2.6294767799673</v>
      </c>
      <c r="N24" s="62">
        <f>('1A'!N24/'1A'!$L24)*100</f>
        <v>0.31934077619090562</v>
      </c>
      <c r="O24" s="62">
        <f>('1A'!O24/'1A'!$L24)*100</f>
        <v>1.0452250384601307</v>
      </c>
      <c r="P24" s="62">
        <f>('1A'!P24/'1A'!$L24)*100</f>
        <v>0.42601410412328067</v>
      </c>
      <c r="Q24" s="62">
        <f>('1A'!Q24/'1A'!$L24)*100</f>
        <v>0.16791521375984048</v>
      </c>
      <c r="R24" s="62">
        <f>('1A'!R24/'1A'!$L24)*100</f>
        <v>0.46110649711129231</v>
      </c>
      <c r="S24" s="62">
        <f>('1A'!S24/'1A'!$L24)*100</f>
        <v>1.2650241665839668</v>
      </c>
      <c r="T24" s="62">
        <f>('1A'!T24/'1A'!$L24)*100</f>
        <v>0.82904835090279894</v>
      </c>
      <c r="U24" s="62">
        <f>('1A'!U24/'1A'!$L24)*100</f>
        <v>0.43869264610604619</v>
      </c>
      <c r="X24" s="2">
        <f t="shared" si="2"/>
        <v>0</v>
      </c>
      <c r="Y24" s="2">
        <f t="shared" si="2"/>
        <v>-5.3078098598260404</v>
      </c>
      <c r="Z24" s="2">
        <f t="shared" si="2"/>
        <v>-8.0047729241038645</v>
      </c>
      <c r="AA24" s="2">
        <f t="shared" si="2"/>
        <v>-4.1980460845990164</v>
      </c>
      <c r="AB24" s="2">
        <f t="shared" si="8"/>
        <v>-5.4990787516848494</v>
      </c>
      <c r="AC24" s="2">
        <f t="shared" si="8"/>
        <v>-5.548218432978036</v>
      </c>
      <c r="AD24" s="2">
        <f t="shared" si="8"/>
        <v>-5.3259041830179594</v>
      </c>
      <c r="AE24" s="2">
        <v>2009</v>
      </c>
      <c r="AF24" s="2">
        <f>((B30/L30))*100</f>
        <v>100</v>
      </c>
      <c r="AG24" s="2">
        <f t="shared" si="9"/>
        <v>103.50792762280545</v>
      </c>
      <c r="AH24" s="2">
        <f t="shared" si="9"/>
        <v>78.254896932770734</v>
      </c>
      <c r="AI24" s="2">
        <f t="shared" si="10"/>
        <v>99.044973995897124</v>
      </c>
      <c r="AJ24" s="2">
        <f t="shared" si="10"/>
        <v>102.76946347605882</v>
      </c>
      <c r="AK24" s="2">
        <f t="shared" si="10"/>
        <v>92.871202031842103</v>
      </c>
      <c r="AL24" s="2"/>
      <c r="AM24" s="2"/>
      <c r="AN24" s="2">
        <v>2010</v>
      </c>
      <c r="AO24" s="2">
        <f t="shared" si="12"/>
        <v>0</v>
      </c>
      <c r="AP24" s="2">
        <f t="shared" si="11"/>
        <v>-28.022817757712048</v>
      </c>
      <c r="AQ24" s="2">
        <f t="shared" si="11"/>
        <v>2.175258657356105</v>
      </c>
      <c r="AR24" s="2">
        <f t="shared" si="11"/>
        <v>2.0606513021409256</v>
      </c>
      <c r="AS24" s="2">
        <f t="shared" si="11"/>
        <v>0.64064966952062097</v>
      </c>
      <c r="AT24" s="2">
        <f t="shared" si="11"/>
        <v>4.5888138082310848</v>
      </c>
      <c r="AU24" s="2"/>
    </row>
    <row r="25" spans="1:47">
      <c r="A25" s="63">
        <v>2004</v>
      </c>
      <c r="B25" s="62">
        <f>('1A'!B25/'1A'!B25)*100</f>
        <v>100</v>
      </c>
      <c r="C25" s="62">
        <f>('1A'!C25/'1A'!$B25)*100</f>
        <v>3.3701984436977792</v>
      </c>
      <c r="D25" s="62">
        <f>('1A'!D25/'1A'!$B25)*100</f>
        <v>0.51043368419672075</v>
      </c>
      <c r="E25" s="62">
        <f>('1A'!E25/'1A'!$B25)*100</f>
        <v>1.4429362683338482</v>
      </c>
      <c r="F25" s="62" t="s">
        <v>10</v>
      </c>
      <c r="G25" s="62" t="s">
        <v>10</v>
      </c>
      <c r="H25" s="62" t="s">
        <v>10</v>
      </c>
      <c r="I25" s="62">
        <f>('1A'!I25/'1A'!$B25)*100</f>
        <v>1.41682849116721</v>
      </c>
      <c r="J25" s="62">
        <f>('1A'!J25/'1A'!$B25)*100</f>
        <v>0.9165182307697981</v>
      </c>
      <c r="K25" s="62">
        <f>('1A'!K25/'1A'!$B25)*100</f>
        <v>0.500310260397412</v>
      </c>
      <c r="L25" s="62">
        <f>('1A'!L25/'1A'!$L25)*100</f>
        <v>100</v>
      </c>
      <c r="M25" s="62">
        <f>('1A'!M25/'1A'!$L25)*100</f>
        <v>2.4678233181138465</v>
      </c>
      <c r="N25" s="62">
        <f>('1A'!N25/'1A'!$L25)*100</f>
        <v>0.35573657996025881</v>
      </c>
      <c r="O25" s="62">
        <f>('1A'!O25/'1A'!$L25)*100</f>
        <v>0.95753936745554769</v>
      </c>
      <c r="P25" s="62">
        <f>('1A'!P25/'1A'!$L25)*100</f>
        <v>0.33960532693103462</v>
      </c>
      <c r="Q25" s="62">
        <f>('1A'!Q25/'1A'!$L25)*100</f>
        <v>0.15503721446851582</v>
      </c>
      <c r="R25" s="62">
        <f>('1A'!R25/'1A'!$L25)*100</f>
        <v>0.50830058172177683</v>
      </c>
      <c r="S25" s="62">
        <f>('1A'!S25/'1A'!$L25)*100</f>
        <v>1.1544735434530553</v>
      </c>
      <c r="T25" s="62">
        <f>('1A'!T25/'1A'!$L25)*100</f>
        <v>0.72210428319835862</v>
      </c>
      <c r="U25" s="62">
        <f>('1A'!U25/'1A'!$L25)*100</f>
        <v>0.44233593832767265</v>
      </c>
      <c r="X25" s="2">
        <f t="shared" si="2"/>
        <v>0</v>
      </c>
      <c r="Y25" s="2">
        <f t="shared" si="2"/>
        <v>-6.1477425123131813</v>
      </c>
      <c r="Z25" s="2">
        <f t="shared" si="2"/>
        <v>11.397167691355325</v>
      </c>
      <c r="AA25" s="2">
        <f t="shared" si="2"/>
        <v>-8.3891667132051531</v>
      </c>
      <c r="AB25" s="2">
        <f t="shared" si="8"/>
        <v>-8.7390127438781722</v>
      </c>
      <c r="AC25" s="2">
        <f t="shared" si="8"/>
        <v>-12.899617686710641</v>
      </c>
      <c r="AD25" s="2">
        <f t="shared" si="8"/>
        <v>0.83048855593210735</v>
      </c>
      <c r="AE25" s="2">
        <v>2010</v>
      </c>
      <c r="AF25" s="2">
        <f>((B31/L31))*100</f>
        <v>100</v>
      </c>
      <c r="AG25" s="2">
        <f t="shared" si="9"/>
        <v>74.502089700282198</v>
      </c>
      <c r="AH25" s="2">
        <f t="shared" si="9"/>
        <v>79.957143353105934</v>
      </c>
      <c r="AI25" s="2">
        <f t="shared" si="10"/>
        <v>101.08594554224872</v>
      </c>
      <c r="AJ25" s="2">
        <f t="shared" si="10"/>
        <v>103.42785570418631</v>
      </c>
      <c r="AK25" s="2">
        <f t="shared" si="10"/>
        <v>97.132888574549469</v>
      </c>
      <c r="AL25" s="2"/>
      <c r="AM25" s="2"/>
      <c r="AN25" s="2">
        <v>2011</v>
      </c>
      <c r="AO25" s="2">
        <f t="shared" si="12"/>
        <v>0</v>
      </c>
      <c r="AP25" s="2">
        <f t="shared" si="11"/>
        <v>19.469519772030665</v>
      </c>
      <c r="AQ25" s="2">
        <f t="shared" si="11"/>
        <v>-6.5397094928244748</v>
      </c>
      <c r="AR25" s="2">
        <f t="shared" si="11"/>
        <v>-8.0478701417182936</v>
      </c>
      <c r="AS25" s="2">
        <f t="shared" si="11"/>
        <v>-9.7628006265990663</v>
      </c>
      <c r="AT25" s="2">
        <f t="shared" si="11"/>
        <v>-4.7305994241783829</v>
      </c>
      <c r="AU25" s="2"/>
    </row>
    <row r="26" spans="1:47">
      <c r="A26" s="63">
        <v>2005</v>
      </c>
      <c r="B26" s="62">
        <f>('1A'!B26/'1A'!B26)*100</f>
        <v>100</v>
      </c>
      <c r="C26" s="62">
        <f>('1A'!C26/'1A'!$B26)*100</f>
        <v>3.4191419716544207</v>
      </c>
      <c r="D26" s="62">
        <f>('1A'!D26/'1A'!$B26)*100</f>
        <v>0.5197269909809521</v>
      </c>
      <c r="E26" s="62">
        <f>('1A'!E26/'1A'!$B26)*100</f>
        <v>1.339086445469424</v>
      </c>
      <c r="F26" s="62" t="s">
        <v>10</v>
      </c>
      <c r="G26" s="62" t="s">
        <v>10</v>
      </c>
      <c r="H26" s="62" t="s">
        <v>10</v>
      </c>
      <c r="I26" s="62">
        <f>('1A'!I26/'1A'!$B26)*100</f>
        <v>1.5603285352040444</v>
      </c>
      <c r="J26" s="62">
        <f>('1A'!J26/'1A'!$B26)*100</f>
        <v>1.0898675792292813</v>
      </c>
      <c r="K26" s="62">
        <f>('1A'!K26/'1A'!$B26)*100</f>
        <v>0.47046095597476312</v>
      </c>
      <c r="L26" s="62">
        <f>('1A'!L26/'1A'!$L26)*100</f>
        <v>100</v>
      </c>
      <c r="M26" s="62">
        <f>('1A'!M26/'1A'!$L26)*100</f>
        <v>2.6191852359597556</v>
      </c>
      <c r="N26" s="62">
        <f>('1A'!N26/'1A'!$L26)*100</f>
        <v>0.37747316262750658</v>
      </c>
      <c r="O26" s="62">
        <f>('1A'!O26/'1A'!$L26)*100</f>
        <v>1.0376246020865767</v>
      </c>
      <c r="P26" s="62">
        <f>('1A'!P26/'1A'!$L26)*100</f>
        <v>0.41860782582429074</v>
      </c>
      <c r="Q26" s="62">
        <f>('1A'!Q26/'1A'!$L26)*100</f>
        <v>0.18261902548969491</v>
      </c>
      <c r="R26" s="62">
        <f>('1A'!R26/'1A'!$L26)*100</f>
        <v>0.44002834770081556</v>
      </c>
      <c r="S26" s="62">
        <f>('1A'!S26/'1A'!$L26)*100</f>
        <v>1.204160083184237</v>
      </c>
      <c r="T26" s="62">
        <f>('1A'!T26/'1A'!$L26)*100</f>
        <v>0.79894916002509475</v>
      </c>
      <c r="U26" s="62">
        <f>('1A'!U26/'1A'!$L26)*100</f>
        <v>0.40564659479052911</v>
      </c>
      <c r="X26" s="2">
        <f t="shared" si="2"/>
        <v>0</v>
      </c>
      <c r="Y26" s="2">
        <f t="shared" si="2"/>
        <v>6.1334179288651258</v>
      </c>
      <c r="Z26" s="2">
        <f t="shared" si="2"/>
        <v>6.1103029296779354</v>
      </c>
      <c r="AA26" s="2">
        <f t="shared" si="2"/>
        <v>8.3636493028832923</v>
      </c>
      <c r="AB26" s="2">
        <f t="shared" si="8"/>
        <v>4.3038266240877254</v>
      </c>
      <c r="AC26" s="2">
        <f t="shared" si="8"/>
        <v>10.641797675866593</v>
      </c>
      <c r="AD26" s="2">
        <f t="shared" si="8"/>
        <v>-8.2944523286653915</v>
      </c>
      <c r="AE26" s="2">
        <v>2011</v>
      </c>
      <c r="AF26" s="2">
        <f>((B32/L32))*100</f>
        <v>100</v>
      </c>
      <c r="AG26" s="2">
        <f t="shared" si="9"/>
        <v>89.007288785054655</v>
      </c>
      <c r="AH26" s="2">
        <f t="shared" si="9"/>
        <v>74.728178459051591</v>
      </c>
      <c r="AI26" s="2">
        <f t="shared" si="10"/>
        <v>92.950679913480471</v>
      </c>
      <c r="AJ26" s="2">
        <f t="shared" si="10"/>
        <v>93.33040035942004</v>
      </c>
      <c r="AK26" s="2">
        <f t="shared" si="10"/>
        <v>92.537920706953997</v>
      </c>
      <c r="AL26" s="2"/>
      <c r="AM26" s="2"/>
      <c r="AN26" s="2" t="s">
        <v>28</v>
      </c>
      <c r="AO26" s="2">
        <f>((AF26/AF22)^(1/4)-1)*100</f>
        <v>0</v>
      </c>
      <c r="AP26" s="2">
        <f>((AG26/AG22)^(1/4)-1)*100</f>
        <v>-2.8693280730388127</v>
      </c>
      <c r="AQ26" s="2">
        <f t="shared" ref="AQ26:AT26" si="13">((AH26/AH22)^(1/4)-1)*100</f>
        <v>-7.0230414856184193</v>
      </c>
      <c r="AR26" s="2">
        <f t="shared" si="13"/>
        <v>-1.8109308807146118</v>
      </c>
      <c r="AS26" s="2">
        <f t="shared" si="13"/>
        <v>-1.7108040841766536</v>
      </c>
      <c r="AT26" s="2">
        <f t="shared" si="13"/>
        <v>-1.9201181051253458</v>
      </c>
      <c r="AU26" s="2"/>
    </row>
    <row r="27" spans="1:47" ht="15.75" thickBot="1">
      <c r="A27" s="63">
        <v>2006</v>
      </c>
      <c r="B27" s="78">
        <f>('1A'!B27/'1A'!B27)*100</f>
        <v>100</v>
      </c>
      <c r="C27" s="78">
        <f>('1A'!C27/'1A'!$B27)*100</f>
        <v>3.0612182982899769</v>
      </c>
      <c r="D27" s="78">
        <f>('1A'!D27/'1A'!$B27)*100</f>
        <v>0.53152840203206453</v>
      </c>
      <c r="E27" s="78">
        <f>('1A'!E27/'1A'!$B27)*100</f>
        <v>1.0985906305983788</v>
      </c>
      <c r="F27" s="78" t="s">
        <v>10</v>
      </c>
      <c r="G27" s="78" t="s">
        <v>10</v>
      </c>
      <c r="H27" s="78" t="s">
        <v>10</v>
      </c>
      <c r="I27" s="78">
        <f>('1A'!I27/'1A'!$B27)*100</f>
        <v>1.4310992656595334</v>
      </c>
      <c r="J27" s="78">
        <f>('1A'!J27/'1A'!$B27)*100</f>
        <v>1.0175492353970002</v>
      </c>
      <c r="K27" s="78">
        <f>('1A'!K27/'1A'!$B27)*100</f>
        <v>0.41355003026253312</v>
      </c>
      <c r="L27" s="62">
        <f>('1A'!L27/'1A'!$L27)*100</f>
        <v>100</v>
      </c>
      <c r="M27" s="62">
        <f>('1A'!M27/'1A'!$L27)*100</f>
        <v>2.5006914205959725</v>
      </c>
      <c r="N27" s="62">
        <f>('1A'!N27/'1A'!$L27)*100</f>
        <v>0.34992671299005995</v>
      </c>
      <c r="O27" s="62">
        <f>('1A'!O27/'1A'!$L27)*100</f>
        <v>1.0205153602569299</v>
      </c>
      <c r="P27" s="62">
        <f>('1A'!P27/'1A'!$L27)*100</f>
        <v>0.39091169612082671</v>
      </c>
      <c r="Q27" s="62">
        <f>('1A'!Q27/'1A'!$L27)*100</f>
        <v>0.20081569764159474</v>
      </c>
      <c r="R27" s="62">
        <f>('1A'!R27/'1A'!$L27)*100</f>
        <v>0.42735867327285992</v>
      </c>
      <c r="S27" s="62">
        <f>('1A'!S27/'1A'!$L27)*100</f>
        <v>1.1303208120100652</v>
      </c>
      <c r="T27" s="62">
        <f>('1A'!T27/'1A'!$L27)*100</f>
        <v>0.75677502853226608</v>
      </c>
      <c r="U27" s="62">
        <f>('1A'!U27/'1A'!$L27)*100</f>
        <v>0.37233088423939809</v>
      </c>
      <c r="X27" s="2">
        <f t="shared" si="2"/>
        <v>0</v>
      </c>
      <c r="Y27" s="2">
        <f t="shared" si="2"/>
        <v>-4.5240715981801571</v>
      </c>
      <c r="Z27" s="2">
        <f t="shared" si="2"/>
        <v>-7.297591554774896</v>
      </c>
      <c r="AA27" s="2">
        <f t="shared" si="2"/>
        <v>-1.6488855213380171</v>
      </c>
      <c r="AB27" s="2">
        <f t="shared" si="8"/>
        <v>-6.1320145224307616</v>
      </c>
      <c r="AC27" s="2">
        <f t="shared" si="8"/>
        <v>-5.2787002731818351</v>
      </c>
      <c r="AD27" s="2">
        <f t="shared" si="8"/>
        <v>-8.2129890843370301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:47">
      <c r="A28" s="63">
        <v>2007</v>
      </c>
      <c r="B28" s="62">
        <f>('1A'!B28/'1A'!B28)*100</f>
        <v>100</v>
      </c>
      <c r="C28" s="62">
        <f>('1A'!C28/'1A'!$B28)*100</f>
        <v>2.2958083081021994</v>
      </c>
      <c r="D28" s="62">
        <f>('1A'!D28/'1A'!$B28)*100</f>
        <v>0.30508672979619644</v>
      </c>
      <c r="E28" s="62">
        <f>('1A'!E28/'1A'!$B28)*100</f>
        <v>0.89822720252116239</v>
      </c>
      <c r="F28" s="62">
        <f>('1A'!F28/'1A'!$B28)*100</f>
        <v>0.31998183148067472</v>
      </c>
      <c r="G28" s="62">
        <f>('1A'!G28/'1A'!$B28)*100</f>
        <v>0.18189547704104073</v>
      </c>
      <c r="H28" s="62">
        <f>('1A'!H28/'1A'!$B28)*100</f>
        <v>0.3963849412975281</v>
      </c>
      <c r="I28" s="62">
        <f>('1A'!I28/'1A'!$B28)*100</f>
        <v>1.0924943757848404</v>
      </c>
      <c r="J28" s="62">
        <f>('1A'!J28/'1A'!$B28)*100</f>
        <v>0.72418232025029383</v>
      </c>
      <c r="K28" s="62">
        <f>('1A'!K28/'1A'!$B28)*100</f>
        <v>0.36831205553454666</v>
      </c>
      <c r="L28" s="62">
        <f>('1A'!L28/'1A'!$L28)*100</f>
        <v>100</v>
      </c>
      <c r="M28" s="62">
        <f>('1A'!M28/'1A'!$L28)*100</f>
        <v>2.2958083081021994</v>
      </c>
      <c r="N28" s="62">
        <f>('1A'!N28/'1A'!$L28)*100</f>
        <v>0.30508672979619644</v>
      </c>
      <c r="O28" s="62">
        <f>('1A'!O28/'1A'!$L28)*100</f>
        <v>0.89826224981924363</v>
      </c>
      <c r="P28" s="62">
        <f>('1A'!P28/'1A'!$L28)*100</f>
        <v>0.31998183148067472</v>
      </c>
      <c r="Q28" s="62">
        <f>('1A'!Q28/'1A'!$L28)*100</f>
        <v>0.18189547704104073</v>
      </c>
      <c r="R28" s="62">
        <f>('1A'!R28/'1A'!$L28)*100</f>
        <v>0.3963849412975281</v>
      </c>
      <c r="S28" s="62">
        <f>('1A'!S28/'1A'!$L28)*100</f>
        <v>1.0924943757848404</v>
      </c>
      <c r="T28" s="62">
        <f>('1A'!T28/'1A'!$L28)*100</f>
        <v>0.72418232025029383</v>
      </c>
      <c r="U28" s="62">
        <f>('1A'!U28/'1A'!$L28)*100</f>
        <v>0.36831205553454666</v>
      </c>
      <c r="X28" s="2">
        <f t="shared" si="2"/>
        <v>0</v>
      </c>
      <c r="Y28" s="2">
        <f t="shared" si="2"/>
        <v>-8.1930585599779722</v>
      </c>
      <c r="Z28" s="2">
        <f t="shared" si="2"/>
        <v>-12.814106934196023</v>
      </c>
      <c r="AA28" s="2">
        <f t="shared" si="2"/>
        <v>-11.979546334991687</v>
      </c>
      <c r="AB28" s="2">
        <f t="shared" si="8"/>
        <v>-3.3465221398478406</v>
      </c>
      <c r="AC28" s="2">
        <f t="shared" si="8"/>
        <v>-4.3067896076307459</v>
      </c>
      <c r="AD28" s="2">
        <f t="shared" si="8"/>
        <v>-1.0793702255081916</v>
      </c>
      <c r="AE28" s="2"/>
      <c r="AF28" s="2" t="s">
        <v>31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s="45" customFormat="1">
      <c r="A29" s="46">
        <v>2008</v>
      </c>
      <c r="B29" s="62">
        <f>('1A'!B29/'1A'!B29)*100</f>
        <v>100</v>
      </c>
      <c r="C29" s="62">
        <f>('1A'!C29/'1A'!$B29)*100</f>
        <v>2.1150783154943591</v>
      </c>
      <c r="D29" s="62">
        <f>('1A'!D29/'1A'!$B29)*100</f>
        <v>0.28835787830419285</v>
      </c>
      <c r="E29" s="62">
        <f>('1A'!E29/'1A'!$B29)*100</f>
        <v>0.78861845905716399</v>
      </c>
      <c r="F29" s="62">
        <f>('1A'!F29/'1A'!$B29)*100</f>
        <v>0.259729738101876</v>
      </c>
      <c r="G29" s="62">
        <f>('1A'!G29/'1A'!$B29)*100</f>
        <v>0.15556551810295849</v>
      </c>
      <c r="H29" s="62">
        <f>('1A'!H29/'1A'!$B29)*100</f>
        <v>0.37342532463664213</v>
      </c>
      <c r="I29" s="62">
        <f>('1A'!I29/'1A'!$B29)*100</f>
        <v>1.0381019781330028</v>
      </c>
      <c r="J29" s="62">
        <f>('1A'!J29/'1A'!$B29)*100</f>
        <v>0.6635873544636921</v>
      </c>
      <c r="K29" s="62">
        <f>('1A'!K29/'1A'!$B29)*100</f>
        <v>0.3745146236693106</v>
      </c>
      <c r="L29" s="62">
        <f>('1A'!L29/'1A'!$L29)*100</f>
        <v>100</v>
      </c>
      <c r="M29" s="62">
        <f>('1A'!M29/'1A'!$L29)*100</f>
        <v>2.1470858789613456</v>
      </c>
      <c r="N29" s="62">
        <f>('1A'!N29/'1A'!$L29)*100</f>
        <v>0.29754294774001916</v>
      </c>
      <c r="O29" s="62">
        <f>('1A'!O29/'1A'!$L29)*100</f>
        <v>0.84142089662774322</v>
      </c>
      <c r="P29" s="62">
        <f>('1A'!P29/'1A'!$L29)*100</f>
        <v>0.27737637737503523</v>
      </c>
      <c r="Q29" s="62">
        <f>('1A'!Q29/'1A'!$L29)*100</f>
        <v>0.1710372947337376</v>
      </c>
      <c r="R29" s="62">
        <f>('1A'!R29/'1A'!$L29)*100</f>
        <v>0.39300722451897052</v>
      </c>
      <c r="S29" s="62">
        <f>('1A'!S29/'1A'!$L29)*100</f>
        <v>1.0081564485361856</v>
      </c>
      <c r="T29" s="62">
        <f>('1A'!T29/'1A'!$L29)*100</f>
        <v>0.64488287042565573</v>
      </c>
      <c r="U29" s="62">
        <f>('1A'!U29/'1A'!$L29)*100</f>
        <v>0.36317033628272288</v>
      </c>
      <c r="X29" s="44">
        <f t="shared" si="2"/>
        <v>0</v>
      </c>
      <c r="Y29" s="44">
        <f t="shared" si="2"/>
        <v>-6.4779985600711303</v>
      </c>
      <c r="Z29" s="44">
        <f t="shared" si="2"/>
        <v>-2.4726680381072841</v>
      </c>
      <c r="AA29" s="44">
        <f t="shared" si="2"/>
        <v>-6.32792407817856</v>
      </c>
      <c r="AB29" s="44">
        <f t="shared" si="8"/>
        <v>-7.719758482790084</v>
      </c>
      <c r="AC29" s="44">
        <f t="shared" si="8"/>
        <v>-10.950205163422167</v>
      </c>
      <c r="AD29" s="44">
        <f t="shared" si="8"/>
        <v>-1.3960225234445289</v>
      </c>
      <c r="AE29" s="44"/>
      <c r="AF29" s="44" t="s">
        <v>2</v>
      </c>
      <c r="AG29" s="44" t="s">
        <v>23</v>
      </c>
      <c r="AH29" s="44" t="s">
        <v>3</v>
      </c>
      <c r="AI29" s="44" t="s">
        <v>4</v>
      </c>
      <c r="AJ29" s="44" t="s">
        <v>5</v>
      </c>
      <c r="AK29" s="44" t="s">
        <v>6</v>
      </c>
      <c r="AL29" s="44" t="s">
        <v>7</v>
      </c>
      <c r="AM29" s="44"/>
      <c r="AN29" s="44"/>
      <c r="AO29" s="44"/>
      <c r="AP29" s="44"/>
      <c r="AQ29" s="44"/>
      <c r="AR29" s="44"/>
      <c r="AS29" s="44"/>
      <c r="AT29" s="44"/>
      <c r="AU29" s="44"/>
    </row>
    <row r="30" spans="1:47">
      <c r="A30" s="63">
        <v>2009</v>
      </c>
      <c r="B30" s="62">
        <f>('1A'!B30/'1A'!B30)*100</f>
        <v>100</v>
      </c>
      <c r="C30" s="62">
        <f>('1A'!C30/'1A'!$B30)*100</f>
        <v>1.7716529454147847</v>
      </c>
      <c r="D30" s="62">
        <f>('1A'!D30/'1A'!$B30)*100</f>
        <v>0.28375065175243358</v>
      </c>
      <c r="E30" s="62">
        <f>('1A'!E30/'1A'!$B30)*100</f>
        <v>0.57894177340782571</v>
      </c>
      <c r="F30" s="62">
        <f>('1A'!F30/'1A'!$B30)*100</f>
        <v>0.16165147738988547</v>
      </c>
      <c r="G30" s="62">
        <f>('1A'!G30/'1A'!$B30)*100</f>
        <v>0.12790377856109936</v>
      </c>
      <c r="H30" s="62">
        <f>('1A'!H30/'1A'!$B30)*100</f>
        <v>0.28955525595098486</v>
      </c>
      <c r="I30" s="62">
        <f>('1A'!I30/'1A'!$B30)*100</f>
        <v>0.90896052025452523</v>
      </c>
      <c r="J30" s="62">
        <f>('1A'!J30/'1A'!$B30)*100</f>
        <v>0.57286718761864419</v>
      </c>
      <c r="K30" s="62">
        <f>('1A'!K30/'1A'!$B30)*100</f>
        <v>0.33609333263588087</v>
      </c>
      <c r="L30" s="62">
        <f>('1A'!L30/'1A'!$L30)*100</f>
        <v>100</v>
      </c>
      <c r="M30" s="62">
        <f>('1A'!M30/'1A'!$L30)*100</f>
        <v>1.9318134499271291</v>
      </c>
      <c r="N30" s="62">
        <f>('1A'!N30/'1A'!$L30)*100</f>
        <v>0.27413422166701368</v>
      </c>
      <c r="O30" s="62">
        <f>('1A'!O30/'1A'!$L30)*100</f>
        <v>0.73981539315705469</v>
      </c>
      <c r="P30" s="62">
        <f>('1A'!P30/'1A'!$L30)*100</f>
        <v>0.2134082864876119</v>
      </c>
      <c r="Q30" s="62">
        <f>('1A'!Q30/'1A'!$L30)*100</f>
        <v>0.17454368797279476</v>
      </c>
      <c r="R30" s="62">
        <f>('1A'!R30/'1A'!$L30)*100</f>
        <v>0.35221042404053021</v>
      </c>
      <c r="S30" s="62">
        <f>('1A'!S30/'1A'!$L30)*100</f>
        <v>0.91772503296550756</v>
      </c>
      <c r="T30" s="62">
        <f>('1A'!T30/'1A'!$L30)*100</f>
        <v>0.55742938441251999</v>
      </c>
      <c r="U30" s="62">
        <f>('1A'!U30/'1A'!$L30)*100</f>
        <v>0.36189187313484633</v>
      </c>
      <c r="X30" s="2">
        <f t="shared" si="2"/>
        <v>0</v>
      </c>
      <c r="Y30" s="2">
        <f t="shared" si="2"/>
        <v>-10.026260763186368</v>
      </c>
      <c r="Z30" s="2">
        <f t="shared" si="2"/>
        <v>-7.8673436056226347</v>
      </c>
      <c r="AA30" s="2">
        <f t="shared" si="2"/>
        <v>-12.07546709119114</v>
      </c>
      <c r="AB30" s="2">
        <f t="shared" si="8"/>
        <v>-8.9699783899593992</v>
      </c>
      <c r="AC30" s="2">
        <f t="shared" si="8"/>
        <v>-13.561142654543135</v>
      </c>
      <c r="AD30" s="2">
        <f t="shared" si="8"/>
        <v>-0.35202851669066115</v>
      </c>
      <c r="AE30" s="2">
        <v>1984</v>
      </c>
      <c r="AF30" s="2">
        <f t="shared" ref="AF30:AF34" si="14">(L5/$L$21)*100</f>
        <v>100</v>
      </c>
      <c r="AG30" s="2">
        <f t="shared" ref="AG30:AG34" si="15">(M5/$M$21)*100</f>
        <v>128.95367167816033</v>
      </c>
      <c r="AH30" s="2">
        <f t="shared" ref="AH30:AH34" si="16">(N5/$N$21)*100</f>
        <v>82.5021835575008</v>
      </c>
      <c r="AI30" s="2">
        <f t="shared" ref="AI30:AI34" si="17">(O5/$O$21)*100</f>
        <v>164.4284239564544</v>
      </c>
      <c r="AJ30" s="2">
        <f t="shared" ref="AJ30:AJ34" si="18">(S5/$S$21)*100</f>
        <v>115.49537050825546</v>
      </c>
      <c r="AK30" s="2">
        <f t="shared" ref="AK30:AK34" si="19">(T5/$T$21)*100</f>
        <v>124.23592136869492</v>
      </c>
      <c r="AL30" s="2">
        <f t="shared" ref="AL30:AL34" si="20">(U5/$U$21)*100</f>
        <v>100.72838301137746</v>
      </c>
      <c r="AM30" s="2"/>
      <c r="AN30" s="2"/>
      <c r="AO30" s="2"/>
      <c r="AP30" s="2"/>
      <c r="AQ30" s="2"/>
      <c r="AR30" s="2"/>
      <c r="AS30" s="2"/>
      <c r="AT30" s="2"/>
      <c r="AU30" s="2"/>
    </row>
    <row r="31" spans="1:47">
      <c r="A31" s="63">
        <v>2010</v>
      </c>
      <c r="B31" s="62">
        <f>('1A'!B31/'1A'!B31)*100</f>
        <v>100</v>
      </c>
      <c r="C31" s="62">
        <f>('1A'!C31/'1A'!$B31)*100</f>
        <v>1.7664264752037635</v>
      </c>
      <c r="D31" s="62">
        <f>('1A'!D31/'1A'!$B31)*100</f>
        <v>0.2207021960208245</v>
      </c>
      <c r="E31" s="62">
        <f>('1A'!E31/'1A'!$B31)*100</f>
        <v>0.60357407485302161</v>
      </c>
      <c r="F31" s="62">
        <f>('1A'!F31/'1A'!$B31)*100</f>
        <v>0.19575550299457384</v>
      </c>
      <c r="G31" s="62">
        <f>('1A'!G31/'1A'!$B31)*100</f>
        <v>0.1294251259468257</v>
      </c>
      <c r="H31" s="62">
        <f>('1A'!H31/'1A'!$B31)*100</f>
        <v>0.27858758360054231</v>
      </c>
      <c r="I31" s="62">
        <f>('1A'!I31/'1A'!$B31)*100</f>
        <v>0.9421502043299177</v>
      </c>
      <c r="J31" s="62">
        <f>('1A'!J31/'1A'!$B31)*100</f>
        <v>0.61457521055850184</v>
      </c>
      <c r="K31" s="62">
        <f>('1A'!K31/'1A'!$B31)*100</f>
        <v>0.3275749937714158</v>
      </c>
      <c r="L31" s="62">
        <f>('1A'!L31/'1A'!$L31)*100</f>
        <v>100</v>
      </c>
      <c r="M31" s="62">
        <f>('1A'!M31/'1A'!$L31)*100</f>
        <v>1.9829670957422501</v>
      </c>
      <c r="N31" s="62">
        <f>('1A'!N31/'1A'!$L31)*100</f>
        <v>0.29623624908871315</v>
      </c>
      <c r="O31" s="62">
        <f>('1A'!O31/'1A'!$L31)*100</f>
        <v>0.75487198459245086</v>
      </c>
      <c r="P31" s="62">
        <f>('1A'!P31/'1A'!$L31)*100</f>
        <v>0.23802269784446647</v>
      </c>
      <c r="Q31" s="62">
        <f>('1A'!Q31/'1A'!$L31)*100</f>
        <v>0.17443663427744471</v>
      </c>
      <c r="R31" s="62">
        <f>('1A'!R31/'1A'!$L31)*100</f>
        <v>0.34275268489603172</v>
      </c>
      <c r="S31" s="62">
        <f>('1A'!S31/'1A'!$L31)*100</f>
        <v>0.9320288782738323</v>
      </c>
      <c r="T31" s="62">
        <f>('1A'!T31/'1A'!$L31)*100</f>
        <v>0.5942066635474359</v>
      </c>
      <c r="U31" s="62">
        <f>('1A'!U31/'1A'!$L31)*100</f>
        <v>0.33724415960305976</v>
      </c>
      <c r="X31" s="2">
        <f t="shared" si="2"/>
        <v>0</v>
      </c>
      <c r="Y31" s="2">
        <f t="shared" si="2"/>
        <v>2.647959916473841</v>
      </c>
      <c r="Z31" s="2">
        <f t="shared" si="2"/>
        <v>8.0624838764371543</v>
      </c>
      <c r="AA31" s="2">
        <f t="shared" si="2"/>
        <v>2.0351822325761937</v>
      </c>
      <c r="AB31" s="2">
        <f t="shared" si="8"/>
        <v>1.5586199345683838</v>
      </c>
      <c r="AC31" s="2">
        <f t="shared" si="8"/>
        <v>6.597657059947748</v>
      </c>
      <c r="AD31" s="2">
        <f t="shared" si="8"/>
        <v>-6.8107949809092521</v>
      </c>
      <c r="AE31" s="2">
        <v>1985</v>
      </c>
      <c r="AF31" s="2">
        <f t="shared" si="14"/>
        <v>100</v>
      </c>
      <c r="AG31" s="2">
        <f t="shared" si="15"/>
        <v>120.28902312774719</v>
      </c>
      <c r="AH31" s="2">
        <f t="shared" si="16"/>
        <v>76.54188985157046</v>
      </c>
      <c r="AI31" s="2">
        <f t="shared" si="17"/>
        <v>152.74327696892024</v>
      </c>
      <c r="AJ31" s="2">
        <f t="shared" si="18"/>
        <v>108.29682337534041</v>
      </c>
      <c r="AK31" s="2">
        <f t="shared" si="19"/>
        <v>112.40108183460733</v>
      </c>
      <c r="AL31" s="2">
        <f t="shared" si="20"/>
        <v>103.12577838935064</v>
      </c>
      <c r="AM31" s="2"/>
      <c r="AN31" s="2"/>
      <c r="AO31" s="2"/>
      <c r="AP31" s="2"/>
      <c r="AQ31" s="2"/>
      <c r="AR31" s="2"/>
      <c r="AS31" s="2"/>
      <c r="AT31" s="2"/>
      <c r="AU31" s="2"/>
    </row>
    <row r="32" spans="1:47">
      <c r="A32" s="63">
        <v>2011</v>
      </c>
      <c r="B32" s="62">
        <f>('1A'!B32/'1A'!B32)*100</f>
        <v>100</v>
      </c>
      <c r="C32" s="62">
        <f>('1A'!C32/'1A'!$B32)*100</f>
        <v>1.6409658794146125</v>
      </c>
      <c r="D32" s="62">
        <f>('1A'!D32/'1A'!$B32)*100</f>
        <v>0.26728158252493012</v>
      </c>
      <c r="E32" s="62">
        <f>('1A'!E32/'1A'!$B32)*100</f>
        <v>0.55496610294907589</v>
      </c>
      <c r="F32" s="62">
        <f>('1A'!F32/'1A'!$B32)*100</f>
        <v>0.15851751448252546</v>
      </c>
      <c r="G32" s="62">
        <f>('1A'!G32/'1A'!$B32)*100</f>
        <v>0.10433672339963102</v>
      </c>
      <c r="H32" s="62">
        <f>('1A'!H32/'1A'!$B32)*100</f>
        <v>0.2919570628066826</v>
      </c>
      <c r="I32" s="62">
        <f>('1A'!I32/'1A'!$B32)*100</f>
        <v>0.81871819394060619</v>
      </c>
      <c r="J32" s="62">
        <f>('1A'!J32/'1A'!$B32)*100</f>
        <v>0.53713288256979186</v>
      </c>
      <c r="K32" s="62">
        <f>('1A'!K32/'1A'!$B32)*100</f>
        <v>0.2815543509187669</v>
      </c>
      <c r="L32" s="62">
        <f>('1A'!L32/'1A'!$L32)*100</f>
        <v>100</v>
      </c>
      <c r="M32" s="62">
        <f>('1A'!M32/'1A'!$L32)*100</f>
        <v>1.9238474148373281</v>
      </c>
      <c r="N32" s="62">
        <f>('1A'!N32/'1A'!$L32)*100</f>
        <v>0.3002917920243513</v>
      </c>
      <c r="O32" s="62">
        <f>('1A'!O32/'1A'!$L32)*100</f>
        <v>0.74264636766595038</v>
      </c>
      <c r="P32" s="62">
        <f>('1A'!P32/'1A'!$L32)*100</f>
        <v>0.22499385016809542</v>
      </c>
      <c r="Q32" s="62">
        <f>('1A'!Q32/'1A'!$L32)*100</f>
        <v>0.17099532612775251</v>
      </c>
      <c r="R32" s="62">
        <f>('1A'!R32/'1A'!$L32)*100</f>
        <v>0.3463238671476313</v>
      </c>
      <c r="S32" s="62">
        <f>('1A'!S32/'1A'!$L32)*100</f>
        <v>0.88080925788028464</v>
      </c>
      <c r="T32" s="62">
        <f>('1A'!T32/'1A'!$L32)*100</f>
        <v>0.57551760251886441</v>
      </c>
      <c r="U32" s="62">
        <f>('1A'!U32/'1A'!$L32)*100</f>
        <v>0.30425835027175924</v>
      </c>
      <c r="X32" s="2">
        <f t="shared" si="2"/>
        <v>0</v>
      </c>
      <c r="Y32" s="2">
        <f t="shared" si="2"/>
        <v>-2.9813747808454027</v>
      </c>
      <c r="Z32" s="2">
        <f t="shared" si="2"/>
        <v>1.3690231860934876</v>
      </c>
      <c r="AA32" s="2">
        <f t="shared" si="2"/>
        <v>-1.6195616178683592</v>
      </c>
      <c r="AB32" s="2">
        <f t="shared" si="8"/>
        <v>-5.4954971447246486</v>
      </c>
      <c r="AC32" s="2">
        <f t="shared" si="8"/>
        <v>-3.1452122931434512</v>
      </c>
      <c r="AD32" s="2">
        <f t="shared" si="8"/>
        <v>-9.780987569992373</v>
      </c>
      <c r="AE32" s="2">
        <v>1986</v>
      </c>
      <c r="AF32" s="2">
        <f t="shared" si="14"/>
        <v>100</v>
      </c>
      <c r="AG32" s="2">
        <f t="shared" si="15"/>
        <v>116.89209415279545</v>
      </c>
      <c r="AH32" s="2">
        <f t="shared" si="16"/>
        <v>76.958258023444586</v>
      </c>
      <c r="AI32" s="2">
        <f t="shared" si="17"/>
        <v>147.17126983334433</v>
      </c>
      <c r="AJ32" s="2">
        <f t="shared" si="18"/>
        <v>105.47760597541026</v>
      </c>
      <c r="AK32" s="2">
        <f t="shared" si="19"/>
        <v>114.9099893890869</v>
      </c>
      <c r="AL32" s="2">
        <f t="shared" si="20"/>
        <v>88.91699667353187</v>
      </c>
      <c r="AM32" s="2"/>
      <c r="AN32" s="2"/>
      <c r="AO32" s="2"/>
      <c r="AP32" s="2"/>
      <c r="AQ32" s="2"/>
      <c r="AR32" s="2"/>
      <c r="AS32" s="2"/>
      <c r="AT32" s="2"/>
      <c r="AU32" s="2"/>
    </row>
    <row r="33" spans="1:47">
      <c r="A33" s="63">
        <v>2012</v>
      </c>
      <c r="B33" s="62" t="s">
        <v>10</v>
      </c>
      <c r="C33" s="62" t="s">
        <v>10</v>
      </c>
      <c r="D33" s="62" t="s">
        <v>10</v>
      </c>
      <c r="E33" s="62" t="s">
        <v>10</v>
      </c>
      <c r="F33" s="62" t="s">
        <v>10</v>
      </c>
      <c r="G33" s="62" t="s">
        <v>10</v>
      </c>
      <c r="H33" s="62" t="s">
        <v>10</v>
      </c>
      <c r="I33" s="62" t="s">
        <v>10</v>
      </c>
      <c r="J33" s="62" t="s">
        <v>10</v>
      </c>
      <c r="K33" s="62" t="s">
        <v>10</v>
      </c>
      <c r="L33" s="62">
        <f>('1A'!L33/'1A'!$L33)*100</f>
        <v>100</v>
      </c>
      <c r="M33" s="62">
        <f>('1A'!M33/'1A'!$L33)*100</f>
        <v>1.8499478688729483</v>
      </c>
      <c r="N33" s="62">
        <f>('1A'!N33/'1A'!$L33)*100</f>
        <v>0.29653895362796467</v>
      </c>
      <c r="O33" s="62">
        <f>('1A'!O33/'1A'!$L33)*100</f>
        <v>0.74266299610907749</v>
      </c>
      <c r="P33" s="62">
        <f>('1A'!P33/'1A'!$L33)*100</f>
        <v>0.2302321068540098</v>
      </c>
      <c r="Q33" s="62">
        <f>('1A'!Q33/'1A'!$L33)*100</f>
        <v>0.15820234770968389</v>
      </c>
      <c r="R33" s="62">
        <f>('1A'!R33/'1A'!$L33)*100</f>
        <v>0.35159731746705214</v>
      </c>
      <c r="S33" s="62">
        <f>('1A'!S33/'1A'!$L33)*100</f>
        <v>0.81061435793198933</v>
      </c>
      <c r="T33" s="62">
        <f>('1A'!T33/'1A'!$L33)*100</f>
        <v>0.53594745445515568</v>
      </c>
      <c r="U33" s="62">
        <f>('1A'!U33/'1A'!$L33)*100</f>
        <v>0.27368019444745939</v>
      </c>
      <c r="X33" s="2">
        <f t="shared" si="2"/>
        <v>0</v>
      </c>
      <c r="Y33" s="2">
        <f t="shared" si="2"/>
        <v>-3.8412373764386332</v>
      </c>
      <c r="Z33" s="2">
        <f t="shared" si="2"/>
        <v>-1.2497305940624259</v>
      </c>
      <c r="AA33" s="2">
        <f t="shared" si="2"/>
        <v>2.2390795742177616E-3</v>
      </c>
      <c r="AB33" s="2">
        <f t="shared" si="8"/>
        <v>-7.9693644589094337</v>
      </c>
      <c r="AC33" s="2">
        <f t="shared" si="8"/>
        <v>-6.8755756367003045</v>
      </c>
      <c r="AD33" s="2">
        <f t="shared" si="8"/>
        <v>-10.050062980025976</v>
      </c>
      <c r="AE33" s="2">
        <v>1987</v>
      </c>
      <c r="AF33" s="2">
        <f t="shared" si="14"/>
        <v>100</v>
      </c>
      <c r="AG33" s="2">
        <f t="shared" si="15"/>
        <v>105.88485618839221</v>
      </c>
      <c r="AH33" s="2">
        <f t="shared" si="16"/>
        <v>59.925244922321639</v>
      </c>
      <c r="AI33" s="2">
        <f t="shared" si="17"/>
        <v>131.60993036182703</v>
      </c>
      <c r="AJ33" s="2">
        <f t="shared" si="18"/>
        <v>99.268263523193255</v>
      </c>
      <c r="AK33" s="2">
        <f t="shared" si="19"/>
        <v>106.01522218525008</v>
      </c>
      <c r="AL33" s="2">
        <f t="shared" si="20"/>
        <v>88.199280666771728</v>
      </c>
      <c r="AM33" s="2"/>
      <c r="AN33" s="2"/>
      <c r="AO33" s="2"/>
      <c r="AP33" s="2"/>
      <c r="AQ33" s="2"/>
      <c r="AR33" s="2"/>
      <c r="AS33" s="2"/>
      <c r="AT33" s="2"/>
      <c r="AU33" s="2"/>
    </row>
    <row r="34" spans="1:47">
      <c r="A34" s="63">
        <v>2013</v>
      </c>
      <c r="B34" s="62" t="s">
        <v>10</v>
      </c>
      <c r="C34" s="62" t="s">
        <v>10</v>
      </c>
      <c r="D34" s="62" t="s">
        <v>10</v>
      </c>
      <c r="E34" s="62" t="s">
        <v>10</v>
      </c>
      <c r="F34" s="62" t="s">
        <v>10</v>
      </c>
      <c r="G34" s="62" t="s">
        <v>10</v>
      </c>
      <c r="H34" s="62" t="s">
        <v>10</v>
      </c>
      <c r="I34" s="62" t="s">
        <v>10</v>
      </c>
      <c r="J34" s="62" t="s">
        <v>10</v>
      </c>
      <c r="K34" s="62" t="s">
        <v>10</v>
      </c>
      <c r="L34" s="62">
        <f>('1A'!L34/'1A'!$L34)*100</f>
        <v>100</v>
      </c>
      <c r="M34" s="62">
        <f>('1A'!M34/'1A'!$L34)*100</f>
        <v>1.8898578938516097</v>
      </c>
      <c r="N34" s="62">
        <f>('1A'!N34/'1A'!$L34)*100</f>
        <v>0.29835752086404282</v>
      </c>
      <c r="O34" s="62">
        <f>('1A'!O34/'1A'!$L34)*100</f>
        <v>0.792496915085387</v>
      </c>
      <c r="P34" s="62">
        <f>('1A'!P34/'1A'!$L34)*100</f>
        <v>0.24464600991141666</v>
      </c>
      <c r="Q34" s="62">
        <f>('1A'!Q34/'1A'!$L34)*100</f>
        <v>0.17535132891257124</v>
      </c>
      <c r="R34" s="62">
        <f>('1A'!R34/'1A'!$L34)*100</f>
        <v>0.37119826769804043</v>
      </c>
      <c r="S34" s="62">
        <f>('1A'!S34/'1A'!$L34)*100</f>
        <v>0.7989383924740121</v>
      </c>
      <c r="T34" s="62">
        <f>('1A'!T34/'1A'!$L34)*100</f>
        <v>0.52999044514187355</v>
      </c>
      <c r="U34" s="62">
        <f>('1A'!U34/'1A'!$L34)*100</f>
        <v>0.26797196590961958</v>
      </c>
      <c r="X34" s="2">
        <f t="shared" si="2"/>
        <v>0</v>
      </c>
      <c r="Y34" s="2">
        <f t="shared" si="2"/>
        <v>2.1573594397001017</v>
      </c>
      <c r="Z34" s="2">
        <f t="shared" si="2"/>
        <v>0.61326419811937871</v>
      </c>
      <c r="AA34" s="2">
        <f t="shared" si="2"/>
        <v>6.7101658810788889</v>
      </c>
      <c r="AB34" s="2">
        <f t="shared" si="8"/>
        <v>-1.4403847333477438</v>
      </c>
      <c r="AC34" s="2">
        <f t="shared" si="8"/>
        <v>-1.1114912970970336</v>
      </c>
      <c r="AD34" s="2">
        <f t="shared" si="8"/>
        <v>-2.0857294951007743</v>
      </c>
      <c r="AE34" s="2">
        <v>1988</v>
      </c>
      <c r="AF34" s="2">
        <f t="shared" si="14"/>
        <v>100</v>
      </c>
      <c r="AG34" s="2">
        <f t="shared" si="15"/>
        <v>97.240539597535047</v>
      </c>
      <c r="AH34" s="2">
        <f t="shared" si="16"/>
        <v>55.862491514975723</v>
      </c>
      <c r="AI34" s="2">
        <f t="shared" si="17"/>
        <v>112.9115724368762</v>
      </c>
      <c r="AJ34" s="2">
        <f t="shared" si="18"/>
        <v>96.634868594818741</v>
      </c>
      <c r="AK34" s="2">
        <f t="shared" si="19"/>
        <v>102.15452190687408</v>
      </c>
      <c r="AL34" s="2">
        <f t="shared" si="20"/>
        <v>88.082360808778617</v>
      </c>
      <c r="AM34" s="2"/>
      <c r="AN34" s="2"/>
      <c r="AO34" s="2"/>
      <c r="AP34" s="2"/>
      <c r="AQ34" s="2"/>
      <c r="AR34" s="2"/>
      <c r="AS34" s="2"/>
      <c r="AT34" s="2"/>
      <c r="AU34" s="2"/>
    </row>
    <row r="35" spans="1:47">
      <c r="A35" s="63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</row>
    <row r="36" spans="1:47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X36" s="2"/>
      <c r="Y36" s="2"/>
      <c r="Z36" s="2"/>
      <c r="AA36" s="2"/>
      <c r="AB36" s="2"/>
      <c r="AC36" s="2"/>
      <c r="AD36" s="2"/>
      <c r="AE36" s="2">
        <v>1989</v>
      </c>
      <c r="AF36" s="2">
        <f t="shared" ref="AF36" si="21">(L10/$L$21)*100</f>
        <v>100</v>
      </c>
      <c r="AG36" s="2">
        <f>(M10/$M$21)*100</f>
        <v>97.806383982053674</v>
      </c>
      <c r="AH36" s="2">
        <f t="shared" ref="AH36" si="22">(N10/$N$21)*100</f>
        <v>54.223743953086625</v>
      </c>
      <c r="AI36" s="2">
        <f>(O10/$O$21)*100</f>
        <v>123.48645778809244</v>
      </c>
      <c r="AJ36" s="2">
        <f>(S10/$S$21)*100</f>
        <v>90.613657518092083</v>
      </c>
      <c r="AK36" s="2">
        <f t="shared" ref="AK36" si="23">(T10/$T$21)*100</f>
        <v>92.457501908631301</v>
      </c>
      <c r="AL36" s="2">
        <f>(U10/$U$21)*100</f>
        <v>89.658898316698256</v>
      </c>
      <c r="AM36" s="2"/>
      <c r="AN36" s="2"/>
      <c r="AO36" s="2"/>
      <c r="AP36" s="2"/>
      <c r="AQ36" s="2"/>
      <c r="AR36" s="2"/>
      <c r="AS36" s="2"/>
      <c r="AT36" s="2"/>
      <c r="AU36" s="2"/>
    </row>
    <row r="37" spans="1:47" ht="30" customHeight="1">
      <c r="A37" s="63" t="s">
        <v>29</v>
      </c>
      <c r="B37" s="7">
        <f>((B21/B5)^(1/16)-1)*100</f>
        <v>0</v>
      </c>
      <c r="C37" s="7">
        <f t="shared" ref="C37:K37" si="24">((C21/C5)^(1/16)-1)*100</f>
        <v>1.1342391250888983</v>
      </c>
      <c r="D37" s="7">
        <f t="shared" si="24"/>
        <v>0.43240951663781058</v>
      </c>
      <c r="E37" s="7">
        <f t="shared" si="24"/>
        <v>3.5664050265701519</v>
      </c>
      <c r="F37" s="7" t="s">
        <v>10</v>
      </c>
      <c r="G37" s="7" t="s">
        <v>10</v>
      </c>
      <c r="H37" s="7" t="s">
        <v>10</v>
      </c>
      <c r="I37" s="7">
        <f t="shared" si="24"/>
        <v>8.5080737685605534E-2</v>
      </c>
      <c r="J37" s="7">
        <f t="shared" si="24"/>
        <v>-0.39606120736096484</v>
      </c>
      <c r="K37" s="7">
        <f t="shared" si="24"/>
        <v>2.2759765111119545</v>
      </c>
      <c r="L37" s="11">
        <v>2.5240863723126283</v>
      </c>
      <c r="M37" s="11">
        <v>0.90758230307728116</v>
      </c>
      <c r="N37" s="11">
        <v>3.7640269067226173</v>
      </c>
      <c r="O37" s="11">
        <v>-0.61402405409158867</v>
      </c>
      <c r="P37" s="7" t="s">
        <v>10</v>
      </c>
      <c r="Q37" s="7" t="s">
        <v>10</v>
      </c>
      <c r="R37" s="7" t="s">
        <v>10</v>
      </c>
      <c r="S37" s="11">
        <v>1.6051267144392867</v>
      </c>
      <c r="T37" s="11">
        <v>1.1429132876353831</v>
      </c>
      <c r="U37" s="11">
        <v>2.4775930740042584</v>
      </c>
      <c r="X37" s="2"/>
      <c r="Y37" s="2"/>
      <c r="Z37" s="2"/>
      <c r="AA37" s="2"/>
      <c r="AB37" s="2"/>
      <c r="AC37" s="2"/>
      <c r="AD37" s="2"/>
      <c r="AE37" s="2">
        <v>1991</v>
      </c>
      <c r="AF37" s="2">
        <f t="shared" ref="AF37:AF39" si="25">(L12/$L$21)*100</f>
        <v>100</v>
      </c>
      <c r="AG37" s="2">
        <f>(M12/$M$21)*100</f>
        <v>111.19700336924952</v>
      </c>
      <c r="AH37" s="2">
        <f t="shared" ref="AH37:AH39" si="26">(N12/$N$21)*100</f>
        <v>77.356621209066915</v>
      </c>
      <c r="AI37" s="2">
        <f>(O12/$O$21)*100</f>
        <v>139.53068377210693</v>
      </c>
      <c r="AJ37" s="2">
        <f>(S12/$S$21)*100</f>
        <v>99.612351793778075</v>
      </c>
      <c r="AK37" s="2">
        <f t="shared" ref="AK37:AK39" si="27">(T12/$T$21)*100</f>
        <v>101.34713516163546</v>
      </c>
      <c r="AL37" s="2">
        <f>(U12/$U$21)*100</f>
        <v>99.1822878081379</v>
      </c>
      <c r="AM37" s="2"/>
      <c r="AN37" s="2"/>
      <c r="AO37" s="2"/>
      <c r="AP37" s="2"/>
      <c r="AQ37" s="2"/>
      <c r="AR37" s="2"/>
      <c r="AS37" s="2"/>
      <c r="AT37" s="2"/>
      <c r="AU37" s="2"/>
    </row>
    <row r="38" spans="1:47" ht="30" customHeight="1">
      <c r="A38" s="325" t="s">
        <v>68</v>
      </c>
      <c r="B38" s="7">
        <f>((B28/B21)^(1/7)-1)*100</f>
        <v>0</v>
      </c>
      <c r="C38" s="7">
        <f t="shared" ref="C38:U38" si="28">((C28/C21)^(1/7)-1)*100</f>
        <v>-8.9965407049750858</v>
      </c>
      <c r="D38" s="7">
        <f t="shared" si="28"/>
        <v>-8.4540051355055041</v>
      </c>
      <c r="E38" s="7">
        <f t="shared" si="28"/>
        <v>-7.4758430805649922</v>
      </c>
      <c r="F38" s="7" t="s">
        <v>10</v>
      </c>
      <c r="G38" s="7" t="s">
        <v>10</v>
      </c>
      <c r="H38" s="7" t="s">
        <v>10</v>
      </c>
      <c r="I38" s="7">
        <f t="shared" si="28"/>
        <v>-10.243931520355709</v>
      </c>
      <c r="J38" s="7">
        <f t="shared" si="28"/>
        <v>-12.38777724348733</v>
      </c>
      <c r="K38" s="7">
        <f t="shared" si="28"/>
        <v>-4.2806480312875035</v>
      </c>
      <c r="L38" s="7">
        <f t="shared" si="28"/>
        <v>0</v>
      </c>
      <c r="M38" s="7">
        <f t="shared" si="28"/>
        <v>-2.0239366682530791</v>
      </c>
      <c r="N38" s="7">
        <f t="shared" si="28"/>
        <v>-1.7123239807043888</v>
      </c>
      <c r="O38" s="7">
        <f t="shared" si="28"/>
        <v>-0.95311355453364666</v>
      </c>
      <c r="P38" s="7">
        <f t="shared" si="28"/>
        <v>-2.889351762187764</v>
      </c>
      <c r="Q38" s="7">
        <f t="shared" si="28"/>
        <v>2.1330378481805301</v>
      </c>
      <c r="R38" s="7">
        <f t="shared" si="28"/>
        <v>-0.81959623749093824</v>
      </c>
      <c r="S38" s="7">
        <f t="shared" si="28"/>
        <v>-2.9197894884741449</v>
      </c>
      <c r="T38" s="7">
        <f t="shared" si="28"/>
        <v>-3.1195583811007732</v>
      </c>
      <c r="U38" s="7">
        <f t="shared" si="28"/>
        <v>-2.0692440414216917</v>
      </c>
      <c r="X38" s="2"/>
      <c r="Y38" s="2"/>
      <c r="Z38" s="2"/>
      <c r="AA38" s="2"/>
      <c r="AB38" s="2"/>
      <c r="AC38" s="2"/>
      <c r="AD38" s="2"/>
      <c r="AE38" s="2">
        <v>1992</v>
      </c>
      <c r="AF38" s="2">
        <f t="shared" si="25"/>
        <v>100</v>
      </c>
      <c r="AG38" s="2"/>
      <c r="AH38" s="2">
        <f t="shared" si="26"/>
        <v>80.479343654373125</v>
      </c>
      <c r="AI38" s="2">
        <f>(O13/$O$21)*100</f>
        <v>136.63634911535479</v>
      </c>
      <c r="AJ38" s="2"/>
      <c r="AK38" s="2">
        <f t="shared" si="27"/>
        <v>102.07255994321558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30" customHeight="1">
      <c r="A39" s="63" t="s">
        <v>69</v>
      </c>
      <c r="B39" s="7" t="s">
        <v>10</v>
      </c>
      <c r="C39" s="7" t="s">
        <v>10</v>
      </c>
      <c r="D39" s="7" t="s">
        <v>10</v>
      </c>
      <c r="E39" s="7" t="s">
        <v>10</v>
      </c>
      <c r="F39" s="7" t="s">
        <v>10</v>
      </c>
      <c r="G39" s="7" t="s">
        <v>10</v>
      </c>
      <c r="H39" s="7" t="s">
        <v>10</v>
      </c>
      <c r="I39" s="7" t="s">
        <v>10</v>
      </c>
      <c r="J39" s="7" t="s">
        <v>10</v>
      </c>
      <c r="K39" s="7" t="s">
        <v>10</v>
      </c>
      <c r="L39" s="11">
        <f>((L34/L28)^(1/6)-1)*100</f>
        <v>0</v>
      </c>
      <c r="M39" s="11">
        <f t="shared" ref="M39:U39" si="29">((M34/M28)^(1/6)-1)*100</f>
        <v>-3.1910326365292563</v>
      </c>
      <c r="N39" s="11">
        <f t="shared" si="29"/>
        <v>-0.37103652424081979</v>
      </c>
      <c r="O39" s="11">
        <f t="shared" si="29"/>
        <v>-2.0662453030634853</v>
      </c>
      <c r="P39" s="11">
        <f t="shared" si="29"/>
        <v>-4.3755824546194422</v>
      </c>
      <c r="Q39" s="11">
        <f t="shared" si="29"/>
        <v>-0.60881690234674268</v>
      </c>
      <c r="R39" s="11">
        <f t="shared" si="29"/>
        <v>-1.0881938460714613</v>
      </c>
      <c r="S39" s="11">
        <f t="shared" si="29"/>
        <v>-5.0819049526160125</v>
      </c>
      <c r="T39" s="11">
        <f t="shared" si="29"/>
        <v>-5.0700278036932218</v>
      </c>
      <c r="U39" s="11">
        <f t="shared" si="29"/>
        <v>-5.1627603865523337</v>
      </c>
      <c r="X39" s="2"/>
      <c r="Y39" s="2"/>
      <c r="Z39" s="2"/>
      <c r="AA39" s="2"/>
      <c r="AB39" s="2"/>
      <c r="AC39" s="2"/>
      <c r="AD39" s="2"/>
      <c r="AE39" s="2">
        <v>1993</v>
      </c>
      <c r="AF39" s="2">
        <f t="shared" si="25"/>
        <v>100</v>
      </c>
      <c r="AG39" s="2"/>
      <c r="AH39" s="2">
        <f t="shared" si="26"/>
        <v>83.061276985295862</v>
      </c>
      <c r="AI39" s="2">
        <f>(O14/$O$21)*100</f>
        <v>124.09290267246509</v>
      </c>
      <c r="AJ39" s="2"/>
      <c r="AK39" s="2">
        <f t="shared" si="27"/>
        <v>109.28672523071734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s="259" customFormat="1" ht="30" customHeight="1">
      <c r="A40" s="325" t="s">
        <v>15</v>
      </c>
      <c r="B40" s="7" t="s">
        <v>10</v>
      </c>
      <c r="C40" s="7" t="s">
        <v>10</v>
      </c>
      <c r="D40" s="7" t="s">
        <v>10</v>
      </c>
      <c r="E40" s="7" t="s">
        <v>10</v>
      </c>
      <c r="F40" s="7" t="s">
        <v>10</v>
      </c>
      <c r="G40" s="7" t="s">
        <v>10</v>
      </c>
      <c r="H40" s="7" t="s">
        <v>10</v>
      </c>
      <c r="I40" s="7" t="s">
        <v>10</v>
      </c>
      <c r="J40" s="7" t="s">
        <v>10</v>
      </c>
      <c r="K40" s="7" t="s">
        <v>10</v>
      </c>
      <c r="L40" s="7">
        <f t="shared" ref="L40:U40" si="30">((L34/L21)^(1/13)-1)*100</f>
        <v>0</v>
      </c>
      <c r="M40" s="7">
        <f t="shared" si="30"/>
        <v>-2.5643345099906845</v>
      </c>
      <c r="N40" s="7">
        <f t="shared" si="30"/>
        <v>-1.0955269054252148</v>
      </c>
      <c r="O40" s="7">
        <f t="shared" si="30"/>
        <v>-1.468430171727364</v>
      </c>
      <c r="P40" s="7">
        <f t="shared" si="30"/>
        <v>-3.5781532201175748</v>
      </c>
      <c r="Q40" s="7">
        <f t="shared" si="30"/>
        <v>0.8582918106559978</v>
      </c>
      <c r="R40" s="7">
        <f t="shared" si="30"/>
        <v>-0.94365487832248629</v>
      </c>
      <c r="S40" s="7">
        <f t="shared" si="30"/>
        <v>-3.923741814520687</v>
      </c>
      <c r="T40" s="7">
        <f t="shared" si="30"/>
        <v>-4.0247055627455675</v>
      </c>
      <c r="U40" s="7">
        <f t="shared" si="30"/>
        <v>-3.5093643406668429</v>
      </c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>
      <c r="X41" s="2"/>
      <c r="Y41" s="2"/>
      <c r="Z41" s="2"/>
      <c r="AA41" s="2"/>
      <c r="AB41" s="2"/>
      <c r="AC41" s="2"/>
      <c r="AD41" s="2"/>
      <c r="AE41" s="2">
        <v>1995</v>
      </c>
      <c r="AF41" s="2">
        <f>(L16/$L$21)*100</f>
        <v>100</v>
      </c>
      <c r="AG41" s="2"/>
      <c r="AH41" s="2">
        <f>(N16/$N$21)*100</f>
        <v>73.684383420933614</v>
      </c>
      <c r="AI41" s="2">
        <f t="shared" ref="AI41:AI44" si="31">(O16/$O$21)*100</f>
        <v>129.44827257559152</v>
      </c>
      <c r="AJ41" s="2"/>
      <c r="AK41" s="2">
        <f>(T16/$T$21)*100</f>
        <v>111.6570844923223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s="64" customFormat="1">
      <c r="A42" s="64" t="s">
        <v>39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100</v>
      </c>
      <c r="AG42" s="24"/>
      <c r="AH42" s="24">
        <f>(N17/$N$21)*100</f>
        <v>73.88948329742415</v>
      </c>
      <c r="AI42" s="24">
        <f t="shared" si="31"/>
        <v>112.89872468909819</v>
      </c>
      <c r="AJ42" s="24"/>
      <c r="AK42" s="24">
        <f>(T17/$T$21)*100</f>
        <v>97.167044947824337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64" customFormat="1" ht="15" customHeight="1">
      <c r="A43" s="64" t="s">
        <v>9</v>
      </c>
      <c r="B43" s="28" t="s">
        <v>42</v>
      </c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100</v>
      </c>
      <c r="AG43" s="24">
        <f t="shared" ref="AG43:AG44" si="32">(M18/$M$21)*100</f>
        <v>97.099126225574409</v>
      </c>
      <c r="AH43" s="24">
        <f>(N18/$N$21)*100</f>
        <v>70.93424231455549</v>
      </c>
      <c r="AI43" s="24">
        <f t="shared" si="31"/>
        <v>95.202657909881623</v>
      </c>
      <c r="AJ43" s="24">
        <f t="shared" ref="AJ43:AJ44" si="33">(S18/$S$21)*100</f>
        <v>105.14952232727941</v>
      </c>
      <c r="AK43" s="24">
        <f>(T18/$T$21)*100</f>
        <v>106.46498914057896</v>
      </c>
      <c r="AL43" s="24">
        <f t="shared" ref="AL43:AL44" si="34">(U18/$U$21)*100</f>
        <v>105.78913278823876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64" customFormat="1">
      <c r="A44" s="64" t="s">
        <v>10</v>
      </c>
      <c r="B44" s="28" t="s">
        <v>43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100</v>
      </c>
      <c r="AG44" s="24">
        <f t="shared" si="32"/>
        <v>99.755597769756278</v>
      </c>
      <c r="AH44" s="24">
        <f>(N19/$N$21)*100</f>
        <v>78.842983173553023</v>
      </c>
      <c r="AI44" s="24">
        <f t="shared" si="31"/>
        <v>99.265291149989253</v>
      </c>
      <c r="AJ44" s="24">
        <f t="shared" si="33"/>
        <v>105.46582258585246</v>
      </c>
      <c r="AK44" s="24">
        <f>(T19/$T$21)*100</f>
        <v>100.33621228237837</v>
      </c>
      <c r="AL44" s="24">
        <f t="shared" si="34"/>
        <v>125.96375250122362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131" customFormat="1">
      <c r="A45" s="231" t="s">
        <v>144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64" customFormat="1">
      <c r="A46" s="64" t="s">
        <v>41</v>
      </c>
      <c r="X46" s="24"/>
      <c r="Y46" s="24"/>
      <c r="Z46" s="24"/>
      <c r="AA46" s="24"/>
      <c r="AB46" s="24"/>
      <c r="AC46" s="24"/>
      <c r="AD46" s="24"/>
      <c r="AE46" s="24">
        <v>2003</v>
      </c>
      <c r="AF46" s="24">
        <f>(L24/$L$21)*100</f>
        <v>100</v>
      </c>
      <c r="AG46" s="24">
        <f>(M24/$M$21)*100</f>
        <v>99.259850286081388</v>
      </c>
      <c r="AH46" s="24">
        <f>(N24/$N$21)*100</f>
        <v>92.752264998640712</v>
      </c>
      <c r="AI46" s="24">
        <f>(O24/$O$21)*100</f>
        <v>108.81592346946118</v>
      </c>
      <c r="AJ46" s="24">
        <f>(S24/$S$21)*100</f>
        <v>94.101073552721573</v>
      </c>
      <c r="AK46" s="24">
        <f>(T24/$T$21)*100</f>
        <v>91.703246411797437</v>
      </c>
      <c r="AL46" s="24">
        <f>(U24/$U$21)*100</f>
        <v>102.89118494117307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64" customFormat="1" ht="15" customHeight="1">
      <c r="A47" s="28" t="s">
        <v>302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>
        <v>2004</v>
      </c>
      <c r="AF47" s="24">
        <f>(L25/$L$21)*100</f>
        <v>100</v>
      </c>
      <c r="AG47" s="24">
        <f>(M25/$M$21)*100</f>
        <v>93.15761027238554</v>
      </c>
      <c r="AH47" s="24">
        <f>(N25/$N$21)*100</f>
        <v>103.32339617806605</v>
      </c>
      <c r="AI47" s="24">
        <f>(O25/$O$21)*100</f>
        <v>99.687174239094361</v>
      </c>
      <c r="AJ47" s="24">
        <f>(S25/$S$21)*100</f>
        <v>85.877568742823058</v>
      </c>
      <c r="AK47" s="24">
        <f>(T25/$T$21)*100</f>
        <v>79.873878218373378</v>
      </c>
      <c r="AL47" s="24">
        <f>(U25/$U$21)*100</f>
        <v>103.74568445717244</v>
      </c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>
      <c r="X48" s="3"/>
      <c r="Y48" s="3"/>
      <c r="Z48" s="3"/>
      <c r="AA48" s="3"/>
      <c r="AB48" s="2"/>
      <c r="AC48" s="2"/>
      <c r="AD48" s="2"/>
      <c r="AE48" s="2">
        <v>2011</v>
      </c>
      <c r="AF48" s="2">
        <f>(L32/$L$21)*100</f>
        <v>100</v>
      </c>
      <c r="AG48" s="2">
        <f>(M32/$M$21)*100</f>
        <v>72.623119483258066</v>
      </c>
      <c r="AH48" s="2">
        <f>(N32/$N$21)*100</f>
        <v>87.219503262272525</v>
      </c>
      <c r="AI48" s="2">
        <f>(O32/$O$21)*100</f>
        <v>77.315168825142806</v>
      </c>
      <c r="AJ48" s="2">
        <f>(S32/$S$21)*100</f>
        <v>65.520563915811351</v>
      </c>
      <c r="AK48" s="2">
        <f>(T32/$T$21)*100</f>
        <v>63.65953500859456</v>
      </c>
      <c r="AL48" s="2">
        <f>(U32/$U$21)*100</f>
        <v>71.360900315024296</v>
      </c>
      <c r="AM48" s="2"/>
      <c r="AN48" s="3"/>
      <c r="AO48" s="3"/>
      <c r="AP48" s="3"/>
      <c r="AQ48" s="3"/>
      <c r="AR48" s="3"/>
      <c r="AS48" s="3"/>
      <c r="AT48" s="3"/>
    </row>
    <row r="49" spans="24:46">
      <c r="X49" s="3"/>
      <c r="Y49" s="3"/>
      <c r="Z49" s="3"/>
      <c r="AA49" s="3"/>
      <c r="AB49" s="2"/>
      <c r="AC49" s="2"/>
      <c r="AD49" s="2"/>
      <c r="AE49" s="2">
        <v>2012</v>
      </c>
      <c r="AF49" s="2">
        <f>(L33/$L$21)*100</f>
        <v>100</v>
      </c>
      <c r="AG49" s="2">
        <f>(M33/$M$21)*100</f>
        <v>69.833493073731461</v>
      </c>
      <c r="AH49" s="2">
        <f>(N33/$N$21)*100</f>
        <v>86.129494446014633</v>
      </c>
      <c r="AI49" s="2">
        <f>(O33/$O$21)*100</f>
        <v>77.316899973295747</v>
      </c>
      <c r="AJ49" s="2">
        <f>(S33/$S$21)*100</f>
        <v>60.298991381827641</v>
      </c>
      <c r="AK49" s="2">
        <f>(T33/$T$21)*100</f>
        <v>59.282575529106929</v>
      </c>
      <c r="AL49" s="2">
        <f>(U33/$U$21)*100</f>
        <v>64.189084890250797</v>
      </c>
      <c r="AM49" s="2"/>
      <c r="AN49" s="3"/>
      <c r="AO49" s="3"/>
      <c r="AP49" s="3"/>
      <c r="AQ49" s="3"/>
      <c r="AR49" s="3"/>
      <c r="AS49" s="3"/>
      <c r="AT49" s="3"/>
    </row>
    <row r="50" spans="24:46">
      <c r="X50" s="3"/>
      <c r="Y50" s="3"/>
      <c r="Z50" s="3"/>
      <c r="AA50" s="3"/>
      <c r="AB50" s="2"/>
      <c r="AC50" s="2"/>
      <c r="AD50" s="2"/>
      <c r="AE50" s="2">
        <v>2013</v>
      </c>
      <c r="AF50" s="2">
        <f>(L34/$L$21)*100</f>
        <v>100</v>
      </c>
      <c r="AG50" s="2">
        <f>(M34/$M$21)*100</f>
        <v>71.34005252862994</v>
      </c>
      <c r="AH50" s="2">
        <f>(N34/$N$21)*100</f>
        <v>86.65769579947326</v>
      </c>
      <c r="AI50" s="2">
        <f>(O34/$O$21)*100</f>
        <v>82.504992215611722</v>
      </c>
      <c r="AJ50" s="2">
        <f>(S34/$S$21)*100</f>
        <v>59.43045391560112</v>
      </c>
      <c r="AK50" s="2">
        <f>(T34/$T$21)*100</f>
        <v>58.623654861405939</v>
      </c>
      <c r="AL50" s="2">
        <f>(U34/$U$21)*100</f>
        <v>62.850274214059567</v>
      </c>
      <c r="AM50" s="2"/>
      <c r="AN50" s="3"/>
      <c r="AO50" s="3"/>
      <c r="AP50" s="3"/>
      <c r="AQ50" s="3"/>
      <c r="AR50" s="3"/>
      <c r="AS50" s="3"/>
      <c r="AT50" s="3"/>
    </row>
    <row r="51" spans="24:46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24:46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</row>
  </sheetData>
  <mergeCells count="4">
    <mergeCell ref="A1:U1"/>
    <mergeCell ref="B2:K2"/>
    <mergeCell ref="L2:U2"/>
    <mergeCell ref="A36:U36"/>
  </mergeCells>
  <printOptions gridLines="1"/>
  <pageMargins left="0.7" right="0.7" top="0.75" bottom="0.75" header="0.3" footer="0.3"/>
  <pageSetup scale="46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5.140625" style="225" customWidth="1"/>
    <col min="13" max="16384" width="9.140625" style="225"/>
  </cols>
  <sheetData>
    <row r="1" spans="1:20">
      <c r="A1" s="454" t="s">
        <v>298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204.8</v>
      </c>
      <c r="C5" s="236" t="s">
        <v>9</v>
      </c>
      <c r="D5" s="236">
        <v>1.1000000000000001</v>
      </c>
      <c r="E5" s="236">
        <v>1.2</v>
      </c>
      <c r="F5" s="236" t="s">
        <v>9</v>
      </c>
      <c r="G5" s="236">
        <v>1464.1</v>
      </c>
      <c r="H5" s="236" t="s">
        <v>9</v>
      </c>
      <c r="I5" s="236">
        <v>7.5</v>
      </c>
      <c r="J5" s="236">
        <v>8.8000000000000007</v>
      </c>
      <c r="K5" s="236" t="s">
        <v>9</v>
      </c>
      <c r="L5" s="236">
        <v>1444.1</v>
      </c>
      <c r="M5" s="236" t="s">
        <v>9</v>
      </c>
      <c r="N5" s="236">
        <v>7.6</v>
      </c>
      <c r="O5" s="236">
        <v>8.8000000000000007</v>
      </c>
      <c r="P5" s="236" t="s">
        <v>9</v>
      </c>
      <c r="Q5" s="249"/>
      <c r="R5" s="249"/>
      <c r="S5" s="249"/>
      <c r="T5" s="249"/>
    </row>
    <row r="6" spans="1:20">
      <c r="A6" s="248">
        <v>1962</v>
      </c>
      <c r="B6" s="236">
        <v>216.8</v>
      </c>
      <c r="C6" s="236" t="s">
        <v>9</v>
      </c>
      <c r="D6" s="236">
        <v>1.1000000000000001</v>
      </c>
      <c r="E6" s="236">
        <v>1.2</v>
      </c>
      <c r="F6" s="236" t="s">
        <v>9</v>
      </c>
      <c r="G6" s="236">
        <v>1554.4</v>
      </c>
      <c r="H6" s="236" t="s">
        <v>9</v>
      </c>
      <c r="I6" s="236">
        <v>7.6</v>
      </c>
      <c r="J6" s="236">
        <v>8.9</v>
      </c>
      <c r="K6" s="236" t="s">
        <v>9</v>
      </c>
      <c r="L6" s="236">
        <v>1534.7</v>
      </c>
      <c r="M6" s="236" t="s">
        <v>9</v>
      </c>
      <c r="N6" s="236">
        <v>7.6</v>
      </c>
      <c r="O6" s="236">
        <v>8.9</v>
      </c>
      <c r="P6" s="236" t="s">
        <v>9</v>
      </c>
      <c r="Q6" s="249"/>
      <c r="R6" s="249"/>
      <c r="S6" s="249"/>
      <c r="T6" s="249"/>
    </row>
    <row r="7" spans="1:20">
      <c r="A7" s="248">
        <v>1963</v>
      </c>
      <c r="B7" s="236">
        <v>233.5</v>
      </c>
      <c r="C7" s="236" t="s">
        <v>9</v>
      </c>
      <c r="D7" s="236">
        <v>1.1000000000000001</v>
      </c>
      <c r="E7" s="236">
        <v>1.3</v>
      </c>
      <c r="F7" s="236" t="s">
        <v>9</v>
      </c>
      <c r="G7" s="236">
        <v>1644.5</v>
      </c>
      <c r="H7" s="236" t="s">
        <v>9</v>
      </c>
      <c r="I7" s="236">
        <v>7.6</v>
      </c>
      <c r="J7" s="236">
        <v>9.1</v>
      </c>
      <c r="K7" s="236" t="s">
        <v>9</v>
      </c>
      <c r="L7" s="236">
        <v>1625.2</v>
      </c>
      <c r="M7" s="236" t="s">
        <v>9</v>
      </c>
      <c r="N7" s="236">
        <v>7.6</v>
      </c>
      <c r="O7" s="236">
        <v>9</v>
      </c>
      <c r="P7" s="236" t="s">
        <v>9</v>
      </c>
      <c r="Q7" s="249"/>
      <c r="R7" s="249"/>
      <c r="S7" s="249"/>
      <c r="T7" s="249"/>
    </row>
    <row r="8" spans="1:20">
      <c r="A8" s="248">
        <v>1964</v>
      </c>
      <c r="B8" s="236">
        <v>251.6</v>
      </c>
      <c r="C8" s="236" t="s">
        <v>9</v>
      </c>
      <c r="D8" s="236">
        <v>1.1000000000000001</v>
      </c>
      <c r="E8" s="236">
        <v>1.4</v>
      </c>
      <c r="F8" s="236" t="s">
        <v>9</v>
      </c>
      <c r="G8" s="236">
        <v>1742.3</v>
      </c>
      <c r="H8" s="236" t="s">
        <v>9</v>
      </c>
      <c r="I8" s="236">
        <v>7.7</v>
      </c>
      <c r="J8" s="236">
        <v>9.6</v>
      </c>
      <c r="K8" s="236" t="s">
        <v>9</v>
      </c>
      <c r="L8" s="236">
        <v>1723.7</v>
      </c>
      <c r="M8" s="236" t="s">
        <v>9</v>
      </c>
      <c r="N8" s="236">
        <v>7.7</v>
      </c>
      <c r="O8" s="236">
        <v>9.5</v>
      </c>
      <c r="P8" s="236" t="s">
        <v>9</v>
      </c>
      <c r="Q8" s="249"/>
      <c r="R8" s="249"/>
      <c r="S8" s="249"/>
      <c r="T8" s="249"/>
    </row>
    <row r="9" spans="1:20">
      <c r="A9" s="248">
        <v>1965</v>
      </c>
      <c r="B9" s="236">
        <v>282.60000000000002</v>
      </c>
      <c r="C9" s="236" t="s">
        <v>9</v>
      </c>
      <c r="D9" s="236">
        <v>1.2</v>
      </c>
      <c r="E9" s="236">
        <v>1.5</v>
      </c>
      <c r="F9" s="236" t="s">
        <v>9</v>
      </c>
      <c r="G9" s="236">
        <v>1865.7</v>
      </c>
      <c r="H9" s="236" t="s">
        <v>9</v>
      </c>
      <c r="I9" s="236">
        <v>7.9</v>
      </c>
      <c r="J9" s="236">
        <v>10.1</v>
      </c>
      <c r="K9" s="236" t="s">
        <v>9</v>
      </c>
      <c r="L9" s="236">
        <v>1848.1</v>
      </c>
      <c r="M9" s="236" t="s">
        <v>9</v>
      </c>
      <c r="N9" s="236">
        <v>7.9</v>
      </c>
      <c r="O9" s="236">
        <v>10.1</v>
      </c>
      <c r="P9" s="236" t="s">
        <v>9</v>
      </c>
      <c r="Q9" s="249"/>
      <c r="R9" s="249"/>
      <c r="S9" s="249"/>
      <c r="T9" s="249"/>
    </row>
    <row r="10" spans="1:20">
      <c r="A10" s="248">
        <v>1966</v>
      </c>
      <c r="B10" s="236">
        <v>324.3</v>
      </c>
      <c r="C10" s="236" t="s">
        <v>9</v>
      </c>
      <c r="D10" s="236">
        <v>1.3</v>
      </c>
      <c r="E10" s="236">
        <v>1.7</v>
      </c>
      <c r="F10" s="236" t="s">
        <v>9</v>
      </c>
      <c r="G10" s="236">
        <v>2008.6</v>
      </c>
      <c r="H10" s="236" t="s">
        <v>9</v>
      </c>
      <c r="I10" s="236">
        <v>8.1</v>
      </c>
      <c r="J10" s="236">
        <v>10.8</v>
      </c>
      <c r="K10" s="236" t="s">
        <v>9</v>
      </c>
      <c r="L10" s="236">
        <v>1991.8</v>
      </c>
      <c r="M10" s="236" t="s">
        <v>9</v>
      </c>
      <c r="N10" s="236">
        <v>8.1</v>
      </c>
      <c r="O10" s="236">
        <v>10.8</v>
      </c>
      <c r="P10" s="236" t="s">
        <v>9</v>
      </c>
      <c r="Q10" s="249"/>
      <c r="R10" s="249"/>
      <c r="S10" s="249"/>
      <c r="T10" s="249"/>
    </row>
    <row r="11" spans="1:20">
      <c r="A11" s="248">
        <v>1967</v>
      </c>
      <c r="B11" s="236">
        <v>357</v>
      </c>
      <c r="C11" s="236" t="s">
        <v>9</v>
      </c>
      <c r="D11" s="236">
        <v>1.4</v>
      </c>
      <c r="E11" s="236">
        <v>1.9</v>
      </c>
      <c r="F11" s="236" t="s">
        <v>9</v>
      </c>
      <c r="G11" s="236">
        <v>2127.4</v>
      </c>
      <c r="H11" s="236" t="s">
        <v>9</v>
      </c>
      <c r="I11" s="236">
        <v>8.3000000000000007</v>
      </c>
      <c r="J11" s="236">
        <v>11.6</v>
      </c>
      <c r="K11" s="236" t="s">
        <v>9</v>
      </c>
      <c r="L11" s="236">
        <v>2111.1</v>
      </c>
      <c r="M11" s="236" t="s">
        <v>9</v>
      </c>
      <c r="N11" s="236">
        <v>8.3000000000000007</v>
      </c>
      <c r="O11" s="236">
        <v>11.6</v>
      </c>
      <c r="P11" s="236" t="s">
        <v>9</v>
      </c>
      <c r="Q11" s="249"/>
      <c r="R11" s="249"/>
      <c r="S11" s="249"/>
      <c r="T11" s="249"/>
    </row>
    <row r="12" spans="1:20">
      <c r="A12" s="248">
        <v>1968</v>
      </c>
      <c r="B12" s="236">
        <v>371.3</v>
      </c>
      <c r="C12" s="236" t="s">
        <v>9</v>
      </c>
      <c r="D12" s="236">
        <v>1.4</v>
      </c>
      <c r="E12" s="236">
        <v>2</v>
      </c>
      <c r="F12" s="236" t="s">
        <v>9</v>
      </c>
      <c r="G12" s="236">
        <v>2211.1999999999998</v>
      </c>
      <c r="H12" s="236" t="s">
        <v>9</v>
      </c>
      <c r="I12" s="236">
        <v>8.4</v>
      </c>
      <c r="J12" s="236">
        <v>11.9</v>
      </c>
      <c r="K12" s="236" t="s">
        <v>9</v>
      </c>
      <c r="L12" s="236">
        <v>2195.8000000000002</v>
      </c>
      <c r="M12" s="236" t="s">
        <v>9</v>
      </c>
      <c r="N12" s="236">
        <v>8.4</v>
      </c>
      <c r="O12" s="236">
        <v>11.9</v>
      </c>
      <c r="P12" s="236" t="s">
        <v>9</v>
      </c>
      <c r="Q12" s="249"/>
      <c r="R12" s="249"/>
      <c r="S12" s="249"/>
      <c r="T12" s="249"/>
    </row>
    <row r="13" spans="1:20">
      <c r="A13" s="248">
        <v>1969</v>
      </c>
      <c r="B13" s="236">
        <v>402</v>
      </c>
      <c r="C13" s="236" t="s">
        <v>9</v>
      </c>
      <c r="D13" s="236">
        <v>1.5</v>
      </c>
      <c r="E13" s="236">
        <v>2.1</v>
      </c>
      <c r="F13" s="236" t="s">
        <v>9</v>
      </c>
      <c r="G13" s="236">
        <v>2286.1</v>
      </c>
      <c r="H13" s="236" t="s">
        <v>9</v>
      </c>
      <c r="I13" s="236">
        <v>8.3000000000000007</v>
      </c>
      <c r="J13" s="236">
        <v>12.3</v>
      </c>
      <c r="K13" s="236" t="s">
        <v>9</v>
      </c>
      <c r="L13" s="236">
        <v>2271.3000000000002</v>
      </c>
      <c r="M13" s="236" t="s">
        <v>9</v>
      </c>
      <c r="N13" s="236">
        <v>8.1999999999999993</v>
      </c>
      <c r="O13" s="236">
        <v>12.3</v>
      </c>
      <c r="P13" s="236" t="s">
        <v>9</v>
      </c>
      <c r="Q13" s="249"/>
      <c r="R13" s="249"/>
      <c r="S13" s="249"/>
      <c r="T13" s="249"/>
    </row>
    <row r="14" spans="1:20">
      <c r="A14" s="248">
        <v>1970</v>
      </c>
      <c r="B14" s="236">
        <v>434.6</v>
      </c>
      <c r="C14" s="236" t="s">
        <v>9</v>
      </c>
      <c r="D14" s="236">
        <v>1.5</v>
      </c>
      <c r="E14" s="236">
        <v>2.2999999999999998</v>
      </c>
      <c r="F14" s="236" t="s">
        <v>9</v>
      </c>
      <c r="G14" s="236">
        <v>2353.9</v>
      </c>
      <c r="H14" s="236" t="s">
        <v>9</v>
      </c>
      <c r="I14" s="236">
        <v>8.1</v>
      </c>
      <c r="J14" s="236">
        <v>12.6</v>
      </c>
      <c r="K14" s="236" t="s">
        <v>9</v>
      </c>
      <c r="L14" s="236">
        <v>2339.4</v>
      </c>
      <c r="M14" s="236" t="s">
        <v>9</v>
      </c>
      <c r="N14" s="236">
        <v>8.1</v>
      </c>
      <c r="O14" s="236">
        <v>12.6</v>
      </c>
      <c r="P14" s="236" t="s">
        <v>9</v>
      </c>
      <c r="Q14" s="249"/>
      <c r="R14" s="249"/>
      <c r="S14" s="249"/>
      <c r="T14" s="249"/>
    </row>
    <row r="15" spans="1:20">
      <c r="A15" s="248">
        <v>1971</v>
      </c>
      <c r="B15" s="236">
        <v>470.1</v>
      </c>
      <c r="C15" s="236" t="s">
        <v>9</v>
      </c>
      <c r="D15" s="236">
        <v>1.6</v>
      </c>
      <c r="E15" s="236">
        <v>2.5</v>
      </c>
      <c r="F15" s="236" t="s">
        <v>9</v>
      </c>
      <c r="G15" s="236">
        <v>2424.3000000000002</v>
      </c>
      <c r="H15" s="236" t="s">
        <v>9</v>
      </c>
      <c r="I15" s="236">
        <v>7.9</v>
      </c>
      <c r="J15" s="236">
        <v>12.9</v>
      </c>
      <c r="K15" s="236" t="s">
        <v>9</v>
      </c>
      <c r="L15" s="236">
        <v>2410.6</v>
      </c>
      <c r="M15" s="236" t="s">
        <v>9</v>
      </c>
      <c r="N15" s="236">
        <v>7.9</v>
      </c>
      <c r="O15" s="236">
        <v>12.9</v>
      </c>
      <c r="P15" s="236" t="s">
        <v>9</v>
      </c>
      <c r="Q15" s="249"/>
      <c r="R15" s="249"/>
      <c r="S15" s="249"/>
      <c r="T15" s="249"/>
    </row>
    <row r="16" spans="1:20">
      <c r="A16" s="248">
        <v>1972</v>
      </c>
      <c r="B16" s="236">
        <v>519.4</v>
      </c>
      <c r="C16" s="236" t="s">
        <v>9</v>
      </c>
      <c r="D16" s="236">
        <v>1.7</v>
      </c>
      <c r="E16" s="236">
        <v>2.7</v>
      </c>
      <c r="F16" s="236" t="s">
        <v>9</v>
      </c>
      <c r="G16" s="236">
        <v>2506.1</v>
      </c>
      <c r="H16" s="236" t="s">
        <v>9</v>
      </c>
      <c r="I16" s="236">
        <v>7.7</v>
      </c>
      <c r="J16" s="236">
        <v>14.3</v>
      </c>
      <c r="K16" s="236" t="s">
        <v>9</v>
      </c>
      <c r="L16" s="236">
        <v>2493.6</v>
      </c>
      <c r="M16" s="236" t="s">
        <v>9</v>
      </c>
      <c r="N16" s="236">
        <v>7.7</v>
      </c>
      <c r="O16" s="236">
        <v>14.2</v>
      </c>
      <c r="P16" s="236" t="s">
        <v>9</v>
      </c>
      <c r="Q16" s="249"/>
      <c r="R16" s="249"/>
      <c r="S16" s="249"/>
      <c r="T16" s="249"/>
    </row>
    <row r="17" spans="1:20">
      <c r="A17" s="248">
        <v>1973</v>
      </c>
      <c r="B17" s="236">
        <v>602.79999999999995</v>
      </c>
      <c r="C17" s="236" t="s">
        <v>9</v>
      </c>
      <c r="D17" s="236">
        <v>1.8</v>
      </c>
      <c r="E17" s="236">
        <v>3.8</v>
      </c>
      <c r="F17" s="236" t="s">
        <v>9</v>
      </c>
      <c r="G17" s="236">
        <v>2597.1999999999998</v>
      </c>
      <c r="H17" s="236" t="s">
        <v>9</v>
      </c>
      <c r="I17" s="236">
        <v>7.7</v>
      </c>
      <c r="J17" s="236">
        <v>17.100000000000001</v>
      </c>
      <c r="K17" s="236" t="s">
        <v>9</v>
      </c>
      <c r="L17" s="236">
        <v>2585.5</v>
      </c>
      <c r="M17" s="236" t="s">
        <v>9</v>
      </c>
      <c r="N17" s="236">
        <v>7.7</v>
      </c>
      <c r="O17" s="236">
        <v>17.100000000000001</v>
      </c>
      <c r="P17" s="236" t="s">
        <v>9</v>
      </c>
      <c r="Q17" s="249"/>
      <c r="R17" s="249"/>
      <c r="S17" s="249"/>
      <c r="T17" s="249"/>
    </row>
    <row r="18" spans="1:20">
      <c r="A18" s="248">
        <v>1974</v>
      </c>
      <c r="B18" s="236">
        <v>765.1</v>
      </c>
      <c r="C18" s="236" t="s">
        <v>9</v>
      </c>
      <c r="D18" s="236">
        <v>2.2999999999999998</v>
      </c>
      <c r="E18" s="236">
        <v>6</v>
      </c>
      <c r="F18" s="236" t="s">
        <v>9</v>
      </c>
      <c r="G18" s="236">
        <v>2710</v>
      </c>
      <c r="H18" s="236" t="s">
        <v>9</v>
      </c>
      <c r="I18" s="236">
        <v>8.1</v>
      </c>
      <c r="J18" s="236">
        <v>20.5</v>
      </c>
      <c r="K18" s="236" t="s">
        <v>9</v>
      </c>
      <c r="L18" s="236">
        <v>2698.8</v>
      </c>
      <c r="M18" s="236" t="s">
        <v>9</v>
      </c>
      <c r="N18" s="236">
        <v>8.1</v>
      </c>
      <c r="O18" s="236">
        <v>20.5</v>
      </c>
      <c r="P18" s="236" t="s">
        <v>9</v>
      </c>
      <c r="Q18" s="249"/>
      <c r="R18" s="249"/>
      <c r="S18" s="249"/>
      <c r="T18" s="249"/>
    </row>
    <row r="19" spans="1:20">
      <c r="A19" s="248">
        <v>1975</v>
      </c>
      <c r="B19" s="236">
        <v>910.5</v>
      </c>
      <c r="C19" s="236" t="s">
        <v>9</v>
      </c>
      <c r="D19" s="236">
        <v>2.8</v>
      </c>
      <c r="E19" s="236">
        <v>7.3</v>
      </c>
      <c r="F19" s="236" t="s">
        <v>9</v>
      </c>
      <c r="G19" s="236">
        <v>2861.8</v>
      </c>
      <c r="H19" s="236" t="s">
        <v>9</v>
      </c>
      <c r="I19" s="236">
        <v>8.3000000000000007</v>
      </c>
      <c r="J19" s="236">
        <v>23.3</v>
      </c>
      <c r="K19" s="236" t="s">
        <v>9</v>
      </c>
      <c r="L19" s="236">
        <v>2852.5</v>
      </c>
      <c r="M19" s="236" t="s">
        <v>9</v>
      </c>
      <c r="N19" s="236">
        <v>8.3000000000000007</v>
      </c>
      <c r="O19" s="236">
        <v>23.3</v>
      </c>
      <c r="P19" s="236" t="s">
        <v>9</v>
      </c>
      <c r="Q19" s="249"/>
      <c r="R19" s="249"/>
      <c r="S19" s="249"/>
      <c r="T19" s="249"/>
    </row>
    <row r="20" spans="1:20">
      <c r="A20" s="248">
        <v>1976</v>
      </c>
      <c r="B20" s="236">
        <v>990.4</v>
      </c>
      <c r="C20" s="236" t="s">
        <v>9</v>
      </c>
      <c r="D20" s="236">
        <v>2.8</v>
      </c>
      <c r="E20" s="236">
        <v>8</v>
      </c>
      <c r="F20" s="236" t="s">
        <v>9</v>
      </c>
      <c r="G20" s="236">
        <v>3015.6</v>
      </c>
      <c r="H20" s="236" t="s">
        <v>9</v>
      </c>
      <c r="I20" s="236">
        <v>8.3000000000000007</v>
      </c>
      <c r="J20" s="236">
        <v>24.6</v>
      </c>
      <c r="K20" s="236" t="s">
        <v>9</v>
      </c>
      <c r="L20" s="236">
        <v>3010.1</v>
      </c>
      <c r="M20" s="236" t="s">
        <v>9</v>
      </c>
      <c r="N20" s="236">
        <v>8.3000000000000007</v>
      </c>
      <c r="O20" s="236">
        <v>24.5</v>
      </c>
      <c r="P20" s="236" t="s">
        <v>9</v>
      </c>
      <c r="Q20" s="249"/>
      <c r="R20" s="249"/>
      <c r="S20" s="249"/>
      <c r="T20" s="249"/>
    </row>
    <row r="21" spans="1:20">
      <c r="A21" s="248">
        <v>1977</v>
      </c>
      <c r="B21" s="236">
        <v>1070</v>
      </c>
      <c r="C21" s="236" t="s">
        <v>9</v>
      </c>
      <c r="D21" s="236">
        <v>2.8</v>
      </c>
      <c r="E21" s="236">
        <v>8.5</v>
      </c>
      <c r="F21" s="236" t="s">
        <v>9</v>
      </c>
      <c r="G21" s="236">
        <v>3135.8</v>
      </c>
      <c r="H21" s="236" t="s">
        <v>9</v>
      </c>
      <c r="I21" s="236">
        <v>8.3000000000000007</v>
      </c>
      <c r="J21" s="236">
        <v>25.1</v>
      </c>
      <c r="K21" s="236" t="s">
        <v>9</v>
      </c>
      <c r="L21" s="236">
        <v>3131.8</v>
      </c>
      <c r="M21" s="236" t="s">
        <v>9</v>
      </c>
      <c r="N21" s="236">
        <v>8.3000000000000007</v>
      </c>
      <c r="O21" s="236">
        <v>25.1</v>
      </c>
      <c r="P21" s="236" t="s">
        <v>9</v>
      </c>
      <c r="Q21" s="249"/>
      <c r="R21" s="249"/>
      <c r="S21" s="249"/>
      <c r="T21" s="249"/>
    </row>
    <row r="22" spans="1:20">
      <c r="A22" s="248">
        <v>1978</v>
      </c>
      <c r="B22" s="236">
        <v>1141.4000000000001</v>
      </c>
      <c r="C22" s="236" t="s">
        <v>9</v>
      </c>
      <c r="D22" s="236">
        <v>3</v>
      </c>
      <c r="E22" s="236">
        <v>8.6999999999999993</v>
      </c>
      <c r="F22" s="236" t="s">
        <v>9</v>
      </c>
      <c r="G22" s="236">
        <v>3214.7</v>
      </c>
      <c r="H22" s="236" t="s">
        <v>9</v>
      </c>
      <c r="I22" s="236">
        <v>8.1999999999999993</v>
      </c>
      <c r="J22" s="236">
        <v>25.5</v>
      </c>
      <c r="K22" s="236" t="s">
        <v>9</v>
      </c>
      <c r="L22" s="236">
        <v>3211.1</v>
      </c>
      <c r="M22" s="236" t="s">
        <v>9</v>
      </c>
      <c r="N22" s="236">
        <v>8.1999999999999993</v>
      </c>
      <c r="O22" s="236">
        <v>25.5</v>
      </c>
      <c r="P22" s="236" t="s">
        <v>9</v>
      </c>
      <c r="Q22" s="249"/>
      <c r="R22" s="249"/>
      <c r="S22" s="249"/>
      <c r="T22" s="249"/>
    </row>
    <row r="23" spans="1:20">
      <c r="A23" s="248">
        <v>1979</v>
      </c>
      <c r="B23" s="236">
        <v>1229.8</v>
      </c>
      <c r="C23" s="236" t="s">
        <v>9</v>
      </c>
      <c r="D23" s="236">
        <v>3.1</v>
      </c>
      <c r="E23" s="236">
        <v>9.1999999999999993</v>
      </c>
      <c r="F23" s="236" t="s">
        <v>9</v>
      </c>
      <c r="G23" s="236">
        <v>3258.6</v>
      </c>
      <c r="H23" s="236" t="s">
        <v>9</v>
      </c>
      <c r="I23" s="236">
        <v>8.1</v>
      </c>
      <c r="J23" s="236">
        <v>25.9</v>
      </c>
      <c r="K23" s="236" t="s">
        <v>9</v>
      </c>
      <c r="L23" s="236">
        <v>3254.9</v>
      </c>
      <c r="M23" s="236" t="s">
        <v>9</v>
      </c>
      <c r="N23" s="236">
        <v>8.1</v>
      </c>
      <c r="O23" s="236">
        <v>25.9</v>
      </c>
      <c r="P23" s="236" t="s">
        <v>9</v>
      </c>
      <c r="Q23" s="249"/>
      <c r="R23" s="249"/>
      <c r="S23" s="249"/>
      <c r="T23" s="249"/>
    </row>
    <row r="24" spans="1:20">
      <c r="A24" s="248">
        <v>1980</v>
      </c>
      <c r="B24" s="236">
        <v>1369.1</v>
      </c>
      <c r="C24" s="236" t="s">
        <v>9</v>
      </c>
      <c r="D24" s="236">
        <v>3.4</v>
      </c>
      <c r="E24" s="236">
        <v>10.9</v>
      </c>
      <c r="F24" s="236" t="s">
        <v>9</v>
      </c>
      <c r="G24" s="236">
        <v>3300.4</v>
      </c>
      <c r="H24" s="236" t="s">
        <v>9</v>
      </c>
      <c r="I24" s="236">
        <v>8.1</v>
      </c>
      <c r="J24" s="236">
        <v>27</v>
      </c>
      <c r="K24" s="236" t="s">
        <v>9</v>
      </c>
      <c r="L24" s="236">
        <v>3295.6</v>
      </c>
      <c r="M24" s="236" t="s">
        <v>9</v>
      </c>
      <c r="N24" s="236">
        <v>8.1</v>
      </c>
      <c r="O24" s="236">
        <v>26.9</v>
      </c>
      <c r="P24" s="236" t="s">
        <v>9</v>
      </c>
      <c r="Q24" s="249"/>
      <c r="R24" s="249"/>
      <c r="S24" s="249"/>
      <c r="T24" s="249"/>
    </row>
    <row r="25" spans="1:20">
      <c r="A25" s="248">
        <v>1981</v>
      </c>
      <c r="B25" s="236">
        <v>1554.7</v>
      </c>
      <c r="C25" s="236" t="s">
        <v>9</v>
      </c>
      <c r="D25" s="236">
        <v>3.9</v>
      </c>
      <c r="E25" s="236">
        <v>12.4</v>
      </c>
      <c r="F25" s="236" t="s">
        <v>9</v>
      </c>
      <c r="G25" s="236">
        <v>3350.2</v>
      </c>
      <c r="H25" s="236" t="s">
        <v>9</v>
      </c>
      <c r="I25" s="236">
        <v>8.1999999999999993</v>
      </c>
      <c r="J25" s="236">
        <v>27.9</v>
      </c>
      <c r="K25" s="236" t="s">
        <v>9</v>
      </c>
      <c r="L25" s="236">
        <v>3344</v>
      </c>
      <c r="M25" s="236" t="s">
        <v>9</v>
      </c>
      <c r="N25" s="236">
        <v>8.1999999999999993</v>
      </c>
      <c r="O25" s="236">
        <v>27.8</v>
      </c>
      <c r="P25" s="236" t="s">
        <v>9</v>
      </c>
      <c r="Q25" s="249"/>
      <c r="R25" s="249"/>
      <c r="S25" s="249"/>
      <c r="T25" s="249"/>
    </row>
    <row r="26" spans="1:20">
      <c r="A26" s="248">
        <v>1982</v>
      </c>
      <c r="B26" s="236">
        <v>1717.2</v>
      </c>
      <c r="C26" s="236" t="s">
        <v>9</v>
      </c>
      <c r="D26" s="236">
        <v>4.3</v>
      </c>
      <c r="E26" s="236">
        <v>14.2</v>
      </c>
      <c r="F26" s="236" t="s">
        <v>9</v>
      </c>
      <c r="G26" s="236">
        <v>3394.2</v>
      </c>
      <c r="H26" s="236" t="s">
        <v>9</v>
      </c>
      <c r="I26" s="236">
        <v>8.1</v>
      </c>
      <c r="J26" s="236">
        <v>29.5</v>
      </c>
      <c r="K26" s="236" t="s">
        <v>9</v>
      </c>
      <c r="L26" s="236">
        <v>3386.6</v>
      </c>
      <c r="M26" s="236" t="s">
        <v>9</v>
      </c>
      <c r="N26" s="236">
        <v>8.1</v>
      </c>
      <c r="O26" s="236">
        <v>29.5</v>
      </c>
      <c r="P26" s="236" t="s">
        <v>9</v>
      </c>
      <c r="Q26" s="249"/>
      <c r="R26" s="249"/>
      <c r="S26" s="249"/>
      <c r="T26" s="249"/>
    </row>
    <row r="27" spans="1:20">
      <c r="A27" s="248">
        <v>1983</v>
      </c>
      <c r="B27" s="236">
        <v>1766.6</v>
      </c>
      <c r="C27" s="236" t="s">
        <v>9</v>
      </c>
      <c r="D27" s="236">
        <v>4.2</v>
      </c>
      <c r="E27" s="236">
        <v>15.2</v>
      </c>
      <c r="F27" s="236" t="s">
        <v>9</v>
      </c>
      <c r="G27" s="236">
        <v>3422.6</v>
      </c>
      <c r="H27" s="236" t="s">
        <v>9</v>
      </c>
      <c r="I27" s="236">
        <v>7.9</v>
      </c>
      <c r="J27" s="236">
        <v>31.5</v>
      </c>
      <c r="K27" s="236" t="s">
        <v>9</v>
      </c>
      <c r="L27" s="236">
        <v>3414.4</v>
      </c>
      <c r="M27" s="236" t="s">
        <v>9</v>
      </c>
      <c r="N27" s="236">
        <v>7.9</v>
      </c>
      <c r="O27" s="236">
        <v>31.5</v>
      </c>
      <c r="P27" s="236" t="s">
        <v>9</v>
      </c>
      <c r="Q27" s="249"/>
      <c r="R27" s="249"/>
      <c r="S27" s="249"/>
      <c r="T27" s="249"/>
    </row>
    <row r="28" spans="1:20">
      <c r="A28" s="248">
        <v>1984</v>
      </c>
      <c r="B28" s="236">
        <v>1834.7</v>
      </c>
      <c r="C28" s="236" t="s">
        <v>9</v>
      </c>
      <c r="D28" s="236">
        <v>4.3</v>
      </c>
      <c r="E28" s="236">
        <v>15.9</v>
      </c>
      <c r="F28" s="236" t="s">
        <v>9</v>
      </c>
      <c r="G28" s="236">
        <v>3463.4</v>
      </c>
      <c r="H28" s="236" t="s">
        <v>9</v>
      </c>
      <c r="I28" s="236">
        <v>7.7</v>
      </c>
      <c r="J28" s="236">
        <v>32.200000000000003</v>
      </c>
      <c r="K28" s="236" t="s">
        <v>9</v>
      </c>
      <c r="L28" s="236">
        <v>3454.7</v>
      </c>
      <c r="M28" s="236" t="s">
        <v>9</v>
      </c>
      <c r="N28" s="236">
        <v>7.7</v>
      </c>
      <c r="O28" s="236">
        <v>32.1</v>
      </c>
      <c r="P28" s="236" t="s">
        <v>9</v>
      </c>
      <c r="Q28" s="249"/>
      <c r="R28" s="249"/>
      <c r="S28" s="249"/>
      <c r="T28" s="249"/>
    </row>
    <row r="29" spans="1:20">
      <c r="A29" s="248">
        <v>1985</v>
      </c>
      <c r="B29" s="236">
        <v>1958.6</v>
      </c>
      <c r="C29" s="236" t="s">
        <v>9</v>
      </c>
      <c r="D29" s="236">
        <v>4.4000000000000004</v>
      </c>
      <c r="E29" s="236">
        <v>16.899999999999999</v>
      </c>
      <c r="F29" s="236" t="s">
        <v>9</v>
      </c>
      <c r="G29" s="236">
        <v>3555.5</v>
      </c>
      <c r="H29" s="236" t="s">
        <v>9</v>
      </c>
      <c r="I29" s="236">
        <v>7.7</v>
      </c>
      <c r="J29" s="236">
        <v>32.6</v>
      </c>
      <c r="K29" s="236" t="s">
        <v>9</v>
      </c>
      <c r="L29" s="236">
        <v>3545.5</v>
      </c>
      <c r="M29" s="236" t="s">
        <v>9</v>
      </c>
      <c r="N29" s="236">
        <v>7.7</v>
      </c>
      <c r="O29" s="236">
        <v>32.5</v>
      </c>
      <c r="P29" s="236" t="s">
        <v>9</v>
      </c>
      <c r="Q29" s="249"/>
      <c r="R29" s="249"/>
      <c r="S29" s="249"/>
      <c r="T29" s="249"/>
    </row>
    <row r="30" spans="1:20">
      <c r="A30" s="248">
        <v>1986</v>
      </c>
      <c r="B30" s="236">
        <v>2136</v>
      </c>
      <c r="C30" s="236" t="s">
        <v>9</v>
      </c>
      <c r="D30" s="236">
        <v>4.5999999999999996</v>
      </c>
      <c r="E30" s="236">
        <v>18.3</v>
      </c>
      <c r="F30" s="236" t="s">
        <v>9</v>
      </c>
      <c r="G30" s="236">
        <v>3672</v>
      </c>
      <c r="H30" s="236" t="s">
        <v>9</v>
      </c>
      <c r="I30" s="236">
        <v>7.6</v>
      </c>
      <c r="J30" s="236">
        <v>33.1</v>
      </c>
      <c r="K30" s="236" t="s">
        <v>9</v>
      </c>
      <c r="L30" s="236">
        <v>3661.8</v>
      </c>
      <c r="M30" s="236" t="s">
        <v>9</v>
      </c>
      <c r="N30" s="236">
        <v>7.6</v>
      </c>
      <c r="O30" s="236">
        <v>33.1</v>
      </c>
      <c r="P30" s="236" t="s">
        <v>9</v>
      </c>
      <c r="Q30" s="249"/>
      <c r="R30" s="249"/>
      <c r="S30" s="249"/>
      <c r="T30" s="249"/>
    </row>
    <row r="31" spans="1:20">
      <c r="A31" s="248">
        <v>1987</v>
      </c>
      <c r="B31" s="236">
        <v>2331.4</v>
      </c>
      <c r="C31" s="236" t="s">
        <v>9</v>
      </c>
      <c r="D31" s="236">
        <v>4.7</v>
      </c>
      <c r="E31" s="236">
        <v>19.600000000000001</v>
      </c>
      <c r="F31" s="236" t="s">
        <v>9</v>
      </c>
      <c r="G31" s="236">
        <v>3788</v>
      </c>
      <c r="H31" s="236" t="s">
        <v>9</v>
      </c>
      <c r="I31" s="236">
        <v>7.4</v>
      </c>
      <c r="J31" s="236">
        <v>33.700000000000003</v>
      </c>
      <c r="K31" s="236" t="s">
        <v>9</v>
      </c>
      <c r="L31" s="236">
        <v>3779.5</v>
      </c>
      <c r="M31" s="236" t="s">
        <v>9</v>
      </c>
      <c r="N31" s="236">
        <v>7.4</v>
      </c>
      <c r="O31" s="236">
        <v>33.700000000000003</v>
      </c>
      <c r="P31" s="236" t="s">
        <v>9</v>
      </c>
      <c r="Q31" s="249"/>
      <c r="R31" s="249"/>
      <c r="S31" s="249"/>
      <c r="T31" s="249"/>
    </row>
    <row r="32" spans="1:20">
      <c r="A32" s="248">
        <v>1988</v>
      </c>
      <c r="B32" s="236">
        <v>2546</v>
      </c>
      <c r="C32" s="236" t="s">
        <v>9</v>
      </c>
      <c r="D32" s="236">
        <v>4.7</v>
      </c>
      <c r="E32" s="236">
        <v>21.4</v>
      </c>
      <c r="F32" s="236" t="s">
        <v>9</v>
      </c>
      <c r="G32" s="236">
        <v>3922.9</v>
      </c>
      <c r="H32" s="236" t="s">
        <v>9</v>
      </c>
      <c r="I32" s="236">
        <v>7.2</v>
      </c>
      <c r="J32" s="236">
        <v>34.700000000000003</v>
      </c>
      <c r="K32" s="236" t="s">
        <v>9</v>
      </c>
      <c r="L32" s="236">
        <v>3916.2</v>
      </c>
      <c r="M32" s="236" t="s">
        <v>9</v>
      </c>
      <c r="N32" s="236">
        <v>7.2</v>
      </c>
      <c r="O32" s="236">
        <v>34.700000000000003</v>
      </c>
      <c r="P32" s="236" t="s">
        <v>9</v>
      </c>
      <c r="Q32" s="249"/>
      <c r="R32" s="249"/>
      <c r="S32" s="249"/>
      <c r="T32" s="249"/>
    </row>
    <row r="33" spans="1:20">
      <c r="A33" s="248">
        <v>1989</v>
      </c>
      <c r="B33" s="236">
        <v>2769.9</v>
      </c>
      <c r="C33" s="236" t="s">
        <v>9</v>
      </c>
      <c r="D33" s="236">
        <v>4.8</v>
      </c>
      <c r="E33" s="236">
        <v>23.3</v>
      </c>
      <c r="F33" s="236" t="s">
        <v>9</v>
      </c>
      <c r="G33" s="236">
        <v>4084.4</v>
      </c>
      <c r="H33" s="236" t="s">
        <v>9</v>
      </c>
      <c r="I33" s="236">
        <v>7</v>
      </c>
      <c r="J33" s="236">
        <v>36.200000000000003</v>
      </c>
      <c r="K33" s="236" t="s">
        <v>9</v>
      </c>
      <c r="L33" s="236">
        <v>4078.9</v>
      </c>
      <c r="M33" s="236" t="s">
        <v>9</v>
      </c>
      <c r="N33" s="236">
        <v>7</v>
      </c>
      <c r="O33" s="236">
        <v>36.200000000000003</v>
      </c>
      <c r="P33" s="236" t="s">
        <v>9</v>
      </c>
      <c r="Q33" s="249"/>
      <c r="R33" s="249"/>
      <c r="S33" s="249"/>
      <c r="T33" s="249"/>
    </row>
    <row r="34" spans="1:20">
      <c r="A34" s="248">
        <v>1990</v>
      </c>
      <c r="B34" s="236">
        <v>2976.5</v>
      </c>
      <c r="C34" s="236" t="s">
        <v>9</v>
      </c>
      <c r="D34" s="236">
        <v>4.7</v>
      </c>
      <c r="E34" s="236">
        <v>24.4</v>
      </c>
      <c r="F34" s="236" t="s">
        <v>9</v>
      </c>
      <c r="G34" s="236">
        <v>4276.3</v>
      </c>
      <c r="H34" s="236" t="s">
        <v>9</v>
      </c>
      <c r="I34" s="236">
        <v>6.7</v>
      </c>
      <c r="J34" s="236">
        <v>37.1</v>
      </c>
      <c r="K34" s="236" t="s">
        <v>9</v>
      </c>
      <c r="L34" s="236">
        <v>4269.8</v>
      </c>
      <c r="M34" s="236" t="s">
        <v>9</v>
      </c>
      <c r="N34" s="236">
        <v>6.7</v>
      </c>
      <c r="O34" s="236">
        <v>37.1</v>
      </c>
      <c r="P34" s="236" t="s">
        <v>9</v>
      </c>
      <c r="Q34" s="249"/>
      <c r="R34" s="249"/>
      <c r="S34" s="249"/>
      <c r="T34" s="249"/>
    </row>
    <row r="35" spans="1:20">
      <c r="A35" s="248">
        <v>1991</v>
      </c>
      <c r="B35" s="236">
        <v>2983.2</v>
      </c>
      <c r="C35" s="236" t="s">
        <v>9</v>
      </c>
      <c r="D35" s="236">
        <v>4.4000000000000004</v>
      </c>
      <c r="E35" s="236">
        <v>24</v>
      </c>
      <c r="F35" s="236" t="s">
        <v>9</v>
      </c>
      <c r="G35" s="236">
        <v>4430.6000000000004</v>
      </c>
      <c r="H35" s="236" t="s">
        <v>9</v>
      </c>
      <c r="I35" s="236">
        <v>6.5</v>
      </c>
      <c r="J35" s="236">
        <v>37.5</v>
      </c>
      <c r="K35" s="236" t="s">
        <v>9</v>
      </c>
      <c r="L35" s="236">
        <v>4423.3999999999996</v>
      </c>
      <c r="M35" s="236" t="s">
        <v>9</v>
      </c>
      <c r="N35" s="236">
        <v>6.5</v>
      </c>
      <c r="O35" s="236">
        <v>37.4</v>
      </c>
      <c r="P35" s="236" t="s">
        <v>9</v>
      </c>
      <c r="Q35" s="249"/>
      <c r="R35" s="249"/>
      <c r="S35" s="249"/>
      <c r="T35" s="249"/>
    </row>
    <row r="36" spans="1:20">
      <c r="A36" s="248">
        <v>1992</v>
      </c>
      <c r="B36" s="236">
        <v>3027.7</v>
      </c>
      <c r="C36" s="236" t="s">
        <v>9</v>
      </c>
      <c r="D36" s="236">
        <v>4.3</v>
      </c>
      <c r="E36" s="236">
        <v>24.1</v>
      </c>
      <c r="F36" s="236" t="s">
        <v>9</v>
      </c>
      <c r="G36" s="236">
        <v>4505</v>
      </c>
      <c r="H36" s="236" t="s">
        <v>9</v>
      </c>
      <c r="I36" s="236">
        <v>6.3</v>
      </c>
      <c r="J36" s="236">
        <v>37.4</v>
      </c>
      <c r="K36" s="236" t="s">
        <v>9</v>
      </c>
      <c r="L36" s="236">
        <v>4499.3</v>
      </c>
      <c r="M36" s="236" t="s">
        <v>9</v>
      </c>
      <c r="N36" s="236">
        <v>6.3</v>
      </c>
      <c r="O36" s="236">
        <v>37.4</v>
      </c>
      <c r="P36" s="236" t="s">
        <v>9</v>
      </c>
      <c r="Q36" s="249"/>
      <c r="R36" s="249"/>
      <c r="S36" s="249"/>
      <c r="T36" s="249"/>
    </row>
    <row r="37" spans="1:20">
      <c r="A37" s="248">
        <v>1993</v>
      </c>
      <c r="B37" s="236">
        <v>3051.5</v>
      </c>
      <c r="C37" s="236" t="s">
        <v>9</v>
      </c>
      <c r="D37" s="236">
        <v>4.0999999999999996</v>
      </c>
      <c r="E37" s="236">
        <v>23.4</v>
      </c>
      <c r="F37" s="236" t="s">
        <v>9</v>
      </c>
      <c r="G37" s="236">
        <v>4589</v>
      </c>
      <c r="H37" s="236" t="s">
        <v>9</v>
      </c>
      <c r="I37" s="236">
        <v>6</v>
      </c>
      <c r="J37" s="236">
        <v>36.9</v>
      </c>
      <c r="K37" s="236" t="s">
        <v>9</v>
      </c>
      <c r="L37" s="236">
        <v>4585.8</v>
      </c>
      <c r="M37" s="236" t="s">
        <v>9</v>
      </c>
      <c r="N37" s="236">
        <v>6</v>
      </c>
      <c r="O37" s="236">
        <v>36.9</v>
      </c>
      <c r="P37" s="236" t="s">
        <v>9</v>
      </c>
      <c r="Q37" s="249"/>
      <c r="R37" s="249"/>
      <c r="S37" s="249"/>
      <c r="T37" s="249"/>
    </row>
    <row r="38" spans="1:20">
      <c r="A38" s="248">
        <v>1994</v>
      </c>
      <c r="B38" s="236">
        <v>3180.3</v>
      </c>
      <c r="C38" s="236" t="s">
        <v>9</v>
      </c>
      <c r="D38" s="236">
        <v>4</v>
      </c>
      <c r="E38" s="236">
        <v>24.5</v>
      </c>
      <c r="F38" s="236" t="s">
        <v>9</v>
      </c>
      <c r="G38" s="236">
        <v>4703.3</v>
      </c>
      <c r="H38" s="236" t="s">
        <v>9</v>
      </c>
      <c r="I38" s="236">
        <v>5.8</v>
      </c>
      <c r="J38" s="236">
        <v>38</v>
      </c>
      <c r="K38" s="236" t="s">
        <v>9</v>
      </c>
      <c r="L38" s="236">
        <v>4701.8</v>
      </c>
      <c r="M38" s="236" t="s">
        <v>9</v>
      </c>
      <c r="N38" s="236">
        <v>5.8</v>
      </c>
      <c r="O38" s="236">
        <v>37.9</v>
      </c>
      <c r="P38" s="236" t="s">
        <v>9</v>
      </c>
      <c r="Q38" s="249"/>
      <c r="R38" s="249"/>
      <c r="S38" s="249"/>
      <c r="T38" s="249"/>
    </row>
    <row r="39" spans="1:20">
      <c r="A39" s="248">
        <v>1995</v>
      </c>
      <c r="B39" s="236">
        <v>3346.4</v>
      </c>
      <c r="C39" s="236" t="s">
        <v>9</v>
      </c>
      <c r="D39" s="236">
        <v>4</v>
      </c>
      <c r="E39" s="236">
        <v>27.3</v>
      </c>
      <c r="F39" s="236" t="s">
        <v>9</v>
      </c>
      <c r="G39" s="236">
        <v>4799.3999999999996</v>
      </c>
      <c r="H39" s="236" t="s">
        <v>9</v>
      </c>
      <c r="I39" s="236">
        <v>5.7</v>
      </c>
      <c r="J39" s="236">
        <v>40.6</v>
      </c>
      <c r="K39" s="236" t="s">
        <v>9</v>
      </c>
      <c r="L39" s="236">
        <v>4798.3</v>
      </c>
      <c r="M39" s="236" t="s">
        <v>9</v>
      </c>
      <c r="N39" s="236">
        <v>5.7</v>
      </c>
      <c r="O39" s="236">
        <v>40.6</v>
      </c>
      <c r="P39" s="236" t="s">
        <v>9</v>
      </c>
      <c r="Q39" s="249"/>
      <c r="R39" s="249"/>
      <c r="S39" s="249"/>
      <c r="T39" s="249"/>
    </row>
    <row r="40" spans="1:20">
      <c r="A40" s="248">
        <v>1996</v>
      </c>
      <c r="B40" s="236">
        <v>3460.1</v>
      </c>
      <c r="C40" s="236" t="s">
        <v>9</v>
      </c>
      <c r="D40" s="236">
        <v>3.8</v>
      </c>
      <c r="E40" s="236">
        <v>29.8</v>
      </c>
      <c r="F40" s="236" t="s">
        <v>9</v>
      </c>
      <c r="G40" s="236">
        <v>4894.6000000000004</v>
      </c>
      <c r="H40" s="236" t="s">
        <v>9</v>
      </c>
      <c r="I40" s="236">
        <v>5.4</v>
      </c>
      <c r="J40" s="236">
        <v>43.7</v>
      </c>
      <c r="K40" s="236" t="s">
        <v>9</v>
      </c>
      <c r="L40" s="236">
        <v>4893.3999999999996</v>
      </c>
      <c r="M40" s="236" t="s">
        <v>9</v>
      </c>
      <c r="N40" s="236">
        <v>5.4</v>
      </c>
      <c r="O40" s="236">
        <v>43.7</v>
      </c>
      <c r="P40" s="236" t="s">
        <v>9</v>
      </c>
      <c r="Q40" s="249"/>
      <c r="R40" s="249"/>
      <c r="S40" s="249"/>
      <c r="T40" s="249"/>
    </row>
    <row r="41" spans="1:20">
      <c r="A41" s="248">
        <v>1997</v>
      </c>
      <c r="B41" s="236">
        <v>3635.4</v>
      </c>
      <c r="C41" s="236" t="s">
        <v>9</v>
      </c>
      <c r="D41" s="236">
        <v>3.8</v>
      </c>
      <c r="E41" s="236">
        <v>34.5</v>
      </c>
      <c r="F41" s="236" t="s">
        <v>9</v>
      </c>
      <c r="G41" s="236">
        <v>5005.7</v>
      </c>
      <c r="H41" s="236" t="s">
        <v>9</v>
      </c>
      <c r="I41" s="236">
        <v>5.2</v>
      </c>
      <c r="J41" s="236">
        <v>49.2</v>
      </c>
      <c r="K41" s="236" t="s">
        <v>9</v>
      </c>
      <c r="L41" s="236">
        <v>5004.5</v>
      </c>
      <c r="M41" s="236" t="s">
        <v>9</v>
      </c>
      <c r="N41" s="236">
        <v>5.2</v>
      </c>
      <c r="O41" s="236">
        <v>49.1</v>
      </c>
      <c r="P41" s="236" t="s">
        <v>9</v>
      </c>
      <c r="Q41" s="249"/>
      <c r="R41" s="249"/>
      <c r="S41" s="249"/>
      <c r="T41" s="249"/>
    </row>
    <row r="42" spans="1:20">
      <c r="A42" s="248">
        <v>1998</v>
      </c>
      <c r="B42" s="236">
        <v>3801.2</v>
      </c>
      <c r="C42" s="236" t="s">
        <v>9</v>
      </c>
      <c r="D42" s="236">
        <v>3.7</v>
      </c>
      <c r="E42" s="236">
        <v>38.799999999999997</v>
      </c>
      <c r="F42" s="236" t="s">
        <v>9</v>
      </c>
      <c r="G42" s="236">
        <v>5120.1000000000004</v>
      </c>
      <c r="H42" s="236" t="s">
        <v>9</v>
      </c>
      <c r="I42" s="236">
        <v>4.9000000000000004</v>
      </c>
      <c r="J42" s="236">
        <v>53.9</v>
      </c>
      <c r="K42" s="236" t="s">
        <v>9</v>
      </c>
      <c r="L42" s="236">
        <v>5119.3</v>
      </c>
      <c r="M42" s="236" t="s">
        <v>9</v>
      </c>
      <c r="N42" s="236">
        <v>4.9000000000000004</v>
      </c>
      <c r="O42" s="236">
        <v>53.9</v>
      </c>
      <c r="P42" s="236" t="s">
        <v>9</v>
      </c>
      <c r="Q42" s="249"/>
      <c r="R42" s="249"/>
      <c r="S42" s="249"/>
      <c r="T42" s="249"/>
    </row>
    <row r="43" spans="1:20">
      <c r="A43" s="248">
        <v>1999</v>
      </c>
      <c r="B43" s="236">
        <v>3964.3</v>
      </c>
      <c r="C43" s="236" t="s">
        <v>9</v>
      </c>
      <c r="D43" s="236">
        <v>3.6</v>
      </c>
      <c r="E43" s="236">
        <v>43.1</v>
      </c>
      <c r="F43" s="236" t="s">
        <v>9</v>
      </c>
      <c r="G43" s="236">
        <v>5230.2</v>
      </c>
      <c r="H43" s="236" t="s">
        <v>9</v>
      </c>
      <c r="I43" s="236">
        <v>4.7</v>
      </c>
      <c r="J43" s="236">
        <v>58.7</v>
      </c>
      <c r="K43" s="236" t="s">
        <v>9</v>
      </c>
      <c r="L43" s="236">
        <v>5230.1000000000004</v>
      </c>
      <c r="M43" s="236" t="s">
        <v>9</v>
      </c>
      <c r="N43" s="236">
        <v>4.7</v>
      </c>
      <c r="O43" s="236">
        <v>58.7</v>
      </c>
      <c r="P43" s="236" t="s">
        <v>9</v>
      </c>
      <c r="Q43" s="249"/>
      <c r="R43" s="249"/>
      <c r="S43" s="249"/>
      <c r="T43" s="249"/>
    </row>
    <row r="44" spans="1:20">
      <c r="A44" s="248">
        <v>2000</v>
      </c>
      <c r="B44" s="236">
        <v>4216.8</v>
      </c>
      <c r="C44" s="236" t="s">
        <v>9</v>
      </c>
      <c r="D44" s="236" t="s">
        <v>9</v>
      </c>
      <c r="E44" s="236">
        <v>48.5</v>
      </c>
      <c r="F44" s="236" t="s">
        <v>9</v>
      </c>
      <c r="G44" s="236">
        <v>5328.7</v>
      </c>
      <c r="H44" s="236" t="s">
        <v>9</v>
      </c>
      <c r="I44" s="236" t="s">
        <v>9</v>
      </c>
      <c r="J44" s="236">
        <v>62.9</v>
      </c>
      <c r="K44" s="236" t="s">
        <v>9</v>
      </c>
      <c r="L44" s="236">
        <v>5328.2</v>
      </c>
      <c r="M44" s="236" t="s">
        <v>9</v>
      </c>
      <c r="N44" s="236" t="s">
        <v>9</v>
      </c>
      <c r="O44" s="236">
        <v>62.8</v>
      </c>
      <c r="P44" s="236" t="s">
        <v>9</v>
      </c>
      <c r="Q44" s="249"/>
      <c r="R44" s="249"/>
      <c r="S44" s="249"/>
      <c r="T44" s="249"/>
    </row>
    <row r="45" spans="1:20">
      <c r="A45" s="248">
        <v>2001</v>
      </c>
      <c r="B45" s="236">
        <v>4367.2</v>
      </c>
      <c r="C45" s="236" t="s">
        <v>9</v>
      </c>
      <c r="D45" s="236" t="s">
        <v>9</v>
      </c>
      <c r="E45" s="236">
        <v>49.1</v>
      </c>
      <c r="F45" s="236" t="s">
        <v>9</v>
      </c>
      <c r="G45" s="236">
        <v>5430</v>
      </c>
      <c r="H45" s="236" t="s">
        <v>9</v>
      </c>
      <c r="I45" s="236" t="s">
        <v>9</v>
      </c>
      <c r="J45" s="236">
        <v>62.3</v>
      </c>
      <c r="K45" s="236" t="s">
        <v>9</v>
      </c>
      <c r="L45" s="236">
        <v>5428.7</v>
      </c>
      <c r="M45" s="236" t="s">
        <v>9</v>
      </c>
      <c r="N45" s="236" t="s">
        <v>9</v>
      </c>
      <c r="O45" s="236">
        <v>62.2</v>
      </c>
      <c r="P45" s="236" t="s">
        <v>9</v>
      </c>
      <c r="Q45" s="249"/>
      <c r="R45" s="249"/>
      <c r="S45" s="249"/>
      <c r="T45" s="249"/>
    </row>
    <row r="46" spans="1:20">
      <c r="A46" s="248">
        <v>2002</v>
      </c>
      <c r="B46" s="236">
        <v>4689.8</v>
      </c>
      <c r="C46" s="236" t="s">
        <v>9</v>
      </c>
      <c r="D46" s="236" t="s">
        <v>9</v>
      </c>
      <c r="E46" s="236">
        <v>48.6</v>
      </c>
      <c r="F46" s="236" t="s">
        <v>9</v>
      </c>
      <c r="G46" s="236">
        <v>5696.2</v>
      </c>
      <c r="H46" s="236" t="s">
        <v>9</v>
      </c>
      <c r="I46" s="236" t="s">
        <v>9</v>
      </c>
      <c r="J46" s="236">
        <v>60.1</v>
      </c>
      <c r="K46" s="236" t="s">
        <v>9</v>
      </c>
      <c r="L46" s="236">
        <v>5695.1</v>
      </c>
      <c r="M46" s="236" t="s">
        <v>9</v>
      </c>
      <c r="N46" s="236" t="s">
        <v>9</v>
      </c>
      <c r="O46" s="236">
        <v>60.1</v>
      </c>
      <c r="P46" s="236" t="s">
        <v>9</v>
      </c>
      <c r="Q46" s="249"/>
      <c r="R46" s="249"/>
      <c r="S46" s="249"/>
      <c r="T46" s="249"/>
    </row>
    <row r="47" spans="1:20">
      <c r="A47" s="248">
        <v>2003</v>
      </c>
      <c r="B47" s="236">
        <v>5024.8</v>
      </c>
      <c r="C47" s="236" t="s">
        <v>9</v>
      </c>
      <c r="D47" s="236" t="s">
        <v>9</v>
      </c>
      <c r="E47" s="236">
        <v>48.3</v>
      </c>
      <c r="F47" s="236" t="s">
        <v>9</v>
      </c>
      <c r="G47" s="236">
        <v>5953.5</v>
      </c>
      <c r="H47" s="236" t="s">
        <v>9</v>
      </c>
      <c r="I47" s="236" t="s">
        <v>9</v>
      </c>
      <c r="J47" s="236">
        <v>58.2</v>
      </c>
      <c r="K47" s="236" t="s">
        <v>9</v>
      </c>
      <c r="L47" s="236">
        <v>5952.7</v>
      </c>
      <c r="M47" s="236" t="s">
        <v>9</v>
      </c>
      <c r="N47" s="236" t="s">
        <v>9</v>
      </c>
      <c r="O47" s="236">
        <v>58.2</v>
      </c>
      <c r="P47" s="236" t="s">
        <v>9</v>
      </c>
      <c r="Q47" s="249"/>
      <c r="R47" s="249"/>
      <c r="S47" s="249"/>
      <c r="T47" s="249"/>
    </row>
    <row r="48" spans="1:20">
      <c r="A48" s="248">
        <v>2004</v>
      </c>
      <c r="B48" s="236">
        <v>5363.2</v>
      </c>
      <c r="C48" s="236" t="s">
        <v>9</v>
      </c>
      <c r="D48" s="236" t="s">
        <v>9</v>
      </c>
      <c r="E48" s="236">
        <v>50.3</v>
      </c>
      <c r="F48" s="236" t="s">
        <v>9</v>
      </c>
      <c r="G48" s="236">
        <v>6044.2</v>
      </c>
      <c r="H48" s="236" t="s">
        <v>9</v>
      </c>
      <c r="I48" s="236" t="s">
        <v>9</v>
      </c>
      <c r="J48" s="236">
        <v>57.1</v>
      </c>
      <c r="K48" s="236" t="s">
        <v>9</v>
      </c>
      <c r="L48" s="236">
        <v>6043.7</v>
      </c>
      <c r="M48" s="236" t="s">
        <v>9</v>
      </c>
      <c r="N48" s="236" t="s">
        <v>9</v>
      </c>
      <c r="O48" s="236">
        <v>57.1</v>
      </c>
      <c r="P48" s="236" t="s">
        <v>9</v>
      </c>
      <c r="Q48" s="249"/>
      <c r="R48" s="249"/>
      <c r="S48" s="249"/>
      <c r="T48" s="249"/>
    </row>
    <row r="49" spans="1:20">
      <c r="A49" s="248">
        <v>2005</v>
      </c>
      <c r="B49" s="236">
        <v>5671.1</v>
      </c>
      <c r="C49" s="236" t="s">
        <v>9</v>
      </c>
      <c r="D49" s="236" t="s">
        <v>9</v>
      </c>
      <c r="E49" s="236">
        <v>53</v>
      </c>
      <c r="F49" s="236" t="s">
        <v>9</v>
      </c>
      <c r="G49" s="236">
        <v>6104.4</v>
      </c>
      <c r="H49" s="236" t="s">
        <v>9</v>
      </c>
      <c r="I49" s="236" t="s">
        <v>9</v>
      </c>
      <c r="J49" s="236">
        <v>57</v>
      </c>
      <c r="K49" s="236" t="s">
        <v>9</v>
      </c>
      <c r="L49" s="236">
        <v>6104.3</v>
      </c>
      <c r="M49" s="236" t="s">
        <v>9</v>
      </c>
      <c r="N49" s="236" t="s">
        <v>9</v>
      </c>
      <c r="O49" s="236">
        <v>57</v>
      </c>
      <c r="P49" s="236" t="s">
        <v>9</v>
      </c>
      <c r="Q49" s="249"/>
      <c r="R49" s="249"/>
      <c r="S49" s="249"/>
      <c r="T49" s="249"/>
    </row>
    <row r="50" spans="1:20">
      <c r="A50" s="248">
        <v>2006</v>
      </c>
      <c r="B50" s="236">
        <v>5932.4</v>
      </c>
      <c r="C50" s="236" t="s">
        <v>9</v>
      </c>
      <c r="D50" s="236" t="s">
        <v>9</v>
      </c>
      <c r="E50" s="236">
        <v>54.1</v>
      </c>
      <c r="F50" s="236" t="s">
        <v>9</v>
      </c>
      <c r="G50" s="236">
        <v>6154.6</v>
      </c>
      <c r="H50" s="236" t="s">
        <v>9</v>
      </c>
      <c r="I50" s="236" t="s">
        <v>9</v>
      </c>
      <c r="J50" s="236">
        <v>56.1</v>
      </c>
      <c r="K50" s="236" t="s">
        <v>9</v>
      </c>
      <c r="L50" s="236">
        <v>6154.5</v>
      </c>
      <c r="M50" s="236" t="s">
        <v>9</v>
      </c>
      <c r="N50" s="236" t="s">
        <v>9</v>
      </c>
      <c r="O50" s="236">
        <v>56.1</v>
      </c>
      <c r="P50" s="236" t="s">
        <v>9</v>
      </c>
      <c r="Q50" s="249"/>
      <c r="R50" s="249"/>
      <c r="S50" s="249"/>
      <c r="T50" s="249"/>
    </row>
    <row r="51" spans="1:20">
      <c r="A51" s="248">
        <v>2007</v>
      </c>
      <c r="B51" s="236">
        <v>6208.4</v>
      </c>
      <c r="C51" s="236" t="s">
        <v>9</v>
      </c>
      <c r="D51" s="236" t="s">
        <v>9</v>
      </c>
      <c r="E51" s="236">
        <v>55.2</v>
      </c>
      <c r="F51" s="236" t="s">
        <v>9</v>
      </c>
      <c r="G51" s="236">
        <v>6208.4</v>
      </c>
      <c r="H51" s="236" t="s">
        <v>9</v>
      </c>
      <c r="I51" s="236" t="s">
        <v>9</v>
      </c>
      <c r="J51" s="236">
        <v>55.2</v>
      </c>
      <c r="K51" s="236" t="s">
        <v>9</v>
      </c>
      <c r="L51" s="236">
        <v>6208.4</v>
      </c>
      <c r="M51" s="236" t="s">
        <v>9</v>
      </c>
      <c r="N51" s="236" t="s">
        <v>9</v>
      </c>
      <c r="O51" s="236">
        <v>55.2</v>
      </c>
      <c r="P51" s="236" t="s">
        <v>9</v>
      </c>
      <c r="Q51" s="249"/>
      <c r="R51" s="249"/>
      <c r="S51" s="249"/>
      <c r="T51" s="249"/>
    </row>
    <row r="52" spans="1:20">
      <c r="A52" s="248">
        <v>2008</v>
      </c>
      <c r="B52" s="236">
        <v>6683.5</v>
      </c>
      <c r="C52" s="236" t="s">
        <v>9</v>
      </c>
      <c r="D52" s="236" t="s">
        <v>9</v>
      </c>
      <c r="E52" s="236">
        <v>58.3</v>
      </c>
      <c r="F52" s="236" t="s">
        <v>9</v>
      </c>
      <c r="G52" s="236">
        <v>6237.6</v>
      </c>
      <c r="H52" s="236" t="s">
        <v>9</v>
      </c>
      <c r="I52" s="236" t="s">
        <v>9</v>
      </c>
      <c r="J52" s="236">
        <v>54.3</v>
      </c>
      <c r="K52" s="236" t="s">
        <v>9</v>
      </c>
      <c r="L52" s="236">
        <v>6237.5</v>
      </c>
      <c r="M52" s="236" t="s">
        <v>9</v>
      </c>
      <c r="N52" s="236" t="s">
        <v>9</v>
      </c>
      <c r="O52" s="236">
        <v>54.3</v>
      </c>
      <c r="P52" s="236" t="s">
        <v>9</v>
      </c>
      <c r="Q52" s="249"/>
      <c r="R52" s="249"/>
      <c r="S52" s="249"/>
      <c r="T52" s="249"/>
    </row>
    <row r="53" spans="1:20">
      <c r="A53" s="248">
        <v>2009</v>
      </c>
      <c r="B53" s="236">
        <v>6807.9</v>
      </c>
      <c r="C53" s="236" t="s">
        <v>9</v>
      </c>
      <c r="D53" s="236" t="s">
        <v>9</v>
      </c>
      <c r="E53" s="236">
        <v>59.7</v>
      </c>
      <c r="F53" s="236" t="s">
        <v>9</v>
      </c>
      <c r="G53" s="236">
        <v>6175.5</v>
      </c>
      <c r="H53" s="236" t="s">
        <v>9</v>
      </c>
      <c r="I53" s="236" t="s">
        <v>9</v>
      </c>
      <c r="J53" s="236">
        <v>53.4</v>
      </c>
      <c r="K53" s="236" t="s">
        <v>9</v>
      </c>
      <c r="L53" s="236">
        <v>6174.9</v>
      </c>
      <c r="M53" s="236" t="s">
        <v>9</v>
      </c>
      <c r="N53" s="236" t="s">
        <v>9</v>
      </c>
      <c r="O53" s="236">
        <v>53.4</v>
      </c>
      <c r="P53" s="236" t="s">
        <v>9</v>
      </c>
      <c r="Q53" s="249"/>
      <c r="R53" s="249"/>
      <c r="S53" s="249"/>
      <c r="T53" s="249"/>
    </row>
    <row r="54" spans="1:20">
      <c r="A54" s="248">
        <v>2010</v>
      </c>
      <c r="B54" s="236">
        <v>6881.7</v>
      </c>
      <c r="C54" s="236" t="s">
        <v>9</v>
      </c>
      <c r="D54" s="236" t="s">
        <v>9</v>
      </c>
      <c r="E54" s="236">
        <v>59.4</v>
      </c>
      <c r="F54" s="236" t="s">
        <v>9</v>
      </c>
      <c r="G54" s="236">
        <v>6177.4</v>
      </c>
      <c r="H54" s="236" t="s">
        <v>9</v>
      </c>
      <c r="I54" s="236" t="s">
        <v>9</v>
      </c>
      <c r="J54" s="236">
        <v>52.7</v>
      </c>
      <c r="K54" s="236" t="s">
        <v>9</v>
      </c>
      <c r="L54" s="236">
        <v>6175.9</v>
      </c>
      <c r="M54" s="236" t="s">
        <v>9</v>
      </c>
      <c r="N54" s="236" t="s">
        <v>9</v>
      </c>
      <c r="O54" s="236">
        <v>52.7</v>
      </c>
      <c r="P54" s="236" t="s">
        <v>9</v>
      </c>
      <c r="Q54" s="249"/>
      <c r="R54" s="249"/>
      <c r="S54" s="249"/>
      <c r="T54" s="249"/>
    </row>
    <row r="55" spans="1:20">
      <c r="A55" s="248">
        <v>2011</v>
      </c>
      <c r="B55" s="236">
        <v>7254</v>
      </c>
      <c r="C55" s="236" t="s">
        <v>9</v>
      </c>
      <c r="D55" s="236" t="s">
        <v>9</v>
      </c>
      <c r="E55" s="236">
        <v>58.8</v>
      </c>
      <c r="F55" s="236" t="s">
        <v>9</v>
      </c>
      <c r="G55" s="236">
        <v>6305.7</v>
      </c>
      <c r="H55" s="236" t="s">
        <v>9</v>
      </c>
      <c r="I55" s="236" t="s">
        <v>9</v>
      </c>
      <c r="J55" s="236">
        <v>50.6</v>
      </c>
      <c r="K55" s="236" t="s">
        <v>9</v>
      </c>
      <c r="L55" s="236">
        <v>6304.2</v>
      </c>
      <c r="M55" s="236" t="s">
        <v>9</v>
      </c>
      <c r="N55" s="236" t="s">
        <v>9</v>
      </c>
      <c r="O55" s="236">
        <v>50.6</v>
      </c>
      <c r="P55" s="236" t="s">
        <v>9</v>
      </c>
      <c r="Q55" s="249"/>
      <c r="R55" s="249"/>
      <c r="S55" s="249"/>
      <c r="T55" s="249"/>
    </row>
    <row r="56" spans="1:20">
      <c r="A56" s="248">
        <v>2012</v>
      </c>
      <c r="B56" s="236">
        <v>7570.6</v>
      </c>
      <c r="C56" s="236" t="s">
        <v>9</v>
      </c>
      <c r="D56" s="236" t="s">
        <v>9</v>
      </c>
      <c r="E56" s="236">
        <v>57.2</v>
      </c>
      <c r="F56" s="236" t="s">
        <v>9</v>
      </c>
      <c r="G56" s="236">
        <v>6463.5</v>
      </c>
      <c r="H56" s="236" t="s">
        <v>9</v>
      </c>
      <c r="I56" s="236" t="s">
        <v>9</v>
      </c>
      <c r="J56" s="236">
        <v>48.6</v>
      </c>
      <c r="K56" s="236" t="s">
        <v>9</v>
      </c>
      <c r="L56" s="236">
        <v>6462.1</v>
      </c>
      <c r="M56" s="236" t="s">
        <v>9</v>
      </c>
      <c r="N56" s="236" t="s">
        <v>9</v>
      </c>
      <c r="O56" s="236">
        <v>48.7</v>
      </c>
      <c r="P56" s="236" t="s">
        <v>9</v>
      </c>
      <c r="Q56" s="249"/>
      <c r="R56" s="249"/>
      <c r="S56" s="249"/>
      <c r="T56" s="249"/>
    </row>
    <row r="57" spans="1:20">
      <c r="A57" s="248">
        <v>2013</v>
      </c>
      <c r="B57" s="236">
        <v>7785.7</v>
      </c>
      <c r="C57" s="236" t="s">
        <v>9</v>
      </c>
      <c r="D57" s="236" t="s">
        <v>9</v>
      </c>
      <c r="E57" s="236">
        <v>55.6</v>
      </c>
      <c r="F57" s="236" t="s">
        <v>9</v>
      </c>
      <c r="G57" s="236">
        <v>6604.8</v>
      </c>
      <c r="H57" s="236" t="s">
        <v>9</v>
      </c>
      <c r="I57" s="236" t="s">
        <v>9</v>
      </c>
      <c r="J57" s="236">
        <v>46.8</v>
      </c>
      <c r="K57" s="236" t="s">
        <v>9</v>
      </c>
      <c r="L57" s="236">
        <v>6603.4</v>
      </c>
      <c r="M57" s="236" t="s">
        <v>9</v>
      </c>
      <c r="N57" s="236" t="s">
        <v>9</v>
      </c>
      <c r="O57" s="236">
        <v>46.8</v>
      </c>
      <c r="P57" s="236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5.1104636694286221</v>
      </c>
      <c r="C60" s="7" t="s">
        <v>10</v>
      </c>
      <c r="D60" s="7" t="s">
        <v>10</v>
      </c>
      <c r="E60" s="11">
        <f t="shared" ref="E60:O60" si="1">((E57/E28)^(1/29)-1)*100</f>
        <v>4.4113006432062285</v>
      </c>
      <c r="F60" s="7" t="s">
        <v>10</v>
      </c>
      <c r="G60" s="11">
        <f t="shared" si="1"/>
        <v>2.2509810151089438</v>
      </c>
      <c r="H60" s="7" t="s">
        <v>10</v>
      </c>
      <c r="I60" s="7" t="s">
        <v>10</v>
      </c>
      <c r="J60" s="11">
        <f t="shared" si="1"/>
        <v>1.2977162963379696</v>
      </c>
      <c r="K60" s="7" t="s">
        <v>10</v>
      </c>
      <c r="L60" s="11">
        <f t="shared" si="1"/>
        <v>2.2591020161592423</v>
      </c>
      <c r="M60" s="7" t="s">
        <v>10</v>
      </c>
      <c r="N60" s="7" t="s">
        <v>10</v>
      </c>
      <c r="O60" s="11">
        <f t="shared" si="1"/>
        <v>1.3085816613355616</v>
      </c>
      <c r="P60" s="7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8.5874928347949862</v>
      </c>
      <c r="C61" s="7" t="s">
        <v>10</v>
      </c>
      <c r="D61" s="11">
        <f t="shared" ref="D61:O61" si="3">((D33/D28)^(1/5)-1)*100</f>
        <v>2.2243967495911177</v>
      </c>
      <c r="E61" s="11">
        <f t="shared" si="3"/>
        <v>7.942322793050427</v>
      </c>
      <c r="F61" s="7" t="s">
        <v>10</v>
      </c>
      <c r="G61" s="11">
        <f t="shared" si="3"/>
        <v>3.353484451587474</v>
      </c>
      <c r="H61" s="7" t="s">
        <v>10</v>
      </c>
      <c r="I61" s="11">
        <f t="shared" si="3"/>
        <v>-1.8881504273735694</v>
      </c>
      <c r="J61" s="11">
        <f t="shared" si="3"/>
        <v>2.36949002593978</v>
      </c>
      <c r="K61" s="7" t="s">
        <v>10</v>
      </c>
      <c r="L61" s="11">
        <f t="shared" si="3"/>
        <v>3.3776233739198913</v>
      </c>
      <c r="M61" s="7" t="s">
        <v>10</v>
      </c>
      <c r="N61" s="11">
        <f t="shared" si="3"/>
        <v>-1.8881504273735694</v>
      </c>
      <c r="O61" s="11">
        <f t="shared" si="3"/>
        <v>2.4331923092517416</v>
      </c>
      <c r="P61" s="7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3.8945170092583803</v>
      </c>
      <c r="C62" s="7" t="s">
        <v>10</v>
      </c>
      <c r="D62" s="7" t="s">
        <v>10</v>
      </c>
      <c r="E62" s="11">
        <f t="shared" ref="E62:O62" si="5">((E44/E33)^(1/11)-1)*100</f>
        <v>6.891744576580594</v>
      </c>
      <c r="F62" s="7" t="s">
        <v>10</v>
      </c>
      <c r="G62" s="11">
        <f t="shared" si="5"/>
        <v>2.4470279837479847</v>
      </c>
      <c r="H62" s="7" t="s">
        <v>10</v>
      </c>
      <c r="I62" s="7" t="s">
        <v>10</v>
      </c>
      <c r="J62" s="11">
        <f t="shared" si="5"/>
        <v>5.150881037454047</v>
      </c>
      <c r="K62" s="7" t="s">
        <v>10</v>
      </c>
      <c r="L62" s="11">
        <f t="shared" si="5"/>
        <v>2.4587044303316263</v>
      </c>
      <c r="M62" s="7" t="s">
        <v>10</v>
      </c>
      <c r="N62" s="7" t="s">
        <v>10</v>
      </c>
      <c r="O62" s="11">
        <f t="shared" si="5"/>
        <v>5.1356726337752123</v>
      </c>
      <c r="P62" s="7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5.6816357526726868</v>
      </c>
      <c r="C63" s="7" t="s">
        <v>10</v>
      </c>
      <c r="D63" s="7" t="s">
        <v>10</v>
      </c>
      <c r="E63" s="11">
        <f t="shared" ref="E63:O63" si="6">((E51/E44)^(1/7)-1)*100</f>
        <v>1.8657509896632618</v>
      </c>
      <c r="F63" s="7" t="s">
        <v>10</v>
      </c>
      <c r="G63" s="11">
        <f t="shared" si="6"/>
        <v>2.2067960198336678</v>
      </c>
      <c r="H63" s="7" t="s">
        <v>10</v>
      </c>
      <c r="I63" s="7" t="s">
        <v>10</v>
      </c>
      <c r="J63" s="11">
        <f t="shared" si="6"/>
        <v>-1.8481821549240052</v>
      </c>
      <c r="K63" s="7" t="s">
        <v>10</v>
      </c>
      <c r="L63" s="11">
        <f t="shared" si="6"/>
        <v>2.208166124529698</v>
      </c>
      <c r="M63" s="7" t="s">
        <v>10</v>
      </c>
      <c r="N63" s="7" t="s">
        <v>10</v>
      </c>
      <c r="O63" s="11">
        <f t="shared" si="6"/>
        <v>-1.825869848006223</v>
      </c>
      <c r="P63" s="7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3.8451765902148161</v>
      </c>
      <c r="C64" s="7" t="s">
        <v>10</v>
      </c>
      <c r="D64" s="7" t="s">
        <v>10</v>
      </c>
      <c r="E64" s="11">
        <f t="shared" ref="E64:O64" si="7">((E57/E51)^(1/6)-1)*100</f>
        <v>0.12040990080606218</v>
      </c>
      <c r="F64" s="7" t="s">
        <v>10</v>
      </c>
      <c r="G64" s="11">
        <f t="shared" si="7"/>
        <v>1.036896289250544</v>
      </c>
      <c r="H64" s="7" t="s">
        <v>10</v>
      </c>
      <c r="I64" s="7" t="s">
        <v>10</v>
      </c>
      <c r="J64" s="11">
        <f t="shared" si="7"/>
        <v>-2.7138248544879562</v>
      </c>
      <c r="K64" s="7" t="s">
        <v>10</v>
      </c>
      <c r="L64" s="11">
        <f t="shared" si="7"/>
        <v>1.0333265584139273</v>
      </c>
      <c r="M64" s="7" t="s">
        <v>10</v>
      </c>
      <c r="N64" s="7" t="s">
        <v>10</v>
      </c>
      <c r="O64" s="11">
        <f t="shared" si="7"/>
        <v>-2.7138248544879562</v>
      </c>
      <c r="P64" s="7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4.8300380048967861</v>
      </c>
      <c r="C65" s="7" t="s">
        <v>10</v>
      </c>
      <c r="D65" s="7" t="s">
        <v>10</v>
      </c>
      <c r="E65" s="11">
        <f t="shared" ref="E65:O65" si="9">((E57/E44)^(1/13)-1)*100</f>
        <v>1.0564600307121363</v>
      </c>
      <c r="F65" s="7" t="s">
        <v>10</v>
      </c>
      <c r="G65" s="11">
        <f t="shared" si="9"/>
        <v>1.6651684713267167</v>
      </c>
      <c r="H65" s="7" t="s">
        <v>10</v>
      </c>
      <c r="I65" s="7" t="s">
        <v>10</v>
      </c>
      <c r="J65" s="11">
        <f t="shared" si="9"/>
        <v>-2.2486625316542219</v>
      </c>
      <c r="K65" s="7" t="s">
        <v>10</v>
      </c>
      <c r="L65" s="11">
        <f t="shared" si="9"/>
        <v>1.6642444673685697</v>
      </c>
      <c r="M65" s="7" t="s">
        <v>10</v>
      </c>
      <c r="N65" s="7" t="s">
        <v>10</v>
      </c>
      <c r="O65" s="11">
        <f t="shared" si="9"/>
        <v>-2.2366978611561006</v>
      </c>
      <c r="P65" s="7" t="s">
        <v>10</v>
      </c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  <c r="B68" s="231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37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6.140625" style="225" customWidth="1"/>
    <col min="13" max="16384" width="9.140625" style="225"/>
  </cols>
  <sheetData>
    <row r="1" spans="1:20">
      <c r="A1" s="454" t="s">
        <v>299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329.8</v>
      </c>
      <c r="C5" s="236" t="s">
        <v>9</v>
      </c>
      <c r="D5" s="236" t="s">
        <v>9</v>
      </c>
      <c r="E5" s="236">
        <v>1.8</v>
      </c>
      <c r="F5" s="236">
        <v>4.9000000000000004</v>
      </c>
      <c r="G5" s="236">
        <v>2917.5</v>
      </c>
      <c r="H5" s="236" t="s">
        <v>9</v>
      </c>
      <c r="I5" s="236" t="s">
        <v>9</v>
      </c>
      <c r="J5" s="236">
        <v>17.7</v>
      </c>
      <c r="K5" s="236">
        <v>47.1</v>
      </c>
      <c r="L5" s="236">
        <v>2861</v>
      </c>
      <c r="M5" s="236" t="s">
        <v>9</v>
      </c>
      <c r="N5" s="236" t="s">
        <v>9</v>
      </c>
      <c r="O5" s="236">
        <v>17.7</v>
      </c>
      <c r="P5" s="236">
        <v>47.1</v>
      </c>
      <c r="Q5" s="249"/>
      <c r="R5" s="249"/>
      <c r="S5" s="249"/>
      <c r="T5" s="249"/>
    </row>
    <row r="6" spans="1:20">
      <c r="A6" s="248">
        <v>1962</v>
      </c>
      <c r="B6" s="236">
        <v>343.4</v>
      </c>
      <c r="C6" s="236" t="s">
        <v>9</v>
      </c>
      <c r="D6" s="236" t="s">
        <v>9</v>
      </c>
      <c r="E6" s="236">
        <v>1.9</v>
      </c>
      <c r="F6" s="236">
        <v>4.9000000000000004</v>
      </c>
      <c r="G6" s="236">
        <v>3044.8</v>
      </c>
      <c r="H6" s="236" t="s">
        <v>9</v>
      </c>
      <c r="I6" s="236" t="s">
        <v>9</v>
      </c>
      <c r="J6" s="236">
        <v>18</v>
      </c>
      <c r="K6" s="236">
        <v>46.7</v>
      </c>
      <c r="L6" s="236">
        <v>2989</v>
      </c>
      <c r="M6" s="236" t="s">
        <v>9</v>
      </c>
      <c r="N6" s="236" t="s">
        <v>9</v>
      </c>
      <c r="O6" s="236">
        <v>17.899999999999999</v>
      </c>
      <c r="P6" s="236">
        <v>46.7</v>
      </c>
      <c r="Q6" s="249"/>
      <c r="R6" s="249"/>
      <c r="S6" s="249"/>
      <c r="T6" s="249"/>
    </row>
    <row r="7" spans="1:20">
      <c r="A7" s="248">
        <v>1963</v>
      </c>
      <c r="B7" s="236">
        <v>367.3</v>
      </c>
      <c r="C7" s="236" t="s">
        <v>9</v>
      </c>
      <c r="D7" s="236" t="s">
        <v>9</v>
      </c>
      <c r="E7" s="236">
        <v>1.9</v>
      </c>
      <c r="F7" s="236">
        <v>5</v>
      </c>
      <c r="G7" s="236">
        <v>3195</v>
      </c>
      <c r="H7" s="236" t="s">
        <v>9</v>
      </c>
      <c r="I7" s="236" t="s">
        <v>9</v>
      </c>
      <c r="J7" s="236">
        <v>18.3</v>
      </c>
      <c r="K7" s="236">
        <v>47.2</v>
      </c>
      <c r="L7" s="236">
        <v>3139.9</v>
      </c>
      <c r="M7" s="236" t="s">
        <v>9</v>
      </c>
      <c r="N7" s="236" t="s">
        <v>9</v>
      </c>
      <c r="O7" s="236">
        <v>18.3</v>
      </c>
      <c r="P7" s="236">
        <v>47.2</v>
      </c>
      <c r="Q7" s="249"/>
      <c r="R7" s="249"/>
      <c r="S7" s="249"/>
      <c r="T7" s="249"/>
    </row>
    <row r="8" spans="1:20">
      <c r="A8" s="248">
        <v>1964</v>
      </c>
      <c r="B8" s="236">
        <v>390.5</v>
      </c>
      <c r="C8" s="236" t="s">
        <v>9</v>
      </c>
      <c r="D8" s="236" t="s">
        <v>9</v>
      </c>
      <c r="E8" s="236">
        <v>2</v>
      </c>
      <c r="F8" s="236">
        <v>5.2</v>
      </c>
      <c r="G8" s="236">
        <v>3352.3</v>
      </c>
      <c r="H8" s="236" t="s">
        <v>9</v>
      </c>
      <c r="I8" s="236" t="s">
        <v>9</v>
      </c>
      <c r="J8" s="236">
        <v>18.7</v>
      </c>
      <c r="K8" s="236">
        <v>48.4</v>
      </c>
      <c r="L8" s="236">
        <v>3297</v>
      </c>
      <c r="M8" s="236" t="s">
        <v>9</v>
      </c>
      <c r="N8" s="236" t="s">
        <v>9</v>
      </c>
      <c r="O8" s="236">
        <v>18.600000000000001</v>
      </c>
      <c r="P8" s="236">
        <v>48.4</v>
      </c>
      <c r="Q8" s="249"/>
      <c r="R8" s="249"/>
      <c r="S8" s="249"/>
      <c r="T8" s="249"/>
    </row>
    <row r="9" spans="1:20">
      <c r="A9" s="248">
        <v>1965</v>
      </c>
      <c r="B9" s="236">
        <v>432</v>
      </c>
      <c r="C9" s="236" t="s">
        <v>9</v>
      </c>
      <c r="D9" s="236" t="s">
        <v>9</v>
      </c>
      <c r="E9" s="236">
        <v>2.2000000000000002</v>
      </c>
      <c r="F9" s="236">
        <v>5.9</v>
      </c>
      <c r="G9" s="236">
        <v>3540.4</v>
      </c>
      <c r="H9" s="236" t="s">
        <v>9</v>
      </c>
      <c r="I9" s="236" t="s">
        <v>9</v>
      </c>
      <c r="J9" s="236">
        <v>19.7</v>
      </c>
      <c r="K9" s="236">
        <v>52.6</v>
      </c>
      <c r="L9" s="236">
        <v>3483.8</v>
      </c>
      <c r="M9" s="236" t="s">
        <v>9</v>
      </c>
      <c r="N9" s="236" t="s">
        <v>9</v>
      </c>
      <c r="O9" s="236">
        <v>19.600000000000001</v>
      </c>
      <c r="P9" s="236">
        <v>52.6</v>
      </c>
      <c r="Q9" s="249"/>
      <c r="R9" s="249"/>
      <c r="S9" s="249"/>
      <c r="T9" s="249"/>
    </row>
    <row r="10" spans="1:20">
      <c r="A10" s="248">
        <v>1966</v>
      </c>
      <c r="B10" s="236">
        <v>493</v>
      </c>
      <c r="C10" s="236" t="s">
        <v>9</v>
      </c>
      <c r="D10" s="236" t="s">
        <v>9</v>
      </c>
      <c r="E10" s="236">
        <v>2.5</v>
      </c>
      <c r="F10" s="236">
        <v>6.9</v>
      </c>
      <c r="G10" s="236">
        <v>3792.2</v>
      </c>
      <c r="H10" s="236" t="s">
        <v>9</v>
      </c>
      <c r="I10" s="236" t="s">
        <v>9</v>
      </c>
      <c r="J10" s="236">
        <v>20.7</v>
      </c>
      <c r="K10" s="236">
        <v>58</v>
      </c>
      <c r="L10" s="236">
        <v>3732.3</v>
      </c>
      <c r="M10" s="236" t="s">
        <v>9</v>
      </c>
      <c r="N10" s="236" t="s">
        <v>9</v>
      </c>
      <c r="O10" s="236">
        <v>20.7</v>
      </c>
      <c r="P10" s="236">
        <v>58</v>
      </c>
      <c r="Q10" s="249"/>
      <c r="R10" s="249"/>
      <c r="S10" s="249"/>
      <c r="T10" s="249"/>
    </row>
    <row r="11" spans="1:20">
      <c r="A11" s="248">
        <v>1967</v>
      </c>
      <c r="B11" s="236">
        <v>547.9</v>
      </c>
      <c r="C11" s="236" t="s">
        <v>9</v>
      </c>
      <c r="D11" s="236" t="s">
        <v>9</v>
      </c>
      <c r="E11" s="236">
        <v>2.6</v>
      </c>
      <c r="F11" s="236">
        <v>7.5</v>
      </c>
      <c r="G11" s="236">
        <v>4057</v>
      </c>
      <c r="H11" s="236" t="s">
        <v>9</v>
      </c>
      <c r="I11" s="236" t="s">
        <v>9</v>
      </c>
      <c r="J11" s="236">
        <v>21.2</v>
      </c>
      <c r="K11" s="236">
        <v>60.4</v>
      </c>
      <c r="L11" s="236">
        <v>3994.6</v>
      </c>
      <c r="M11" s="236" t="s">
        <v>9</v>
      </c>
      <c r="N11" s="236" t="s">
        <v>9</v>
      </c>
      <c r="O11" s="236">
        <v>21.2</v>
      </c>
      <c r="P11" s="236">
        <v>60.3</v>
      </c>
      <c r="Q11" s="249"/>
      <c r="R11" s="249"/>
      <c r="S11" s="249"/>
      <c r="T11" s="249"/>
    </row>
    <row r="12" spans="1:20">
      <c r="A12" s="248">
        <v>1968</v>
      </c>
      <c r="B12" s="236">
        <v>579.4</v>
      </c>
      <c r="C12" s="236" t="s">
        <v>9</v>
      </c>
      <c r="D12" s="236" t="s">
        <v>9</v>
      </c>
      <c r="E12" s="236">
        <v>2.7</v>
      </c>
      <c r="F12" s="236">
        <v>7.6</v>
      </c>
      <c r="G12" s="236">
        <v>4284.7</v>
      </c>
      <c r="H12" s="236" t="s">
        <v>9</v>
      </c>
      <c r="I12" s="236" t="s">
        <v>9</v>
      </c>
      <c r="J12" s="236">
        <v>21.3</v>
      </c>
      <c r="K12" s="236">
        <v>60.8</v>
      </c>
      <c r="L12" s="236">
        <v>4223.8999999999996</v>
      </c>
      <c r="M12" s="236" t="s">
        <v>9</v>
      </c>
      <c r="N12" s="236" t="s">
        <v>9</v>
      </c>
      <c r="O12" s="236">
        <v>21.3</v>
      </c>
      <c r="P12" s="236">
        <v>60.8</v>
      </c>
      <c r="Q12" s="249"/>
      <c r="R12" s="249"/>
      <c r="S12" s="249"/>
      <c r="T12" s="249"/>
    </row>
    <row r="13" spans="1:20">
      <c r="A13" s="248">
        <v>1969</v>
      </c>
      <c r="B13" s="236">
        <v>637.20000000000005</v>
      </c>
      <c r="C13" s="236" t="s">
        <v>9</v>
      </c>
      <c r="D13" s="236" t="s">
        <v>9</v>
      </c>
      <c r="E13" s="236">
        <v>2.9</v>
      </c>
      <c r="F13" s="236">
        <v>8</v>
      </c>
      <c r="G13" s="236">
        <v>4485.3</v>
      </c>
      <c r="H13" s="236" t="s">
        <v>9</v>
      </c>
      <c r="I13" s="236" t="s">
        <v>9</v>
      </c>
      <c r="J13" s="236">
        <v>21.9</v>
      </c>
      <c r="K13" s="236">
        <v>61.3</v>
      </c>
      <c r="L13" s="236">
        <v>4426.7</v>
      </c>
      <c r="M13" s="236" t="s">
        <v>9</v>
      </c>
      <c r="N13" s="236" t="s">
        <v>9</v>
      </c>
      <c r="O13" s="236">
        <v>21.9</v>
      </c>
      <c r="P13" s="236">
        <v>61.3</v>
      </c>
      <c r="Q13" s="249"/>
      <c r="R13" s="249"/>
      <c r="S13" s="249"/>
      <c r="T13" s="249"/>
    </row>
    <row r="14" spans="1:20">
      <c r="A14" s="248">
        <v>1970</v>
      </c>
      <c r="B14" s="236">
        <v>703.7</v>
      </c>
      <c r="C14" s="236" t="s">
        <v>9</v>
      </c>
      <c r="D14" s="236" t="s">
        <v>9</v>
      </c>
      <c r="E14" s="236">
        <v>3.1</v>
      </c>
      <c r="F14" s="236">
        <v>8.6</v>
      </c>
      <c r="G14" s="236">
        <v>4713.5</v>
      </c>
      <c r="H14" s="236" t="s">
        <v>9</v>
      </c>
      <c r="I14" s="236" t="s">
        <v>9</v>
      </c>
      <c r="J14" s="236">
        <v>22.5</v>
      </c>
      <c r="K14" s="236">
        <v>62.8</v>
      </c>
      <c r="L14" s="236">
        <v>4653.6000000000004</v>
      </c>
      <c r="M14" s="236" t="s">
        <v>9</v>
      </c>
      <c r="N14" s="236" t="s">
        <v>9</v>
      </c>
      <c r="O14" s="236">
        <v>22.4</v>
      </c>
      <c r="P14" s="236">
        <v>62.8</v>
      </c>
      <c r="Q14" s="249"/>
      <c r="R14" s="249"/>
      <c r="S14" s="249"/>
      <c r="T14" s="249"/>
    </row>
    <row r="15" spans="1:20">
      <c r="A15" s="248">
        <v>1971</v>
      </c>
      <c r="B15" s="236">
        <v>776.9</v>
      </c>
      <c r="C15" s="236" t="s">
        <v>9</v>
      </c>
      <c r="D15" s="236" t="s">
        <v>9</v>
      </c>
      <c r="E15" s="236">
        <v>3.2</v>
      </c>
      <c r="F15" s="236">
        <v>9.4</v>
      </c>
      <c r="G15" s="236">
        <v>4947.6000000000004</v>
      </c>
      <c r="H15" s="236" t="s">
        <v>9</v>
      </c>
      <c r="I15" s="236" t="s">
        <v>9</v>
      </c>
      <c r="J15" s="236">
        <v>22.4</v>
      </c>
      <c r="K15" s="236">
        <v>64.8</v>
      </c>
      <c r="L15" s="236">
        <v>4888.3</v>
      </c>
      <c r="M15" s="236" t="s">
        <v>9</v>
      </c>
      <c r="N15" s="236" t="s">
        <v>9</v>
      </c>
      <c r="O15" s="236">
        <v>22.4</v>
      </c>
      <c r="P15" s="236">
        <v>64.8</v>
      </c>
      <c r="Q15" s="249"/>
      <c r="R15" s="249"/>
      <c r="S15" s="249"/>
      <c r="T15" s="249"/>
    </row>
    <row r="16" spans="1:20">
      <c r="A16" s="248">
        <v>1972</v>
      </c>
      <c r="B16" s="236">
        <v>850.5</v>
      </c>
      <c r="C16" s="236" t="s">
        <v>9</v>
      </c>
      <c r="D16" s="236" t="s">
        <v>9</v>
      </c>
      <c r="E16" s="236">
        <v>3.4</v>
      </c>
      <c r="F16" s="236">
        <v>9.8000000000000007</v>
      </c>
      <c r="G16" s="236">
        <v>5136.3</v>
      </c>
      <c r="H16" s="236" t="s">
        <v>9</v>
      </c>
      <c r="I16" s="236" t="s">
        <v>9</v>
      </c>
      <c r="J16" s="236">
        <v>22.8</v>
      </c>
      <c r="K16" s="236">
        <v>65.400000000000006</v>
      </c>
      <c r="L16" s="236">
        <v>5082.6000000000004</v>
      </c>
      <c r="M16" s="236" t="s">
        <v>9</v>
      </c>
      <c r="N16" s="236" t="s">
        <v>9</v>
      </c>
      <c r="O16" s="236">
        <v>22.8</v>
      </c>
      <c r="P16" s="236">
        <v>65.400000000000006</v>
      </c>
      <c r="Q16" s="249"/>
      <c r="R16" s="249"/>
      <c r="S16" s="249"/>
      <c r="T16" s="249"/>
    </row>
    <row r="17" spans="1:20">
      <c r="A17" s="248">
        <v>1973</v>
      </c>
      <c r="B17" s="236">
        <v>1016.6</v>
      </c>
      <c r="C17" s="236" t="s">
        <v>9</v>
      </c>
      <c r="D17" s="236" t="s">
        <v>9</v>
      </c>
      <c r="E17" s="236">
        <v>4.3</v>
      </c>
      <c r="F17" s="236">
        <v>11.5</v>
      </c>
      <c r="G17" s="236">
        <v>5308.3</v>
      </c>
      <c r="H17" s="236" t="s">
        <v>9</v>
      </c>
      <c r="I17" s="236" t="s">
        <v>9</v>
      </c>
      <c r="J17" s="236">
        <v>24.6</v>
      </c>
      <c r="K17" s="236">
        <v>65</v>
      </c>
      <c r="L17" s="236">
        <v>5258.9</v>
      </c>
      <c r="M17" s="236" t="s">
        <v>9</v>
      </c>
      <c r="N17" s="236" t="s">
        <v>9</v>
      </c>
      <c r="O17" s="236">
        <v>24.5</v>
      </c>
      <c r="P17" s="236">
        <v>65</v>
      </c>
      <c r="Q17" s="249"/>
      <c r="R17" s="249"/>
      <c r="S17" s="249"/>
      <c r="T17" s="249"/>
    </row>
    <row r="18" spans="1:20">
      <c r="A18" s="248">
        <v>1974</v>
      </c>
      <c r="B18" s="236">
        <v>1246.2</v>
      </c>
      <c r="C18" s="236" t="s">
        <v>9</v>
      </c>
      <c r="D18" s="236" t="s">
        <v>9</v>
      </c>
      <c r="E18" s="236">
        <v>5.8</v>
      </c>
      <c r="F18" s="236">
        <v>13.8</v>
      </c>
      <c r="G18" s="236">
        <v>5481</v>
      </c>
      <c r="H18" s="236" t="s">
        <v>9</v>
      </c>
      <c r="I18" s="236" t="s">
        <v>9</v>
      </c>
      <c r="J18" s="236">
        <v>27.6</v>
      </c>
      <c r="K18" s="236">
        <v>65.599999999999994</v>
      </c>
      <c r="L18" s="236">
        <v>5432.6</v>
      </c>
      <c r="M18" s="236" t="s">
        <v>9</v>
      </c>
      <c r="N18" s="236" t="s">
        <v>9</v>
      </c>
      <c r="O18" s="236">
        <v>27.5</v>
      </c>
      <c r="P18" s="236">
        <v>65.599999999999994</v>
      </c>
      <c r="Q18" s="249"/>
      <c r="R18" s="249"/>
      <c r="S18" s="249"/>
      <c r="T18" s="249"/>
    </row>
    <row r="19" spans="1:20">
      <c r="A19" s="248">
        <v>1975</v>
      </c>
      <c r="B19" s="236">
        <v>1371.3</v>
      </c>
      <c r="C19" s="236" t="s">
        <v>9</v>
      </c>
      <c r="D19" s="236" t="s">
        <v>9</v>
      </c>
      <c r="E19" s="236">
        <v>6.6</v>
      </c>
      <c r="F19" s="236">
        <v>14.8</v>
      </c>
      <c r="G19" s="236">
        <v>5652.3</v>
      </c>
      <c r="H19" s="236" t="s">
        <v>9</v>
      </c>
      <c r="I19" s="236" t="s">
        <v>9</v>
      </c>
      <c r="J19" s="236">
        <v>30.8</v>
      </c>
      <c r="K19" s="236">
        <v>68.3</v>
      </c>
      <c r="L19" s="236">
        <v>5606.5</v>
      </c>
      <c r="M19" s="236" t="s">
        <v>9</v>
      </c>
      <c r="N19" s="236" t="s">
        <v>9</v>
      </c>
      <c r="O19" s="236">
        <v>30.7</v>
      </c>
      <c r="P19" s="236">
        <v>68.3</v>
      </c>
      <c r="Q19" s="249"/>
      <c r="R19" s="249"/>
      <c r="S19" s="249"/>
      <c r="T19" s="249"/>
    </row>
    <row r="20" spans="1:20">
      <c r="A20" s="248">
        <v>1976</v>
      </c>
      <c r="B20" s="236">
        <v>1445.1</v>
      </c>
      <c r="C20" s="236" t="s">
        <v>9</v>
      </c>
      <c r="D20" s="236" t="s">
        <v>9</v>
      </c>
      <c r="E20" s="236">
        <v>7.1</v>
      </c>
      <c r="F20" s="236">
        <v>16.5</v>
      </c>
      <c r="G20" s="236">
        <v>5799.6</v>
      </c>
      <c r="H20" s="236" t="s">
        <v>9</v>
      </c>
      <c r="I20" s="236" t="s">
        <v>9</v>
      </c>
      <c r="J20" s="236">
        <v>32.299999999999997</v>
      </c>
      <c r="K20" s="236">
        <v>74.5</v>
      </c>
      <c r="L20" s="236">
        <v>5756.9</v>
      </c>
      <c r="M20" s="236" t="s">
        <v>9</v>
      </c>
      <c r="N20" s="236" t="s">
        <v>9</v>
      </c>
      <c r="O20" s="236">
        <v>32.200000000000003</v>
      </c>
      <c r="P20" s="236">
        <v>74.5</v>
      </c>
      <c r="Q20" s="249"/>
      <c r="R20" s="249"/>
      <c r="S20" s="249"/>
      <c r="T20" s="249"/>
    </row>
    <row r="21" spans="1:20">
      <c r="A21" s="248">
        <v>1977</v>
      </c>
      <c r="B21" s="236">
        <v>1517.4</v>
      </c>
      <c r="C21" s="236" t="s">
        <v>9</v>
      </c>
      <c r="D21" s="236" t="s">
        <v>9</v>
      </c>
      <c r="E21" s="236">
        <v>7.2</v>
      </c>
      <c r="F21" s="236">
        <v>18.399999999999999</v>
      </c>
      <c r="G21" s="236">
        <v>5933.3</v>
      </c>
      <c r="H21" s="236" t="s">
        <v>9</v>
      </c>
      <c r="I21" s="236" t="s">
        <v>9</v>
      </c>
      <c r="J21" s="236">
        <v>32.700000000000003</v>
      </c>
      <c r="K21" s="236">
        <v>82.5</v>
      </c>
      <c r="L21" s="236">
        <v>5890.7</v>
      </c>
      <c r="M21" s="236" t="s">
        <v>9</v>
      </c>
      <c r="N21" s="236" t="s">
        <v>9</v>
      </c>
      <c r="O21" s="236">
        <v>32.6</v>
      </c>
      <c r="P21" s="236">
        <v>82.3</v>
      </c>
      <c r="Q21" s="249"/>
      <c r="R21" s="249"/>
      <c r="S21" s="249"/>
      <c r="T21" s="249"/>
    </row>
    <row r="22" spans="1:20">
      <c r="A22" s="248">
        <v>1978</v>
      </c>
      <c r="B22" s="236">
        <v>1629</v>
      </c>
      <c r="C22" s="236" t="s">
        <v>9</v>
      </c>
      <c r="D22" s="236" t="s">
        <v>9</v>
      </c>
      <c r="E22" s="236">
        <v>7.9</v>
      </c>
      <c r="F22" s="236">
        <v>20.3</v>
      </c>
      <c r="G22" s="236">
        <v>6060.4</v>
      </c>
      <c r="H22" s="236" t="s">
        <v>9</v>
      </c>
      <c r="I22" s="236" t="s">
        <v>9</v>
      </c>
      <c r="J22" s="236">
        <v>33.200000000000003</v>
      </c>
      <c r="K22" s="236">
        <v>85</v>
      </c>
      <c r="L22" s="236">
        <v>6017</v>
      </c>
      <c r="M22" s="236" t="s">
        <v>9</v>
      </c>
      <c r="N22" s="236" t="s">
        <v>9</v>
      </c>
      <c r="O22" s="236">
        <v>33.1</v>
      </c>
      <c r="P22" s="236">
        <v>84.8</v>
      </c>
      <c r="Q22" s="249"/>
      <c r="R22" s="249"/>
      <c r="S22" s="249"/>
      <c r="T22" s="249"/>
    </row>
    <row r="23" spans="1:20">
      <c r="A23" s="248">
        <v>1979</v>
      </c>
      <c r="B23" s="236">
        <v>1830.5</v>
      </c>
      <c r="C23" s="236" t="s">
        <v>9</v>
      </c>
      <c r="D23" s="236" t="s">
        <v>9</v>
      </c>
      <c r="E23" s="236">
        <v>8.8000000000000007</v>
      </c>
      <c r="F23" s="236">
        <v>22</v>
      </c>
      <c r="G23" s="236">
        <v>6204.8</v>
      </c>
      <c r="H23" s="236" t="s">
        <v>9</v>
      </c>
      <c r="I23" s="236" t="s">
        <v>9</v>
      </c>
      <c r="J23" s="236">
        <v>33.299999999999997</v>
      </c>
      <c r="K23" s="236">
        <v>82.9</v>
      </c>
      <c r="L23" s="236">
        <v>6159.1</v>
      </c>
      <c r="M23" s="236" t="s">
        <v>9</v>
      </c>
      <c r="N23" s="236" t="s">
        <v>9</v>
      </c>
      <c r="O23" s="236">
        <v>33.200000000000003</v>
      </c>
      <c r="P23" s="236">
        <v>82.7</v>
      </c>
      <c r="Q23" s="249"/>
      <c r="R23" s="249"/>
      <c r="S23" s="249"/>
      <c r="T23" s="249"/>
    </row>
    <row r="24" spans="1:20">
      <c r="A24" s="248">
        <v>1980</v>
      </c>
      <c r="B24" s="236">
        <v>2110</v>
      </c>
      <c r="C24" s="236" t="s">
        <v>9</v>
      </c>
      <c r="D24" s="236" t="s">
        <v>9</v>
      </c>
      <c r="E24" s="236">
        <v>10</v>
      </c>
      <c r="F24" s="236">
        <v>25.5</v>
      </c>
      <c r="G24" s="236">
        <v>6405.5</v>
      </c>
      <c r="H24" s="236" t="s">
        <v>9</v>
      </c>
      <c r="I24" s="236" t="s">
        <v>9</v>
      </c>
      <c r="J24" s="236">
        <v>33.1</v>
      </c>
      <c r="K24" s="236">
        <v>83.9</v>
      </c>
      <c r="L24" s="236">
        <v>6354.4</v>
      </c>
      <c r="M24" s="236" t="s">
        <v>9</v>
      </c>
      <c r="N24" s="236" t="s">
        <v>9</v>
      </c>
      <c r="O24" s="236">
        <v>33</v>
      </c>
      <c r="P24" s="236">
        <v>83.8</v>
      </c>
      <c r="Q24" s="249"/>
      <c r="R24" s="249"/>
      <c r="S24" s="249"/>
      <c r="T24" s="249"/>
    </row>
    <row r="25" spans="1:20">
      <c r="A25" s="248">
        <v>1981</v>
      </c>
      <c r="B25" s="236">
        <v>2394.5</v>
      </c>
      <c r="C25" s="236" t="s">
        <v>9</v>
      </c>
      <c r="D25" s="236" t="s">
        <v>9</v>
      </c>
      <c r="E25" s="236">
        <v>10.8</v>
      </c>
      <c r="F25" s="236">
        <v>30.6</v>
      </c>
      <c r="G25" s="236">
        <v>6614.1</v>
      </c>
      <c r="H25" s="236" t="s">
        <v>9</v>
      </c>
      <c r="I25" s="236" t="s">
        <v>9</v>
      </c>
      <c r="J25" s="236">
        <v>33.6</v>
      </c>
      <c r="K25" s="236">
        <v>94.3</v>
      </c>
      <c r="L25" s="236">
        <v>6558.4</v>
      </c>
      <c r="M25" s="236" t="s">
        <v>9</v>
      </c>
      <c r="N25" s="236" t="s">
        <v>9</v>
      </c>
      <c r="O25" s="236">
        <v>33.5</v>
      </c>
      <c r="P25" s="236">
        <v>94.1</v>
      </c>
      <c r="Q25" s="249"/>
      <c r="R25" s="249"/>
      <c r="S25" s="249"/>
      <c r="T25" s="249"/>
    </row>
    <row r="26" spans="1:20">
      <c r="A26" s="248">
        <v>1982</v>
      </c>
      <c r="B26" s="236">
        <v>2670.8</v>
      </c>
      <c r="C26" s="236" t="s">
        <v>9</v>
      </c>
      <c r="D26" s="236" t="s">
        <v>9</v>
      </c>
      <c r="E26" s="236">
        <v>11.9</v>
      </c>
      <c r="F26" s="236">
        <v>37.5</v>
      </c>
      <c r="G26" s="236">
        <v>6755.4</v>
      </c>
      <c r="H26" s="236" t="s">
        <v>9</v>
      </c>
      <c r="I26" s="236" t="s">
        <v>9</v>
      </c>
      <c r="J26" s="236">
        <v>33.9</v>
      </c>
      <c r="K26" s="236">
        <v>105.9</v>
      </c>
      <c r="L26" s="236">
        <v>6698.2</v>
      </c>
      <c r="M26" s="236" t="s">
        <v>9</v>
      </c>
      <c r="N26" s="236" t="s">
        <v>9</v>
      </c>
      <c r="O26" s="236">
        <v>33.799999999999997</v>
      </c>
      <c r="P26" s="236">
        <v>105.7</v>
      </c>
      <c r="Q26" s="249"/>
      <c r="R26" s="249"/>
      <c r="S26" s="249"/>
      <c r="T26" s="249"/>
    </row>
    <row r="27" spans="1:20">
      <c r="A27" s="248">
        <v>1983</v>
      </c>
      <c r="B27" s="236">
        <v>2813.5</v>
      </c>
      <c r="C27" s="236" t="s">
        <v>9</v>
      </c>
      <c r="D27" s="236" t="s">
        <v>9</v>
      </c>
      <c r="E27" s="236">
        <v>12.1</v>
      </c>
      <c r="F27" s="236">
        <v>39.700000000000003</v>
      </c>
      <c r="G27" s="236">
        <v>6837.9</v>
      </c>
      <c r="H27" s="236" t="s">
        <v>9</v>
      </c>
      <c r="I27" s="236" t="s">
        <v>9</v>
      </c>
      <c r="J27" s="236">
        <v>33.200000000000003</v>
      </c>
      <c r="K27" s="236">
        <v>108.5</v>
      </c>
      <c r="L27" s="236">
        <v>6784.2</v>
      </c>
      <c r="M27" s="236" t="s">
        <v>9</v>
      </c>
      <c r="N27" s="236" t="s">
        <v>9</v>
      </c>
      <c r="O27" s="236">
        <v>33.1</v>
      </c>
      <c r="P27" s="236">
        <v>108.3</v>
      </c>
      <c r="Q27" s="249"/>
      <c r="R27" s="249"/>
      <c r="S27" s="249"/>
      <c r="T27" s="249"/>
    </row>
    <row r="28" spans="1:20">
      <c r="A28" s="248">
        <v>1984</v>
      </c>
      <c r="B28" s="236">
        <v>2951.5</v>
      </c>
      <c r="C28" s="236" t="s">
        <v>9</v>
      </c>
      <c r="D28" s="236" t="s">
        <v>9</v>
      </c>
      <c r="E28" s="236">
        <v>12.4</v>
      </c>
      <c r="F28" s="236">
        <v>40.9</v>
      </c>
      <c r="G28" s="236">
        <v>6942.3</v>
      </c>
      <c r="H28" s="236" t="s">
        <v>9</v>
      </c>
      <c r="I28" s="236" t="s">
        <v>9</v>
      </c>
      <c r="J28" s="236">
        <v>32.9</v>
      </c>
      <c r="K28" s="236">
        <v>107.6</v>
      </c>
      <c r="L28" s="236">
        <v>6893.1</v>
      </c>
      <c r="M28" s="236" t="s">
        <v>9</v>
      </c>
      <c r="N28" s="236" t="s">
        <v>9</v>
      </c>
      <c r="O28" s="236">
        <v>32.799999999999997</v>
      </c>
      <c r="P28" s="236">
        <v>107.4</v>
      </c>
      <c r="Q28" s="249"/>
      <c r="R28" s="249"/>
      <c r="S28" s="249"/>
      <c r="T28" s="249"/>
    </row>
    <row r="29" spans="1:20">
      <c r="A29" s="248">
        <v>1985</v>
      </c>
      <c r="B29" s="236">
        <v>3175.9</v>
      </c>
      <c r="C29" s="236" t="s">
        <v>9</v>
      </c>
      <c r="D29" s="236" t="s">
        <v>9</v>
      </c>
      <c r="E29" s="236">
        <v>13.2</v>
      </c>
      <c r="F29" s="236">
        <v>44.6</v>
      </c>
      <c r="G29" s="236">
        <v>7126.7</v>
      </c>
      <c r="H29" s="236" t="s">
        <v>9</v>
      </c>
      <c r="I29" s="236" t="s">
        <v>9</v>
      </c>
      <c r="J29" s="236">
        <v>32.9</v>
      </c>
      <c r="K29" s="236">
        <v>110.8</v>
      </c>
      <c r="L29" s="236">
        <v>7076.6</v>
      </c>
      <c r="M29" s="236" t="s">
        <v>9</v>
      </c>
      <c r="N29" s="236" t="s">
        <v>9</v>
      </c>
      <c r="O29" s="236">
        <v>32.799999999999997</v>
      </c>
      <c r="P29" s="236">
        <v>110.6</v>
      </c>
      <c r="Q29" s="249"/>
      <c r="R29" s="249"/>
      <c r="S29" s="249"/>
      <c r="T29" s="249"/>
    </row>
    <row r="30" spans="1:20">
      <c r="A30" s="248">
        <v>1986</v>
      </c>
      <c r="B30" s="236">
        <v>3462.2</v>
      </c>
      <c r="C30" s="236" t="s">
        <v>9</v>
      </c>
      <c r="D30" s="236" t="s">
        <v>9</v>
      </c>
      <c r="E30" s="236">
        <v>13.8</v>
      </c>
      <c r="F30" s="236">
        <v>48.4</v>
      </c>
      <c r="G30" s="236">
        <v>7381.8</v>
      </c>
      <c r="H30" s="236" t="s">
        <v>9</v>
      </c>
      <c r="I30" s="236" t="s">
        <v>9</v>
      </c>
      <c r="J30" s="236">
        <v>32.5</v>
      </c>
      <c r="K30" s="236">
        <v>113.4</v>
      </c>
      <c r="L30" s="236">
        <v>7329.2</v>
      </c>
      <c r="M30" s="236" t="s">
        <v>9</v>
      </c>
      <c r="N30" s="236" t="s">
        <v>9</v>
      </c>
      <c r="O30" s="236">
        <v>32.4</v>
      </c>
      <c r="P30" s="236">
        <v>113.2</v>
      </c>
      <c r="Q30" s="249"/>
      <c r="R30" s="249"/>
      <c r="S30" s="249"/>
      <c r="T30" s="249"/>
    </row>
    <row r="31" spans="1:20">
      <c r="A31" s="248">
        <v>1987</v>
      </c>
      <c r="B31" s="236">
        <v>3909.4</v>
      </c>
      <c r="C31" s="236" t="s">
        <v>9</v>
      </c>
      <c r="D31" s="236" t="s">
        <v>9</v>
      </c>
      <c r="E31" s="236">
        <v>14.9</v>
      </c>
      <c r="F31" s="236">
        <v>51.5</v>
      </c>
      <c r="G31" s="236">
        <v>7697.9</v>
      </c>
      <c r="H31" s="236" t="s">
        <v>9</v>
      </c>
      <c r="I31" s="236" t="s">
        <v>9</v>
      </c>
      <c r="J31" s="236">
        <v>32.4</v>
      </c>
      <c r="K31" s="236">
        <v>111.3</v>
      </c>
      <c r="L31" s="236">
        <v>7647.6</v>
      </c>
      <c r="M31" s="236" t="s">
        <v>9</v>
      </c>
      <c r="N31" s="236" t="s">
        <v>9</v>
      </c>
      <c r="O31" s="236">
        <v>32.299999999999997</v>
      </c>
      <c r="P31" s="236">
        <v>111.1</v>
      </c>
      <c r="Q31" s="249"/>
      <c r="R31" s="249"/>
      <c r="S31" s="249"/>
      <c r="T31" s="249"/>
    </row>
    <row r="32" spans="1:20">
      <c r="A32" s="248">
        <v>1988</v>
      </c>
      <c r="B32" s="236">
        <v>4407.8</v>
      </c>
      <c r="C32" s="236" t="s">
        <v>9</v>
      </c>
      <c r="D32" s="236" t="s">
        <v>9</v>
      </c>
      <c r="E32" s="236">
        <v>16.600000000000001</v>
      </c>
      <c r="F32" s="236">
        <v>55.2</v>
      </c>
      <c r="G32" s="236">
        <v>8072.8</v>
      </c>
      <c r="H32" s="236" t="s">
        <v>9</v>
      </c>
      <c r="I32" s="236" t="s">
        <v>9</v>
      </c>
      <c r="J32" s="236">
        <v>33.4</v>
      </c>
      <c r="K32" s="236">
        <v>110.1</v>
      </c>
      <c r="L32" s="236">
        <v>8029</v>
      </c>
      <c r="M32" s="236" t="s">
        <v>9</v>
      </c>
      <c r="N32" s="236" t="s">
        <v>9</v>
      </c>
      <c r="O32" s="236">
        <v>33.299999999999997</v>
      </c>
      <c r="P32" s="236">
        <v>109.8</v>
      </c>
      <c r="Q32" s="249"/>
      <c r="R32" s="249"/>
      <c r="S32" s="249"/>
      <c r="T32" s="249"/>
    </row>
    <row r="33" spans="1:20">
      <c r="A33" s="248">
        <v>1989</v>
      </c>
      <c r="B33" s="236">
        <v>4963.8</v>
      </c>
      <c r="C33" s="236" t="s">
        <v>9</v>
      </c>
      <c r="D33" s="236" t="s">
        <v>9</v>
      </c>
      <c r="E33" s="236">
        <v>18.7</v>
      </c>
      <c r="F33" s="236">
        <v>60.8</v>
      </c>
      <c r="G33" s="236">
        <v>8486</v>
      </c>
      <c r="H33" s="236" t="s">
        <v>9</v>
      </c>
      <c r="I33" s="236" t="s">
        <v>9</v>
      </c>
      <c r="J33" s="236">
        <v>35.1</v>
      </c>
      <c r="K33" s="236">
        <v>112.9</v>
      </c>
      <c r="L33" s="236">
        <v>8451.1</v>
      </c>
      <c r="M33" s="236" t="s">
        <v>9</v>
      </c>
      <c r="N33" s="236" t="s">
        <v>9</v>
      </c>
      <c r="O33" s="236">
        <v>35</v>
      </c>
      <c r="P33" s="236">
        <v>112.8</v>
      </c>
      <c r="Q33" s="249"/>
      <c r="R33" s="249"/>
      <c r="S33" s="249"/>
      <c r="T33" s="249"/>
    </row>
    <row r="34" spans="1:20">
      <c r="A34" s="248">
        <v>1990</v>
      </c>
      <c r="B34" s="236">
        <v>5364.9</v>
      </c>
      <c r="C34" s="236" t="s">
        <v>9</v>
      </c>
      <c r="D34" s="236" t="s">
        <v>9</v>
      </c>
      <c r="E34" s="236">
        <v>19.8</v>
      </c>
      <c r="F34" s="236">
        <v>64.599999999999994</v>
      </c>
      <c r="G34" s="236">
        <v>8886.7999999999993</v>
      </c>
      <c r="H34" s="236" t="s">
        <v>9</v>
      </c>
      <c r="I34" s="236" t="s">
        <v>9</v>
      </c>
      <c r="J34" s="236">
        <v>35.799999999999997</v>
      </c>
      <c r="K34" s="236">
        <v>116.5</v>
      </c>
      <c r="L34" s="236">
        <v>8861.2000000000007</v>
      </c>
      <c r="M34" s="236" t="s">
        <v>9</v>
      </c>
      <c r="N34" s="236" t="s">
        <v>9</v>
      </c>
      <c r="O34" s="236">
        <v>35.700000000000003</v>
      </c>
      <c r="P34" s="236">
        <v>116.4</v>
      </c>
      <c r="Q34" s="249"/>
      <c r="R34" s="249"/>
      <c r="S34" s="249"/>
      <c r="T34" s="249"/>
    </row>
    <row r="35" spans="1:20">
      <c r="A35" s="248">
        <v>1991</v>
      </c>
      <c r="B35" s="236">
        <v>5374.3</v>
      </c>
      <c r="C35" s="236" t="s">
        <v>9</v>
      </c>
      <c r="D35" s="236" t="s">
        <v>9</v>
      </c>
      <c r="E35" s="236">
        <v>18.8</v>
      </c>
      <c r="F35" s="236">
        <v>62.7</v>
      </c>
      <c r="G35" s="236">
        <v>9209.7999999999993</v>
      </c>
      <c r="H35" s="236" t="s">
        <v>9</v>
      </c>
      <c r="I35" s="236" t="s">
        <v>9</v>
      </c>
      <c r="J35" s="236">
        <v>35</v>
      </c>
      <c r="K35" s="236">
        <v>116.3</v>
      </c>
      <c r="L35" s="236">
        <v>9193</v>
      </c>
      <c r="M35" s="236" t="s">
        <v>9</v>
      </c>
      <c r="N35" s="236" t="s">
        <v>9</v>
      </c>
      <c r="O35" s="236">
        <v>34.9</v>
      </c>
      <c r="P35" s="236">
        <v>116.2</v>
      </c>
      <c r="Q35" s="249"/>
      <c r="R35" s="249"/>
      <c r="S35" s="249"/>
      <c r="T35" s="249"/>
    </row>
    <row r="36" spans="1:20">
      <c r="A36" s="248">
        <v>1992</v>
      </c>
      <c r="B36" s="236">
        <v>5472.4</v>
      </c>
      <c r="C36" s="236" t="s">
        <v>9</v>
      </c>
      <c r="D36" s="236" t="s">
        <v>9</v>
      </c>
      <c r="E36" s="236">
        <v>17.899999999999999</v>
      </c>
      <c r="F36" s="236">
        <v>61.8</v>
      </c>
      <c r="G36" s="236">
        <v>9407.1</v>
      </c>
      <c r="H36" s="236" t="s">
        <v>9</v>
      </c>
      <c r="I36" s="236" t="s">
        <v>9</v>
      </c>
      <c r="J36" s="236">
        <v>33.5</v>
      </c>
      <c r="K36" s="236">
        <v>114.9</v>
      </c>
      <c r="L36" s="236">
        <v>9397.6</v>
      </c>
      <c r="M36" s="236" t="s">
        <v>9</v>
      </c>
      <c r="N36" s="236" t="s">
        <v>9</v>
      </c>
      <c r="O36" s="236">
        <v>33.4</v>
      </c>
      <c r="P36" s="236">
        <v>114.8</v>
      </c>
      <c r="Q36" s="249"/>
      <c r="R36" s="249"/>
      <c r="S36" s="249"/>
      <c r="T36" s="249"/>
    </row>
    <row r="37" spans="1:20">
      <c r="A37" s="248">
        <v>1993</v>
      </c>
      <c r="B37" s="236">
        <v>5584.2</v>
      </c>
      <c r="C37" s="236" t="s">
        <v>9</v>
      </c>
      <c r="D37" s="236" t="s">
        <v>9</v>
      </c>
      <c r="E37" s="236">
        <v>17.399999999999999</v>
      </c>
      <c r="F37" s="236">
        <v>61.8</v>
      </c>
      <c r="G37" s="236">
        <v>9486.1</v>
      </c>
      <c r="H37" s="236" t="s">
        <v>9</v>
      </c>
      <c r="I37" s="236" t="s">
        <v>9</v>
      </c>
      <c r="J37" s="236">
        <v>32</v>
      </c>
      <c r="K37" s="236">
        <v>113.5</v>
      </c>
      <c r="L37" s="236">
        <v>9481.4</v>
      </c>
      <c r="M37" s="236" t="s">
        <v>9</v>
      </c>
      <c r="N37" s="236" t="s">
        <v>9</v>
      </c>
      <c r="O37" s="236">
        <v>31.9</v>
      </c>
      <c r="P37" s="236">
        <v>113.5</v>
      </c>
      <c r="Q37" s="249"/>
      <c r="R37" s="249"/>
      <c r="S37" s="249"/>
      <c r="T37" s="249"/>
    </row>
    <row r="38" spans="1:20">
      <c r="A38" s="248">
        <v>1994</v>
      </c>
      <c r="B38" s="236">
        <v>5783.6</v>
      </c>
      <c r="C38" s="236" t="s">
        <v>9</v>
      </c>
      <c r="D38" s="236" t="s">
        <v>9</v>
      </c>
      <c r="E38" s="236">
        <v>18</v>
      </c>
      <c r="F38" s="236">
        <v>62.4</v>
      </c>
      <c r="G38" s="236">
        <v>9569</v>
      </c>
      <c r="H38" s="236" t="s">
        <v>9</v>
      </c>
      <c r="I38" s="236" t="s">
        <v>9</v>
      </c>
      <c r="J38" s="236">
        <v>32.299999999999997</v>
      </c>
      <c r="K38" s="236">
        <v>111.3</v>
      </c>
      <c r="L38" s="236">
        <v>9566.5</v>
      </c>
      <c r="M38" s="236" t="s">
        <v>9</v>
      </c>
      <c r="N38" s="236" t="s">
        <v>9</v>
      </c>
      <c r="O38" s="236">
        <v>32.200000000000003</v>
      </c>
      <c r="P38" s="236">
        <v>111.3</v>
      </c>
      <c r="Q38" s="249"/>
      <c r="R38" s="249"/>
      <c r="S38" s="249"/>
      <c r="T38" s="249"/>
    </row>
    <row r="39" spans="1:20">
      <c r="A39" s="248">
        <v>1995</v>
      </c>
      <c r="B39" s="236">
        <v>6020.3</v>
      </c>
      <c r="C39" s="236" t="s">
        <v>9</v>
      </c>
      <c r="D39" s="236" t="s">
        <v>9</v>
      </c>
      <c r="E39" s="236">
        <v>19.2</v>
      </c>
      <c r="F39" s="236">
        <v>68.2</v>
      </c>
      <c r="G39" s="236">
        <v>9685</v>
      </c>
      <c r="H39" s="236" t="s">
        <v>9</v>
      </c>
      <c r="I39" s="236" t="s">
        <v>9</v>
      </c>
      <c r="J39" s="236">
        <v>33.5</v>
      </c>
      <c r="K39" s="236">
        <v>118.3</v>
      </c>
      <c r="L39" s="236">
        <v>9679.6</v>
      </c>
      <c r="M39" s="236" t="s">
        <v>9</v>
      </c>
      <c r="N39" s="236" t="s">
        <v>9</v>
      </c>
      <c r="O39" s="236">
        <v>33.4</v>
      </c>
      <c r="P39" s="236">
        <v>118.3</v>
      </c>
      <c r="Q39" s="249"/>
      <c r="R39" s="249"/>
      <c r="S39" s="249"/>
      <c r="T39" s="249"/>
    </row>
    <row r="40" spans="1:20">
      <c r="A40" s="248">
        <v>1996</v>
      </c>
      <c r="B40" s="236">
        <v>6221.8</v>
      </c>
      <c r="C40" s="236" t="s">
        <v>9</v>
      </c>
      <c r="D40" s="236" t="s">
        <v>9</v>
      </c>
      <c r="E40" s="236">
        <v>20.100000000000001</v>
      </c>
      <c r="F40" s="236">
        <v>75.2</v>
      </c>
      <c r="G40" s="236">
        <v>9827.1</v>
      </c>
      <c r="H40" s="236" t="s">
        <v>9</v>
      </c>
      <c r="I40" s="236" t="s">
        <v>9</v>
      </c>
      <c r="J40" s="236">
        <v>34.200000000000003</v>
      </c>
      <c r="K40" s="236">
        <v>127.5</v>
      </c>
      <c r="L40" s="236">
        <v>9819.2000000000007</v>
      </c>
      <c r="M40" s="236" t="s">
        <v>9</v>
      </c>
      <c r="N40" s="236" t="s">
        <v>9</v>
      </c>
      <c r="O40" s="236">
        <v>34.1</v>
      </c>
      <c r="P40" s="236">
        <v>127.5</v>
      </c>
      <c r="Q40" s="249"/>
      <c r="R40" s="249"/>
      <c r="S40" s="249"/>
      <c r="T40" s="249"/>
    </row>
    <row r="41" spans="1:20">
      <c r="A41" s="248">
        <v>1997</v>
      </c>
      <c r="B41" s="236">
        <v>6487.3</v>
      </c>
      <c r="C41" s="236" t="s">
        <v>9</v>
      </c>
      <c r="D41" s="236" t="s">
        <v>9</v>
      </c>
      <c r="E41" s="236">
        <v>21.7</v>
      </c>
      <c r="F41" s="236">
        <v>77.8</v>
      </c>
      <c r="G41" s="236">
        <v>10038.200000000001</v>
      </c>
      <c r="H41" s="236" t="s">
        <v>9</v>
      </c>
      <c r="I41" s="236" t="s">
        <v>9</v>
      </c>
      <c r="J41" s="236">
        <v>36.1</v>
      </c>
      <c r="K41" s="236">
        <v>128.80000000000001</v>
      </c>
      <c r="L41" s="236">
        <v>10028</v>
      </c>
      <c r="M41" s="236" t="s">
        <v>9</v>
      </c>
      <c r="N41" s="236" t="s">
        <v>9</v>
      </c>
      <c r="O41" s="236">
        <v>36</v>
      </c>
      <c r="P41" s="236">
        <v>128.9</v>
      </c>
      <c r="Q41" s="249"/>
      <c r="R41" s="249"/>
      <c r="S41" s="249"/>
      <c r="T41" s="249"/>
    </row>
    <row r="42" spans="1:20">
      <c r="A42" s="248">
        <v>1998</v>
      </c>
      <c r="B42" s="236">
        <v>6737.5</v>
      </c>
      <c r="C42" s="236" t="s">
        <v>9</v>
      </c>
      <c r="D42" s="236" t="s">
        <v>9</v>
      </c>
      <c r="E42" s="236">
        <v>23</v>
      </c>
      <c r="F42" s="236">
        <v>78.3</v>
      </c>
      <c r="G42" s="236">
        <v>10257</v>
      </c>
      <c r="H42" s="236" t="s">
        <v>9</v>
      </c>
      <c r="I42" s="236" t="s">
        <v>9</v>
      </c>
      <c r="J42" s="236">
        <v>37.5</v>
      </c>
      <c r="K42" s="236">
        <v>127.1</v>
      </c>
      <c r="L42" s="236">
        <v>10247.6</v>
      </c>
      <c r="M42" s="236" t="s">
        <v>9</v>
      </c>
      <c r="N42" s="236" t="s">
        <v>9</v>
      </c>
      <c r="O42" s="236">
        <v>37.4</v>
      </c>
      <c r="P42" s="236">
        <v>127.1</v>
      </c>
      <c r="Q42" s="249"/>
      <c r="R42" s="249"/>
      <c r="S42" s="249"/>
      <c r="T42" s="249"/>
    </row>
    <row r="43" spans="1:20">
      <c r="A43" s="248">
        <v>1999</v>
      </c>
      <c r="B43" s="236">
        <v>7057.1</v>
      </c>
      <c r="C43" s="236" t="s">
        <v>9</v>
      </c>
      <c r="D43" s="236" t="s">
        <v>9</v>
      </c>
      <c r="E43" s="236">
        <v>23.8</v>
      </c>
      <c r="F43" s="236">
        <v>78.400000000000006</v>
      </c>
      <c r="G43" s="236">
        <v>10483.1</v>
      </c>
      <c r="H43" s="236" t="s">
        <v>9</v>
      </c>
      <c r="I43" s="236" t="s">
        <v>9</v>
      </c>
      <c r="J43" s="236">
        <v>37.799999999999997</v>
      </c>
      <c r="K43" s="236">
        <v>123.8</v>
      </c>
      <c r="L43" s="236">
        <v>10476.200000000001</v>
      </c>
      <c r="M43" s="236" t="s">
        <v>9</v>
      </c>
      <c r="N43" s="236" t="s">
        <v>9</v>
      </c>
      <c r="O43" s="236">
        <v>37.700000000000003</v>
      </c>
      <c r="P43" s="236">
        <v>123.8</v>
      </c>
      <c r="Q43" s="249"/>
      <c r="R43" s="249"/>
      <c r="S43" s="249"/>
      <c r="T43" s="249"/>
    </row>
    <row r="44" spans="1:20">
      <c r="A44" s="248">
        <v>2000</v>
      </c>
      <c r="B44" s="236">
        <v>7713.8</v>
      </c>
      <c r="C44" s="236" t="s">
        <v>9</v>
      </c>
      <c r="D44" s="236" t="s">
        <v>9</v>
      </c>
      <c r="E44" s="236">
        <v>26.1</v>
      </c>
      <c r="F44" s="236">
        <v>85.2</v>
      </c>
      <c r="G44" s="236">
        <v>10710.6</v>
      </c>
      <c r="H44" s="236" t="s">
        <v>9</v>
      </c>
      <c r="I44" s="236" t="s">
        <v>9</v>
      </c>
      <c r="J44" s="236">
        <v>38.200000000000003</v>
      </c>
      <c r="K44" s="236">
        <v>124.4</v>
      </c>
      <c r="L44" s="236">
        <v>10705.4</v>
      </c>
      <c r="M44" s="236" t="s">
        <v>9</v>
      </c>
      <c r="N44" s="236" t="s">
        <v>9</v>
      </c>
      <c r="O44" s="236">
        <v>38.200000000000003</v>
      </c>
      <c r="P44" s="236">
        <v>124.4</v>
      </c>
      <c r="Q44" s="249"/>
      <c r="R44" s="249"/>
      <c r="S44" s="249"/>
      <c r="T44" s="249"/>
    </row>
    <row r="45" spans="1:20">
      <c r="A45" s="248">
        <v>2001</v>
      </c>
      <c r="B45" s="236">
        <v>8169.7</v>
      </c>
      <c r="C45" s="236" t="s">
        <v>9</v>
      </c>
      <c r="D45" s="236" t="s">
        <v>9</v>
      </c>
      <c r="E45" s="236">
        <v>26.9</v>
      </c>
      <c r="F45" s="236">
        <v>90.7</v>
      </c>
      <c r="G45" s="236">
        <v>10914.7</v>
      </c>
      <c r="H45" s="236" t="s">
        <v>9</v>
      </c>
      <c r="I45" s="236" t="s">
        <v>9</v>
      </c>
      <c r="J45" s="236">
        <v>37.6</v>
      </c>
      <c r="K45" s="236">
        <v>126.2</v>
      </c>
      <c r="L45" s="236">
        <v>10910.7</v>
      </c>
      <c r="M45" s="236" t="s">
        <v>9</v>
      </c>
      <c r="N45" s="236" t="s">
        <v>9</v>
      </c>
      <c r="O45" s="236">
        <v>37.5</v>
      </c>
      <c r="P45" s="236">
        <v>126.2</v>
      </c>
      <c r="Q45" s="249"/>
      <c r="R45" s="249"/>
      <c r="S45" s="249"/>
      <c r="T45" s="249"/>
    </row>
    <row r="46" spans="1:20">
      <c r="A46" s="248">
        <v>2002</v>
      </c>
      <c r="B46" s="236">
        <v>8700.7999999999993</v>
      </c>
      <c r="C46" s="236" t="s">
        <v>9</v>
      </c>
      <c r="D46" s="236" t="s">
        <v>9</v>
      </c>
      <c r="E46" s="236">
        <v>26.6</v>
      </c>
      <c r="F46" s="236">
        <v>90.3</v>
      </c>
      <c r="G46" s="236">
        <v>11432.2</v>
      </c>
      <c r="H46" s="236" t="s">
        <v>9</v>
      </c>
      <c r="I46" s="236" t="s">
        <v>9</v>
      </c>
      <c r="J46" s="236">
        <v>36.4</v>
      </c>
      <c r="K46" s="236">
        <v>123.1</v>
      </c>
      <c r="L46" s="236">
        <v>11430.7</v>
      </c>
      <c r="M46" s="236" t="s">
        <v>9</v>
      </c>
      <c r="N46" s="236" t="s">
        <v>9</v>
      </c>
      <c r="O46" s="236">
        <v>36.299999999999997</v>
      </c>
      <c r="P46" s="236">
        <v>123</v>
      </c>
      <c r="Q46" s="249"/>
      <c r="R46" s="249"/>
      <c r="S46" s="249"/>
      <c r="T46" s="249"/>
    </row>
    <row r="47" spans="1:20">
      <c r="A47" s="248">
        <v>2003</v>
      </c>
      <c r="B47" s="236">
        <v>9430.9</v>
      </c>
      <c r="C47" s="236" t="s">
        <v>9</v>
      </c>
      <c r="D47" s="236" t="s">
        <v>9</v>
      </c>
      <c r="E47" s="236">
        <v>26.6</v>
      </c>
      <c r="F47" s="236">
        <v>89</v>
      </c>
      <c r="G47" s="236">
        <v>11923.1</v>
      </c>
      <c r="H47" s="236" t="s">
        <v>9</v>
      </c>
      <c r="I47" s="236" t="s">
        <v>9</v>
      </c>
      <c r="J47" s="236">
        <v>35</v>
      </c>
      <c r="K47" s="236">
        <v>116.8</v>
      </c>
      <c r="L47" s="236">
        <v>11923.6</v>
      </c>
      <c r="M47" s="236" t="s">
        <v>9</v>
      </c>
      <c r="N47" s="236" t="s">
        <v>9</v>
      </c>
      <c r="O47" s="236">
        <v>34.9</v>
      </c>
      <c r="P47" s="236">
        <v>116.8</v>
      </c>
      <c r="Q47" s="249"/>
      <c r="R47" s="249"/>
      <c r="S47" s="249"/>
      <c r="T47" s="249"/>
    </row>
    <row r="48" spans="1:20">
      <c r="A48" s="248">
        <v>2004</v>
      </c>
      <c r="B48" s="236">
        <v>10174.4</v>
      </c>
      <c r="C48" s="236" t="s">
        <v>9</v>
      </c>
      <c r="D48" s="236" t="s">
        <v>9</v>
      </c>
      <c r="E48" s="236">
        <v>28.2</v>
      </c>
      <c r="F48" s="236">
        <v>90.3</v>
      </c>
      <c r="G48" s="236">
        <v>12116.3</v>
      </c>
      <c r="H48" s="236" t="s">
        <v>9</v>
      </c>
      <c r="I48" s="236" t="s">
        <v>9</v>
      </c>
      <c r="J48" s="236">
        <v>34.5</v>
      </c>
      <c r="K48" s="236">
        <v>110.3</v>
      </c>
      <c r="L48" s="236">
        <v>12116.5</v>
      </c>
      <c r="M48" s="236" t="s">
        <v>9</v>
      </c>
      <c r="N48" s="236" t="s">
        <v>9</v>
      </c>
      <c r="O48" s="236">
        <v>34.4</v>
      </c>
      <c r="P48" s="236">
        <v>110.3</v>
      </c>
      <c r="Q48" s="249"/>
      <c r="R48" s="249"/>
      <c r="S48" s="249"/>
      <c r="T48" s="249"/>
    </row>
    <row r="49" spans="1:20">
      <c r="A49" s="248">
        <v>2005</v>
      </c>
      <c r="B49" s="236">
        <v>10873.6</v>
      </c>
      <c r="C49" s="236" t="s">
        <v>9</v>
      </c>
      <c r="D49" s="236" t="s">
        <v>9</v>
      </c>
      <c r="E49" s="236">
        <v>31.6</v>
      </c>
      <c r="F49" s="236">
        <v>90.1</v>
      </c>
      <c r="G49" s="236">
        <v>12319.6</v>
      </c>
      <c r="H49" s="236" t="s">
        <v>9</v>
      </c>
      <c r="I49" s="236" t="s">
        <v>9</v>
      </c>
      <c r="J49" s="236">
        <v>36.4</v>
      </c>
      <c r="K49" s="236">
        <v>104</v>
      </c>
      <c r="L49" s="236">
        <v>12319.8</v>
      </c>
      <c r="M49" s="236" t="s">
        <v>9</v>
      </c>
      <c r="N49" s="236" t="s">
        <v>9</v>
      </c>
      <c r="O49" s="236">
        <v>36.4</v>
      </c>
      <c r="P49" s="236">
        <v>104</v>
      </c>
      <c r="Q49" s="249"/>
      <c r="R49" s="249"/>
      <c r="S49" s="249"/>
      <c r="T49" s="249"/>
    </row>
    <row r="50" spans="1:20">
      <c r="A50" s="248">
        <v>2006</v>
      </c>
      <c r="B50" s="236">
        <v>11744.9</v>
      </c>
      <c r="C50" s="236" t="s">
        <v>9</v>
      </c>
      <c r="D50" s="236" t="s">
        <v>9</v>
      </c>
      <c r="E50" s="236">
        <v>36.6</v>
      </c>
      <c r="F50" s="236">
        <v>91.1</v>
      </c>
      <c r="G50" s="236">
        <v>12513.3</v>
      </c>
      <c r="H50" s="236" t="s">
        <v>9</v>
      </c>
      <c r="I50" s="236" t="s">
        <v>9</v>
      </c>
      <c r="J50" s="236">
        <v>39.4</v>
      </c>
      <c r="K50" s="236">
        <v>97.9</v>
      </c>
      <c r="L50" s="236">
        <v>12513.4</v>
      </c>
      <c r="M50" s="236" t="s">
        <v>9</v>
      </c>
      <c r="N50" s="236" t="s">
        <v>9</v>
      </c>
      <c r="O50" s="236">
        <v>39.4</v>
      </c>
      <c r="P50" s="236">
        <v>97.9</v>
      </c>
      <c r="Q50" s="249"/>
      <c r="R50" s="249"/>
      <c r="S50" s="249"/>
      <c r="T50" s="249"/>
    </row>
    <row r="51" spans="1:20">
      <c r="A51" s="248">
        <v>2007</v>
      </c>
      <c r="B51" s="236">
        <v>12749.2</v>
      </c>
      <c r="C51" s="236" t="s">
        <v>9</v>
      </c>
      <c r="D51" s="236" t="s">
        <v>9</v>
      </c>
      <c r="E51" s="236">
        <v>40.4</v>
      </c>
      <c r="F51" s="236">
        <v>92.5</v>
      </c>
      <c r="G51" s="236">
        <v>12749.2</v>
      </c>
      <c r="H51" s="236" t="s">
        <v>9</v>
      </c>
      <c r="I51" s="236" t="s">
        <v>9</v>
      </c>
      <c r="J51" s="236">
        <v>40.4</v>
      </c>
      <c r="K51" s="236">
        <v>92.5</v>
      </c>
      <c r="L51" s="236">
        <v>12749.2</v>
      </c>
      <c r="M51" s="236" t="s">
        <v>9</v>
      </c>
      <c r="N51" s="236" t="s">
        <v>9</v>
      </c>
      <c r="O51" s="236">
        <v>40.4</v>
      </c>
      <c r="P51" s="236">
        <v>92.5</v>
      </c>
      <c r="Q51" s="249"/>
      <c r="R51" s="249"/>
      <c r="S51" s="249"/>
      <c r="T51" s="249"/>
    </row>
    <row r="52" spans="1:20">
      <c r="A52" s="248">
        <v>2008</v>
      </c>
      <c r="B52" s="236">
        <v>14128.3</v>
      </c>
      <c r="C52" s="236" t="s">
        <v>9</v>
      </c>
      <c r="D52" s="236" t="s">
        <v>9</v>
      </c>
      <c r="E52" s="236">
        <v>44</v>
      </c>
      <c r="F52" s="236">
        <v>98.2</v>
      </c>
      <c r="G52" s="236">
        <v>12914.4</v>
      </c>
      <c r="H52" s="236" t="s">
        <v>9</v>
      </c>
      <c r="I52" s="236" t="s">
        <v>9</v>
      </c>
      <c r="J52" s="236">
        <v>39.700000000000003</v>
      </c>
      <c r="K52" s="236">
        <v>88.5</v>
      </c>
      <c r="L52" s="236">
        <v>12914</v>
      </c>
      <c r="M52" s="236" t="s">
        <v>9</v>
      </c>
      <c r="N52" s="236" t="s">
        <v>9</v>
      </c>
      <c r="O52" s="236">
        <v>39.700000000000003</v>
      </c>
      <c r="P52" s="236">
        <v>88.5</v>
      </c>
      <c r="Q52" s="249"/>
      <c r="R52" s="249"/>
      <c r="S52" s="249"/>
      <c r="T52" s="249"/>
    </row>
    <row r="53" spans="1:20">
      <c r="A53" s="248">
        <v>2009</v>
      </c>
      <c r="B53" s="236">
        <v>13795.8</v>
      </c>
      <c r="C53" s="236" t="s">
        <v>9</v>
      </c>
      <c r="D53" s="236" t="s">
        <v>9</v>
      </c>
      <c r="E53" s="236">
        <v>41.4</v>
      </c>
      <c r="F53" s="236">
        <v>91.6</v>
      </c>
      <c r="G53" s="236">
        <v>12847.1</v>
      </c>
      <c r="H53" s="236" t="s">
        <v>9</v>
      </c>
      <c r="I53" s="236" t="s">
        <v>9</v>
      </c>
      <c r="J53" s="236">
        <v>38.200000000000003</v>
      </c>
      <c r="K53" s="236">
        <v>84.4</v>
      </c>
      <c r="L53" s="236">
        <v>12854.5</v>
      </c>
      <c r="M53" s="236" t="s">
        <v>9</v>
      </c>
      <c r="N53" s="236" t="s">
        <v>9</v>
      </c>
      <c r="O53" s="236">
        <v>38.200000000000003</v>
      </c>
      <c r="P53" s="236">
        <v>84.4</v>
      </c>
      <c r="Q53" s="249"/>
      <c r="R53" s="249"/>
      <c r="S53" s="249"/>
      <c r="T53" s="249"/>
    </row>
    <row r="54" spans="1:20">
      <c r="A54" s="248">
        <v>2010</v>
      </c>
      <c r="B54" s="236">
        <v>14070.1</v>
      </c>
      <c r="C54" s="236" t="s">
        <v>9</v>
      </c>
      <c r="D54" s="236" t="s">
        <v>9</v>
      </c>
      <c r="E54" s="236" t="s">
        <v>9</v>
      </c>
      <c r="F54" s="236">
        <v>86.1</v>
      </c>
      <c r="G54" s="236">
        <v>13049.4</v>
      </c>
      <c r="H54" s="236" t="s">
        <v>9</v>
      </c>
      <c r="I54" s="236" t="s">
        <v>9</v>
      </c>
      <c r="J54" s="236" t="s">
        <v>9</v>
      </c>
      <c r="K54" s="236">
        <v>79.3</v>
      </c>
      <c r="L54" s="236">
        <v>13055.6</v>
      </c>
      <c r="M54" s="236" t="s">
        <v>9</v>
      </c>
      <c r="N54" s="236" t="s">
        <v>9</v>
      </c>
      <c r="O54" s="236" t="s">
        <v>9</v>
      </c>
      <c r="P54" s="236">
        <v>79.3</v>
      </c>
      <c r="Q54" s="249"/>
      <c r="R54" s="249"/>
      <c r="S54" s="249"/>
      <c r="T54" s="249"/>
    </row>
    <row r="55" spans="1:20">
      <c r="A55" s="248">
        <v>2011</v>
      </c>
      <c r="B55" s="236">
        <v>15165.7</v>
      </c>
      <c r="C55" s="236" t="s">
        <v>9</v>
      </c>
      <c r="D55" s="236" t="s">
        <v>9</v>
      </c>
      <c r="E55" s="236" t="s">
        <v>9</v>
      </c>
      <c r="F55" s="236">
        <v>84.2</v>
      </c>
      <c r="G55" s="236">
        <v>13494.2</v>
      </c>
      <c r="H55" s="236" t="s">
        <v>9</v>
      </c>
      <c r="I55" s="236" t="s">
        <v>9</v>
      </c>
      <c r="J55" s="236" t="s">
        <v>9</v>
      </c>
      <c r="K55" s="236">
        <v>74.5</v>
      </c>
      <c r="L55" s="236">
        <v>13500.7</v>
      </c>
      <c r="M55" s="236" t="s">
        <v>9</v>
      </c>
      <c r="N55" s="236" t="s">
        <v>9</v>
      </c>
      <c r="O55" s="236" t="s">
        <v>9</v>
      </c>
      <c r="P55" s="236">
        <v>74.5</v>
      </c>
      <c r="Q55" s="249"/>
      <c r="R55" s="249"/>
      <c r="S55" s="249"/>
      <c r="T55" s="249"/>
    </row>
    <row r="56" spans="1:20">
      <c r="A56" s="248">
        <v>2012</v>
      </c>
      <c r="B56" s="236">
        <v>15780.3</v>
      </c>
      <c r="C56" s="236" t="s">
        <v>9</v>
      </c>
      <c r="D56" s="236" t="s">
        <v>9</v>
      </c>
      <c r="E56" s="236" t="s">
        <v>9</v>
      </c>
      <c r="F56" s="236">
        <v>80.8</v>
      </c>
      <c r="G56" s="236">
        <v>13743.8</v>
      </c>
      <c r="H56" s="236" t="s">
        <v>9</v>
      </c>
      <c r="I56" s="236" t="s">
        <v>9</v>
      </c>
      <c r="J56" s="236" t="s">
        <v>9</v>
      </c>
      <c r="K56" s="236">
        <v>70.2</v>
      </c>
      <c r="L56" s="236">
        <v>13751.3</v>
      </c>
      <c r="M56" s="236" t="s">
        <v>9</v>
      </c>
      <c r="N56" s="236" t="s">
        <v>9</v>
      </c>
      <c r="O56" s="236" t="s">
        <v>9</v>
      </c>
      <c r="P56" s="236">
        <v>70.2</v>
      </c>
      <c r="Q56" s="249"/>
      <c r="R56" s="249"/>
      <c r="S56" s="249"/>
      <c r="T56" s="249"/>
    </row>
    <row r="57" spans="1:20">
      <c r="A57" s="248">
        <v>2013</v>
      </c>
      <c r="B57" s="236">
        <v>15969.1</v>
      </c>
      <c r="C57" s="236" t="s">
        <v>9</v>
      </c>
      <c r="D57" s="236" t="s">
        <v>9</v>
      </c>
      <c r="E57" s="236" t="s">
        <v>9</v>
      </c>
      <c r="F57" s="236">
        <v>76.5</v>
      </c>
      <c r="G57" s="236">
        <v>13871.8</v>
      </c>
      <c r="H57" s="236" t="s">
        <v>9</v>
      </c>
      <c r="I57" s="236" t="s">
        <v>9</v>
      </c>
      <c r="J57" s="236" t="s">
        <v>9</v>
      </c>
      <c r="K57" s="236">
        <v>66.099999999999994</v>
      </c>
      <c r="L57" s="236">
        <v>13879.9</v>
      </c>
      <c r="M57" s="236" t="s">
        <v>9</v>
      </c>
      <c r="N57" s="236" t="s">
        <v>9</v>
      </c>
      <c r="O57" s="236" t="s">
        <v>9</v>
      </c>
      <c r="P57" s="236">
        <v>66.099999999999994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5.9946773022582889</v>
      </c>
      <c r="C60" s="7" t="s">
        <v>10</v>
      </c>
      <c r="D60" s="7" t="s">
        <v>10</v>
      </c>
      <c r="E60" s="7" t="s">
        <v>10</v>
      </c>
      <c r="F60" s="11">
        <f t="shared" ref="F60:P60" si="1">((F57/F28)^(1/29)-1)*100</f>
        <v>2.1826536076963388</v>
      </c>
      <c r="G60" s="11">
        <f t="shared" si="1"/>
        <v>2.4156987658507267</v>
      </c>
      <c r="H60" s="7" t="s">
        <v>10</v>
      </c>
      <c r="I60" s="7" t="s">
        <v>10</v>
      </c>
      <c r="J60" s="7" t="s">
        <v>10</v>
      </c>
      <c r="K60" s="11">
        <f t="shared" si="1"/>
        <v>-1.6661426832018877</v>
      </c>
      <c r="L60" s="11">
        <f t="shared" si="1"/>
        <v>2.4428812687304458</v>
      </c>
      <c r="M60" s="7" t="s">
        <v>10</v>
      </c>
      <c r="N60" s="7" t="s">
        <v>10</v>
      </c>
      <c r="O60" s="7" t="s">
        <v>10</v>
      </c>
      <c r="P60" s="11">
        <f t="shared" si="1"/>
        <v>-1.659833971734137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10.956895618994711</v>
      </c>
      <c r="C61" s="7" t="s">
        <v>10</v>
      </c>
      <c r="D61" s="7" t="s">
        <v>10</v>
      </c>
      <c r="E61" s="11">
        <f t="shared" ref="E61:P61" si="3">((E33/E28)^(1/5)-1)*100</f>
        <v>8.563537019647228</v>
      </c>
      <c r="F61" s="11">
        <f t="shared" si="3"/>
        <v>8.2520312534678286</v>
      </c>
      <c r="G61" s="11">
        <f t="shared" si="3"/>
        <v>4.097411417008967</v>
      </c>
      <c r="H61" s="7" t="s">
        <v>10</v>
      </c>
      <c r="I61" s="7" t="s">
        <v>10</v>
      </c>
      <c r="J61" s="11">
        <f t="shared" si="3"/>
        <v>1.302985281397695</v>
      </c>
      <c r="K61" s="11">
        <f t="shared" si="3"/>
        <v>0.96627504888404658</v>
      </c>
      <c r="L61" s="11">
        <f t="shared" si="3"/>
        <v>4.1597028690466109</v>
      </c>
      <c r="M61" s="7" t="s">
        <v>10</v>
      </c>
      <c r="N61" s="7" t="s">
        <v>10</v>
      </c>
      <c r="O61" s="11">
        <f t="shared" si="3"/>
        <v>1.3068566165098217</v>
      </c>
      <c r="P61" s="11">
        <f t="shared" si="3"/>
        <v>0.98595193207369203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4.0890196394767653</v>
      </c>
      <c r="C62" s="7" t="s">
        <v>10</v>
      </c>
      <c r="D62" s="7" t="s">
        <v>10</v>
      </c>
      <c r="E62" s="11">
        <f t="shared" ref="E62:P62" si="5">((E44/E33)^(1/11)-1)*100</f>
        <v>3.0774192156423741</v>
      </c>
      <c r="F62" s="11">
        <f t="shared" si="5"/>
        <v>3.1149073644882064</v>
      </c>
      <c r="G62" s="11">
        <f t="shared" si="5"/>
        <v>2.1390674750993099</v>
      </c>
      <c r="H62" s="7" t="s">
        <v>10</v>
      </c>
      <c r="I62" s="7" t="s">
        <v>10</v>
      </c>
      <c r="J62" s="11">
        <f t="shared" si="5"/>
        <v>0.77237101585616585</v>
      </c>
      <c r="K62" s="11">
        <f t="shared" si="5"/>
        <v>0.8857149844833101</v>
      </c>
      <c r="L62" s="11">
        <f t="shared" si="5"/>
        <v>2.1728301842490749</v>
      </c>
      <c r="M62" s="7" t="s">
        <v>10</v>
      </c>
      <c r="N62" s="7" t="s">
        <v>10</v>
      </c>
      <c r="O62" s="11">
        <f t="shared" si="5"/>
        <v>0.79851172631453249</v>
      </c>
      <c r="P62" s="11">
        <f t="shared" si="5"/>
        <v>0.89384240908103596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7.4418576288841631</v>
      </c>
      <c r="C63" s="7" t="s">
        <v>10</v>
      </c>
      <c r="D63" s="7" t="s">
        <v>10</v>
      </c>
      <c r="E63" s="11">
        <f t="shared" ref="E63:P63" si="6">((E51/E44)^(1/7)-1)*100</f>
        <v>6.4402379664812548</v>
      </c>
      <c r="F63" s="11">
        <f t="shared" si="6"/>
        <v>1.1813117429279041</v>
      </c>
      <c r="G63" s="11">
        <f t="shared" si="6"/>
        <v>2.5203018586329451</v>
      </c>
      <c r="H63" s="7" t="s">
        <v>10</v>
      </c>
      <c r="I63" s="7" t="s">
        <v>10</v>
      </c>
      <c r="J63" s="11">
        <f t="shared" si="6"/>
        <v>0.80312602654026843</v>
      </c>
      <c r="K63" s="11">
        <f t="shared" si="6"/>
        <v>-4.144433970091721</v>
      </c>
      <c r="L63" s="11">
        <f t="shared" si="6"/>
        <v>2.527414352261359</v>
      </c>
      <c r="M63" s="7" t="s">
        <v>10</v>
      </c>
      <c r="N63" s="7" t="s">
        <v>10</v>
      </c>
      <c r="O63" s="11">
        <f t="shared" si="6"/>
        <v>0.80312602654026843</v>
      </c>
      <c r="P63" s="11">
        <f t="shared" si="6"/>
        <v>-4.144433970091721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3.8244369111698484</v>
      </c>
      <c r="C64" s="7" t="s">
        <v>10</v>
      </c>
      <c r="D64" s="7" t="s">
        <v>10</v>
      </c>
      <c r="E64" s="7" t="s">
        <v>10</v>
      </c>
      <c r="F64" s="11">
        <f t="shared" ref="F64:P64" si="7">((F57/F51)^(1/6)-1)*100</f>
        <v>-3.1157272269417335</v>
      </c>
      <c r="G64" s="11">
        <f t="shared" si="7"/>
        <v>1.4164289225485405</v>
      </c>
      <c r="H64" s="7" t="s">
        <v>10</v>
      </c>
      <c r="I64" s="7" t="s">
        <v>10</v>
      </c>
      <c r="J64" s="7" t="s">
        <v>10</v>
      </c>
      <c r="K64" s="11">
        <f t="shared" si="7"/>
        <v>-5.4467151555309012</v>
      </c>
      <c r="L64" s="11">
        <f t="shared" si="7"/>
        <v>1.4262963428027353</v>
      </c>
      <c r="M64" s="7" t="s">
        <v>10</v>
      </c>
      <c r="N64" s="7" t="s">
        <v>10</v>
      </c>
      <c r="O64" s="7" t="s">
        <v>10</v>
      </c>
      <c r="P64" s="11">
        <f t="shared" si="7"/>
        <v>-5.4467151555309012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5.7568776928743848</v>
      </c>
      <c r="C65" s="7" t="s">
        <v>10</v>
      </c>
      <c r="D65" s="7" t="s">
        <v>10</v>
      </c>
      <c r="E65" s="7" t="s">
        <v>10</v>
      </c>
      <c r="F65" s="11">
        <f t="shared" ref="F65:P65" si="9">((F57/F44)^(1/13)-1)*100</f>
        <v>-0.82512082835884959</v>
      </c>
      <c r="G65" s="11">
        <f t="shared" si="9"/>
        <v>2.0093368972986525</v>
      </c>
      <c r="H65" s="7" t="s">
        <v>10</v>
      </c>
      <c r="I65" s="7" t="s">
        <v>10</v>
      </c>
      <c r="J65" s="7" t="s">
        <v>10</v>
      </c>
      <c r="K65" s="11">
        <f t="shared" si="9"/>
        <v>-4.7477007668689559</v>
      </c>
      <c r="L65" s="11">
        <f t="shared" si="9"/>
        <v>2.0177284228123149</v>
      </c>
      <c r="M65" s="7" t="s">
        <v>10</v>
      </c>
      <c r="N65" s="7" t="s">
        <v>10</v>
      </c>
      <c r="O65" s="7" t="s">
        <v>10</v>
      </c>
      <c r="P65" s="11">
        <f t="shared" si="9"/>
        <v>-4.7477007668689559</v>
      </c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20">
      <c r="A68" s="229" t="s">
        <v>56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31"/>
      <c r="M68" s="132"/>
      <c r="N68" s="132"/>
      <c r="O68" s="132"/>
      <c r="P68" s="132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5.140625" style="225" customWidth="1"/>
    <col min="13" max="16384" width="9.140625" style="225"/>
  </cols>
  <sheetData>
    <row r="1" spans="1:20">
      <c r="A1" s="454" t="s">
        <v>300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14</v>
      </c>
      <c r="C5" s="236" t="s">
        <v>9</v>
      </c>
      <c r="D5" s="236">
        <v>0</v>
      </c>
      <c r="E5" s="236">
        <v>0</v>
      </c>
      <c r="F5" s="236" t="s">
        <v>9</v>
      </c>
      <c r="G5" s="236">
        <v>101.7</v>
      </c>
      <c r="H5" s="236" t="s">
        <v>9</v>
      </c>
      <c r="I5" s="236">
        <v>0</v>
      </c>
      <c r="J5" s="236">
        <v>0</v>
      </c>
      <c r="K5" s="236" t="s">
        <v>9</v>
      </c>
      <c r="L5" s="236">
        <v>68.900000000000006</v>
      </c>
      <c r="M5" s="236" t="s">
        <v>9</v>
      </c>
      <c r="N5" s="236" t="s">
        <v>10</v>
      </c>
      <c r="O5" s="236" t="s">
        <v>10</v>
      </c>
      <c r="P5" s="236" t="s">
        <v>9</v>
      </c>
      <c r="Q5" s="249"/>
      <c r="R5" s="249"/>
      <c r="S5" s="249"/>
      <c r="T5" s="249"/>
    </row>
    <row r="6" spans="1:20">
      <c r="A6" s="248">
        <v>1962</v>
      </c>
      <c r="B6" s="236">
        <v>34.799999999999997</v>
      </c>
      <c r="C6" s="236" t="s">
        <v>9</v>
      </c>
      <c r="D6" s="236">
        <v>0</v>
      </c>
      <c r="E6" s="236">
        <v>0</v>
      </c>
      <c r="F6" s="236" t="s">
        <v>9</v>
      </c>
      <c r="G6" s="236">
        <v>247.2</v>
      </c>
      <c r="H6" s="236" t="s">
        <v>9</v>
      </c>
      <c r="I6" s="236">
        <v>0</v>
      </c>
      <c r="J6" s="236">
        <v>0.1</v>
      </c>
      <c r="K6" s="236" t="s">
        <v>9</v>
      </c>
      <c r="L6" s="236">
        <v>169.3</v>
      </c>
      <c r="M6" s="236" t="s">
        <v>9</v>
      </c>
      <c r="N6" s="236">
        <v>0</v>
      </c>
      <c r="O6" s="236">
        <v>0.1</v>
      </c>
      <c r="P6" s="236" t="s">
        <v>9</v>
      </c>
      <c r="Q6" s="249"/>
      <c r="R6" s="249"/>
      <c r="S6" s="249"/>
      <c r="T6" s="249"/>
    </row>
    <row r="7" spans="1:20">
      <c r="A7" s="248">
        <v>1963</v>
      </c>
      <c r="B7" s="236">
        <v>53.7</v>
      </c>
      <c r="C7" s="236" t="s">
        <v>9</v>
      </c>
      <c r="D7" s="236">
        <v>0</v>
      </c>
      <c r="E7" s="236">
        <v>0</v>
      </c>
      <c r="F7" s="236" t="s">
        <v>9</v>
      </c>
      <c r="G7" s="236">
        <v>372.6</v>
      </c>
      <c r="H7" s="236" t="s">
        <v>9</v>
      </c>
      <c r="I7" s="236">
        <v>0</v>
      </c>
      <c r="J7" s="236">
        <v>0.2</v>
      </c>
      <c r="K7" s="236" t="s">
        <v>9</v>
      </c>
      <c r="L7" s="236">
        <v>255.6</v>
      </c>
      <c r="M7" s="236" t="s">
        <v>9</v>
      </c>
      <c r="N7" s="236">
        <v>0</v>
      </c>
      <c r="O7" s="236">
        <v>0.1</v>
      </c>
      <c r="P7" s="236" t="s">
        <v>9</v>
      </c>
      <c r="Q7" s="249"/>
      <c r="R7" s="249"/>
      <c r="S7" s="249"/>
      <c r="T7" s="249"/>
    </row>
    <row r="8" spans="1:20">
      <c r="A8" s="248">
        <v>1964</v>
      </c>
      <c r="B8" s="236">
        <v>72</v>
      </c>
      <c r="C8" s="236" t="s">
        <v>9</v>
      </c>
      <c r="D8" s="236">
        <v>0</v>
      </c>
      <c r="E8" s="236">
        <v>0.1</v>
      </c>
      <c r="F8" s="236" t="s">
        <v>9</v>
      </c>
      <c r="G8" s="236">
        <v>485.3</v>
      </c>
      <c r="H8" s="236" t="s">
        <v>9</v>
      </c>
      <c r="I8" s="236">
        <v>0.1</v>
      </c>
      <c r="J8" s="236">
        <v>0.4</v>
      </c>
      <c r="K8" s="236" t="s">
        <v>9</v>
      </c>
      <c r="L8" s="236">
        <v>333.2</v>
      </c>
      <c r="M8" s="236" t="s">
        <v>9</v>
      </c>
      <c r="N8" s="236">
        <v>0</v>
      </c>
      <c r="O8" s="236">
        <v>0.2</v>
      </c>
      <c r="P8" s="236" t="s">
        <v>9</v>
      </c>
      <c r="Q8" s="249"/>
      <c r="R8" s="249"/>
      <c r="S8" s="249"/>
      <c r="T8" s="249"/>
    </row>
    <row r="9" spans="1:20">
      <c r="A9" s="248">
        <v>1965</v>
      </c>
      <c r="B9" s="236">
        <v>92</v>
      </c>
      <c r="C9" s="236" t="s">
        <v>9</v>
      </c>
      <c r="D9" s="236">
        <v>0</v>
      </c>
      <c r="E9" s="236">
        <v>0.1</v>
      </c>
      <c r="F9" s="236" t="s">
        <v>9</v>
      </c>
      <c r="G9" s="236">
        <v>597.70000000000005</v>
      </c>
      <c r="H9" s="236" t="s">
        <v>9</v>
      </c>
      <c r="I9" s="236">
        <v>0.1</v>
      </c>
      <c r="J9" s="236">
        <v>0.4</v>
      </c>
      <c r="K9" s="236" t="s">
        <v>9</v>
      </c>
      <c r="L9" s="236">
        <v>410.6</v>
      </c>
      <c r="M9" s="236" t="s">
        <v>9</v>
      </c>
      <c r="N9" s="236">
        <v>0</v>
      </c>
      <c r="O9" s="236">
        <v>0.2</v>
      </c>
      <c r="P9" s="236" t="s">
        <v>9</v>
      </c>
      <c r="Q9" s="249"/>
      <c r="R9" s="249"/>
      <c r="S9" s="249"/>
      <c r="T9" s="249"/>
    </row>
    <row r="10" spans="1:20">
      <c r="A10" s="248">
        <v>1966</v>
      </c>
      <c r="B10" s="236">
        <v>114.6</v>
      </c>
      <c r="C10" s="236" t="s">
        <v>9</v>
      </c>
      <c r="D10" s="236">
        <v>0</v>
      </c>
      <c r="E10" s="236">
        <v>0.1</v>
      </c>
      <c r="F10" s="236" t="s">
        <v>9</v>
      </c>
      <c r="G10" s="236">
        <v>707.8</v>
      </c>
      <c r="H10" s="236" t="s">
        <v>9</v>
      </c>
      <c r="I10" s="236">
        <v>0</v>
      </c>
      <c r="J10" s="236">
        <v>0.3</v>
      </c>
      <c r="K10" s="236" t="s">
        <v>9</v>
      </c>
      <c r="L10" s="236">
        <v>486.3</v>
      </c>
      <c r="M10" s="236" t="s">
        <v>9</v>
      </c>
      <c r="N10" s="236">
        <v>0</v>
      </c>
      <c r="O10" s="236">
        <v>0.2</v>
      </c>
      <c r="P10" s="236" t="s">
        <v>9</v>
      </c>
      <c r="Q10" s="249"/>
      <c r="R10" s="249"/>
      <c r="S10" s="249"/>
      <c r="T10" s="249"/>
    </row>
    <row r="11" spans="1:20">
      <c r="A11" s="248">
        <v>1967</v>
      </c>
      <c r="B11" s="236">
        <v>137.19999999999999</v>
      </c>
      <c r="C11" s="236" t="s">
        <v>9</v>
      </c>
      <c r="D11" s="236">
        <v>0</v>
      </c>
      <c r="E11" s="236">
        <v>0.1</v>
      </c>
      <c r="F11" s="236" t="s">
        <v>9</v>
      </c>
      <c r="G11" s="236">
        <v>812.6</v>
      </c>
      <c r="H11" s="236" t="s">
        <v>9</v>
      </c>
      <c r="I11" s="236">
        <v>0</v>
      </c>
      <c r="J11" s="236">
        <v>0.6</v>
      </c>
      <c r="K11" s="236" t="s">
        <v>9</v>
      </c>
      <c r="L11" s="236">
        <v>558.29999999999995</v>
      </c>
      <c r="M11" s="236" t="s">
        <v>9</v>
      </c>
      <c r="N11" s="236">
        <v>0</v>
      </c>
      <c r="O11" s="236">
        <v>0.3</v>
      </c>
      <c r="P11" s="236" t="s">
        <v>9</v>
      </c>
      <c r="Q11" s="249"/>
      <c r="R11" s="249"/>
      <c r="S11" s="249"/>
      <c r="T11" s="249"/>
    </row>
    <row r="12" spans="1:20">
      <c r="A12" s="248">
        <v>1968</v>
      </c>
      <c r="B12" s="236">
        <v>159.80000000000001</v>
      </c>
      <c r="C12" s="236" t="s">
        <v>9</v>
      </c>
      <c r="D12" s="236">
        <v>0</v>
      </c>
      <c r="E12" s="236">
        <v>0.2</v>
      </c>
      <c r="F12" s="236" t="s">
        <v>9</v>
      </c>
      <c r="G12" s="236">
        <v>910.1</v>
      </c>
      <c r="H12" s="236" t="s">
        <v>9</v>
      </c>
      <c r="I12" s="236">
        <v>0.1</v>
      </c>
      <c r="J12" s="236">
        <v>1.1000000000000001</v>
      </c>
      <c r="K12" s="236" t="s">
        <v>9</v>
      </c>
      <c r="L12" s="236">
        <v>625.29999999999995</v>
      </c>
      <c r="M12" s="236" t="s">
        <v>9</v>
      </c>
      <c r="N12" s="236">
        <v>0</v>
      </c>
      <c r="O12" s="236">
        <v>0.5</v>
      </c>
      <c r="P12" s="236" t="s">
        <v>9</v>
      </c>
      <c r="Q12" s="249"/>
      <c r="R12" s="249"/>
      <c r="S12" s="249"/>
      <c r="T12" s="249"/>
    </row>
    <row r="13" spans="1:20">
      <c r="A13" s="248">
        <v>1969</v>
      </c>
      <c r="B13" s="236">
        <v>184.7</v>
      </c>
      <c r="C13" s="236" t="s">
        <v>9</v>
      </c>
      <c r="D13" s="236">
        <v>0</v>
      </c>
      <c r="E13" s="236">
        <v>0.3</v>
      </c>
      <c r="F13" s="236" t="s">
        <v>9</v>
      </c>
      <c r="G13" s="236">
        <v>1000.4</v>
      </c>
      <c r="H13" s="236" t="s">
        <v>9</v>
      </c>
      <c r="I13" s="236">
        <v>0.1</v>
      </c>
      <c r="J13" s="236">
        <v>1.4</v>
      </c>
      <c r="K13" s="236" t="s">
        <v>9</v>
      </c>
      <c r="L13" s="236">
        <v>687.3</v>
      </c>
      <c r="M13" s="236" t="s">
        <v>9</v>
      </c>
      <c r="N13" s="236">
        <v>0</v>
      </c>
      <c r="O13" s="236">
        <v>0.7</v>
      </c>
      <c r="P13" s="236" t="s">
        <v>9</v>
      </c>
      <c r="Q13" s="249"/>
      <c r="R13" s="249"/>
      <c r="S13" s="249"/>
      <c r="T13" s="249"/>
    </row>
    <row r="14" spans="1:20">
      <c r="A14" s="248">
        <v>1970</v>
      </c>
      <c r="B14" s="236">
        <v>208.9</v>
      </c>
      <c r="C14" s="236" t="s">
        <v>9</v>
      </c>
      <c r="D14" s="236">
        <v>0</v>
      </c>
      <c r="E14" s="236">
        <v>0.3</v>
      </c>
      <c r="F14" s="236" t="s">
        <v>9</v>
      </c>
      <c r="G14" s="236">
        <v>1084.3</v>
      </c>
      <c r="H14" s="236" t="s">
        <v>9</v>
      </c>
      <c r="I14" s="236">
        <v>0.1</v>
      </c>
      <c r="J14" s="236">
        <v>1.7</v>
      </c>
      <c r="K14" s="236" t="s">
        <v>9</v>
      </c>
      <c r="L14" s="236">
        <v>744.9</v>
      </c>
      <c r="M14" s="236" t="s">
        <v>9</v>
      </c>
      <c r="N14" s="236">
        <v>0</v>
      </c>
      <c r="O14" s="236">
        <v>0.8</v>
      </c>
      <c r="P14" s="236" t="s">
        <v>9</v>
      </c>
      <c r="Q14" s="249"/>
      <c r="R14" s="249"/>
      <c r="S14" s="249"/>
      <c r="T14" s="249"/>
    </row>
    <row r="15" spans="1:20">
      <c r="A15" s="248">
        <v>1971</v>
      </c>
      <c r="B15" s="236">
        <v>236.7</v>
      </c>
      <c r="C15" s="236" t="s">
        <v>9</v>
      </c>
      <c r="D15" s="236">
        <v>0</v>
      </c>
      <c r="E15" s="236">
        <v>0.5</v>
      </c>
      <c r="F15" s="236" t="s">
        <v>9</v>
      </c>
      <c r="G15" s="236">
        <v>1173.2</v>
      </c>
      <c r="H15" s="236" t="s">
        <v>9</v>
      </c>
      <c r="I15" s="236">
        <v>0.1</v>
      </c>
      <c r="J15" s="236">
        <v>2.2999999999999998</v>
      </c>
      <c r="K15" s="236" t="s">
        <v>9</v>
      </c>
      <c r="L15" s="236">
        <v>806</v>
      </c>
      <c r="M15" s="236" t="s">
        <v>9</v>
      </c>
      <c r="N15" s="236">
        <v>0</v>
      </c>
      <c r="O15" s="236">
        <v>1.1000000000000001</v>
      </c>
      <c r="P15" s="236" t="s">
        <v>9</v>
      </c>
      <c r="Q15" s="249"/>
      <c r="R15" s="249"/>
      <c r="S15" s="249"/>
      <c r="T15" s="249"/>
    </row>
    <row r="16" spans="1:20">
      <c r="A16" s="248">
        <v>1972</v>
      </c>
      <c r="B16" s="236">
        <v>268.2</v>
      </c>
      <c r="C16" s="236" t="s">
        <v>9</v>
      </c>
      <c r="D16" s="236">
        <v>0</v>
      </c>
      <c r="E16" s="236">
        <v>0.6</v>
      </c>
      <c r="F16" s="236" t="s">
        <v>9</v>
      </c>
      <c r="G16" s="236">
        <v>1255.2</v>
      </c>
      <c r="H16" s="236" t="s">
        <v>9</v>
      </c>
      <c r="I16" s="236">
        <v>0.1</v>
      </c>
      <c r="J16" s="236">
        <v>2.6</v>
      </c>
      <c r="K16" s="236" t="s">
        <v>9</v>
      </c>
      <c r="L16" s="236">
        <v>862.3</v>
      </c>
      <c r="M16" s="236" t="s">
        <v>9</v>
      </c>
      <c r="N16" s="236">
        <v>0</v>
      </c>
      <c r="O16" s="236">
        <v>1.3</v>
      </c>
      <c r="P16" s="236" t="s">
        <v>9</v>
      </c>
      <c r="Q16" s="249"/>
      <c r="R16" s="249"/>
      <c r="S16" s="249"/>
      <c r="T16" s="249"/>
    </row>
    <row r="17" spans="1:20">
      <c r="A17" s="248">
        <v>1973</v>
      </c>
      <c r="B17" s="236">
        <v>306.3</v>
      </c>
      <c r="C17" s="236" t="s">
        <v>9</v>
      </c>
      <c r="D17" s="236">
        <v>0</v>
      </c>
      <c r="E17" s="236">
        <v>0.5</v>
      </c>
      <c r="F17" s="236" t="s">
        <v>9</v>
      </c>
      <c r="G17" s="236">
        <v>1310.9</v>
      </c>
      <c r="H17" s="236" t="s">
        <v>9</v>
      </c>
      <c r="I17" s="236">
        <v>0.1</v>
      </c>
      <c r="J17" s="236">
        <v>2.2999999999999998</v>
      </c>
      <c r="K17" s="236" t="s">
        <v>9</v>
      </c>
      <c r="L17" s="236">
        <v>900.6</v>
      </c>
      <c r="M17" s="236" t="s">
        <v>9</v>
      </c>
      <c r="N17" s="236">
        <v>0</v>
      </c>
      <c r="O17" s="236">
        <v>1.1000000000000001</v>
      </c>
      <c r="P17" s="236" t="s">
        <v>9</v>
      </c>
      <c r="Q17" s="249"/>
      <c r="R17" s="249"/>
      <c r="S17" s="249"/>
      <c r="T17" s="249"/>
    </row>
    <row r="18" spans="1:20">
      <c r="A18" s="248">
        <v>1974</v>
      </c>
      <c r="B18" s="236">
        <v>364.5</v>
      </c>
      <c r="C18" s="236" t="s">
        <v>9</v>
      </c>
      <c r="D18" s="236">
        <v>0</v>
      </c>
      <c r="E18" s="236">
        <v>0.6</v>
      </c>
      <c r="F18" s="236" t="s">
        <v>9</v>
      </c>
      <c r="G18" s="236">
        <v>1352</v>
      </c>
      <c r="H18" s="236" t="s">
        <v>9</v>
      </c>
      <c r="I18" s="236">
        <v>0.1</v>
      </c>
      <c r="J18" s="236">
        <v>2.2000000000000002</v>
      </c>
      <c r="K18" s="236" t="s">
        <v>9</v>
      </c>
      <c r="L18" s="236">
        <v>928.7</v>
      </c>
      <c r="M18" s="236" t="s">
        <v>9</v>
      </c>
      <c r="N18" s="236">
        <v>0.1</v>
      </c>
      <c r="O18" s="236">
        <v>1.1000000000000001</v>
      </c>
      <c r="P18" s="236" t="s">
        <v>9</v>
      </c>
      <c r="Q18" s="249"/>
      <c r="R18" s="249"/>
      <c r="S18" s="249"/>
      <c r="T18" s="249"/>
    </row>
    <row r="19" spans="1:20">
      <c r="A19" s="248">
        <v>1975</v>
      </c>
      <c r="B19" s="236">
        <v>415.9</v>
      </c>
      <c r="C19" s="236" t="s">
        <v>9</v>
      </c>
      <c r="D19" s="236">
        <v>0</v>
      </c>
      <c r="E19" s="236">
        <v>0.7</v>
      </c>
      <c r="F19" s="236" t="s">
        <v>9</v>
      </c>
      <c r="G19" s="236">
        <v>1390.4</v>
      </c>
      <c r="H19" s="236" t="s">
        <v>9</v>
      </c>
      <c r="I19" s="236">
        <v>0.1</v>
      </c>
      <c r="J19" s="236">
        <v>2.2000000000000002</v>
      </c>
      <c r="K19" s="236" t="s">
        <v>9</v>
      </c>
      <c r="L19" s="236">
        <v>955.1</v>
      </c>
      <c r="M19" s="236" t="s">
        <v>9</v>
      </c>
      <c r="N19" s="236">
        <v>0.1</v>
      </c>
      <c r="O19" s="236">
        <v>1.1000000000000001</v>
      </c>
      <c r="P19" s="236" t="s">
        <v>9</v>
      </c>
      <c r="Q19" s="249"/>
      <c r="R19" s="249"/>
      <c r="S19" s="249"/>
      <c r="T19" s="249"/>
    </row>
    <row r="20" spans="1:20">
      <c r="A20" s="248">
        <v>1976</v>
      </c>
      <c r="B20" s="236">
        <v>484.5</v>
      </c>
      <c r="C20" s="236" t="s">
        <v>9</v>
      </c>
      <c r="D20" s="236">
        <v>0.1</v>
      </c>
      <c r="E20" s="236">
        <v>0.9</v>
      </c>
      <c r="F20" s="236" t="s">
        <v>9</v>
      </c>
      <c r="G20" s="236">
        <v>1450.3</v>
      </c>
      <c r="H20" s="236" t="s">
        <v>9</v>
      </c>
      <c r="I20" s="236">
        <v>0.2</v>
      </c>
      <c r="J20" s="236">
        <v>2.6</v>
      </c>
      <c r="K20" s="236" t="s">
        <v>9</v>
      </c>
      <c r="L20" s="236">
        <v>988.8</v>
      </c>
      <c r="M20" s="236" t="s">
        <v>9</v>
      </c>
      <c r="N20" s="236">
        <v>0.1</v>
      </c>
      <c r="O20" s="236">
        <v>1.4</v>
      </c>
      <c r="P20" s="236" t="s">
        <v>9</v>
      </c>
      <c r="Q20" s="249"/>
      <c r="R20" s="249"/>
      <c r="S20" s="249"/>
      <c r="T20" s="249"/>
    </row>
    <row r="21" spans="1:20">
      <c r="A21" s="248">
        <v>1977</v>
      </c>
      <c r="B21" s="236">
        <v>558.4</v>
      </c>
      <c r="C21" s="236" t="s">
        <v>9</v>
      </c>
      <c r="D21" s="236">
        <v>0.2</v>
      </c>
      <c r="E21" s="236">
        <v>1.2</v>
      </c>
      <c r="F21" s="236" t="s">
        <v>9</v>
      </c>
      <c r="G21" s="236">
        <v>1532.1</v>
      </c>
      <c r="H21" s="236" t="s">
        <v>9</v>
      </c>
      <c r="I21" s="236">
        <v>0.4</v>
      </c>
      <c r="J21" s="236">
        <v>3</v>
      </c>
      <c r="K21" s="236" t="s">
        <v>9</v>
      </c>
      <c r="L21" s="236">
        <v>1071.5</v>
      </c>
      <c r="M21" s="236" t="s">
        <v>9</v>
      </c>
      <c r="N21" s="236">
        <v>0.2</v>
      </c>
      <c r="O21" s="236">
        <v>1.7</v>
      </c>
      <c r="P21" s="236" t="s">
        <v>9</v>
      </c>
      <c r="Q21" s="249"/>
      <c r="R21" s="249"/>
      <c r="S21" s="249"/>
      <c r="T21" s="249"/>
    </row>
    <row r="22" spans="1:20">
      <c r="A22" s="248">
        <v>1978</v>
      </c>
      <c r="B22" s="236">
        <v>640.4</v>
      </c>
      <c r="C22" s="236" t="s">
        <v>9</v>
      </c>
      <c r="D22" s="236">
        <v>0.2</v>
      </c>
      <c r="E22" s="236">
        <v>1.3</v>
      </c>
      <c r="F22" s="236" t="s">
        <v>9</v>
      </c>
      <c r="G22" s="236">
        <v>1623.5</v>
      </c>
      <c r="H22" s="236" t="s">
        <v>9</v>
      </c>
      <c r="I22" s="236">
        <v>0.4</v>
      </c>
      <c r="J22" s="236">
        <v>3</v>
      </c>
      <c r="K22" s="236" t="s">
        <v>9</v>
      </c>
      <c r="L22" s="236">
        <v>1157</v>
      </c>
      <c r="M22" s="236" t="s">
        <v>9</v>
      </c>
      <c r="N22" s="236">
        <v>0.3</v>
      </c>
      <c r="O22" s="236">
        <v>1.7</v>
      </c>
      <c r="P22" s="236" t="s">
        <v>9</v>
      </c>
      <c r="Q22" s="249"/>
      <c r="R22" s="249"/>
      <c r="S22" s="249"/>
      <c r="T22" s="249"/>
    </row>
    <row r="23" spans="1:20">
      <c r="A23" s="248">
        <v>1979</v>
      </c>
      <c r="B23" s="236">
        <v>748.9</v>
      </c>
      <c r="C23" s="236" t="s">
        <v>9</v>
      </c>
      <c r="D23" s="236">
        <v>0.3</v>
      </c>
      <c r="E23" s="236">
        <v>1.5</v>
      </c>
      <c r="F23" s="236" t="s">
        <v>9</v>
      </c>
      <c r="G23" s="236">
        <v>1716.8</v>
      </c>
      <c r="H23" s="236" t="s">
        <v>9</v>
      </c>
      <c r="I23" s="236">
        <v>0.5</v>
      </c>
      <c r="J23" s="236">
        <v>3</v>
      </c>
      <c r="K23" s="236" t="s">
        <v>9</v>
      </c>
      <c r="L23" s="236">
        <v>1242.4000000000001</v>
      </c>
      <c r="M23" s="236" t="s">
        <v>9</v>
      </c>
      <c r="N23" s="236">
        <v>0.3</v>
      </c>
      <c r="O23" s="236">
        <v>1.8</v>
      </c>
      <c r="P23" s="236" t="s">
        <v>9</v>
      </c>
      <c r="Q23" s="249"/>
      <c r="R23" s="249"/>
      <c r="S23" s="249"/>
      <c r="T23" s="249"/>
    </row>
    <row r="24" spans="1:20">
      <c r="A24" s="248">
        <v>1980</v>
      </c>
      <c r="B24" s="236">
        <v>874.1</v>
      </c>
      <c r="C24" s="236" t="s">
        <v>9</v>
      </c>
      <c r="D24" s="236">
        <v>0.3</v>
      </c>
      <c r="E24" s="236">
        <v>1.8</v>
      </c>
      <c r="F24" s="236" t="s">
        <v>9</v>
      </c>
      <c r="G24" s="236">
        <v>1814</v>
      </c>
      <c r="H24" s="236" t="s">
        <v>9</v>
      </c>
      <c r="I24" s="236">
        <v>0.5</v>
      </c>
      <c r="J24" s="236">
        <v>3.5</v>
      </c>
      <c r="K24" s="236" t="s">
        <v>9</v>
      </c>
      <c r="L24" s="236">
        <v>1330.9</v>
      </c>
      <c r="M24" s="236" t="s">
        <v>9</v>
      </c>
      <c r="N24" s="236">
        <v>0.4</v>
      </c>
      <c r="O24" s="236">
        <v>2.1</v>
      </c>
      <c r="P24" s="236" t="s">
        <v>9</v>
      </c>
      <c r="Q24" s="249"/>
      <c r="R24" s="249"/>
      <c r="S24" s="249"/>
      <c r="T24" s="249"/>
    </row>
    <row r="25" spans="1:20">
      <c r="A25" s="248">
        <v>1981</v>
      </c>
      <c r="B25" s="236">
        <v>973.9</v>
      </c>
      <c r="C25" s="236" t="s">
        <v>9</v>
      </c>
      <c r="D25" s="236">
        <v>0.4</v>
      </c>
      <c r="E25" s="236">
        <v>2.2000000000000002</v>
      </c>
      <c r="F25" s="236" t="s">
        <v>9</v>
      </c>
      <c r="G25" s="236">
        <v>1934</v>
      </c>
      <c r="H25" s="236" t="s">
        <v>9</v>
      </c>
      <c r="I25" s="236">
        <v>0.6</v>
      </c>
      <c r="J25" s="236">
        <v>4</v>
      </c>
      <c r="K25" s="236" t="s">
        <v>9</v>
      </c>
      <c r="L25" s="236">
        <v>1435.7</v>
      </c>
      <c r="M25" s="236" t="s">
        <v>9</v>
      </c>
      <c r="N25" s="236">
        <v>0.4</v>
      </c>
      <c r="O25" s="236">
        <v>2.5</v>
      </c>
      <c r="P25" s="236" t="s">
        <v>9</v>
      </c>
      <c r="Q25" s="249"/>
      <c r="R25" s="249"/>
      <c r="S25" s="249"/>
      <c r="T25" s="249"/>
    </row>
    <row r="26" spans="1:20">
      <c r="A26" s="248">
        <v>1982</v>
      </c>
      <c r="B26" s="236">
        <v>1146.0999999999999</v>
      </c>
      <c r="C26" s="236" t="s">
        <v>9</v>
      </c>
      <c r="D26" s="236">
        <v>0.4</v>
      </c>
      <c r="E26" s="236">
        <v>2.8</v>
      </c>
      <c r="F26" s="236" t="s">
        <v>9</v>
      </c>
      <c r="G26" s="236">
        <v>2060.4</v>
      </c>
      <c r="H26" s="236" t="s">
        <v>9</v>
      </c>
      <c r="I26" s="236">
        <v>0.6</v>
      </c>
      <c r="J26" s="236">
        <v>4.4000000000000004</v>
      </c>
      <c r="K26" s="236" t="s">
        <v>9</v>
      </c>
      <c r="L26" s="236">
        <v>1546.7</v>
      </c>
      <c r="M26" s="236" t="s">
        <v>9</v>
      </c>
      <c r="N26" s="236">
        <v>0.5</v>
      </c>
      <c r="O26" s="236">
        <v>2.9</v>
      </c>
      <c r="P26" s="236" t="s">
        <v>9</v>
      </c>
      <c r="Q26" s="249"/>
      <c r="R26" s="249"/>
      <c r="S26" s="249"/>
      <c r="T26" s="249"/>
    </row>
    <row r="27" spans="1:20">
      <c r="A27" s="248">
        <v>1983</v>
      </c>
      <c r="B27" s="236">
        <v>1278.0999999999999</v>
      </c>
      <c r="C27" s="236" t="s">
        <v>9</v>
      </c>
      <c r="D27" s="236">
        <v>0.5</v>
      </c>
      <c r="E27" s="236">
        <v>3.3</v>
      </c>
      <c r="F27" s="236" t="s">
        <v>9</v>
      </c>
      <c r="G27" s="236">
        <v>2160.9</v>
      </c>
      <c r="H27" s="236" t="s">
        <v>9</v>
      </c>
      <c r="I27" s="236">
        <v>0.6</v>
      </c>
      <c r="J27" s="236">
        <v>4.7</v>
      </c>
      <c r="K27" s="236" t="s">
        <v>9</v>
      </c>
      <c r="L27" s="236">
        <v>1648.7</v>
      </c>
      <c r="M27" s="236" t="s">
        <v>9</v>
      </c>
      <c r="N27" s="236">
        <v>0.5</v>
      </c>
      <c r="O27" s="236">
        <v>3.3</v>
      </c>
      <c r="P27" s="236" t="s">
        <v>9</v>
      </c>
      <c r="Q27" s="249"/>
      <c r="R27" s="249"/>
      <c r="S27" s="249"/>
      <c r="T27" s="249"/>
    </row>
    <row r="28" spans="1:20">
      <c r="A28" s="248">
        <v>1984</v>
      </c>
      <c r="B28" s="236">
        <v>1418.3</v>
      </c>
      <c r="C28" s="236" t="s">
        <v>9</v>
      </c>
      <c r="D28" s="236">
        <v>0.5</v>
      </c>
      <c r="E28" s="236">
        <v>3.5</v>
      </c>
      <c r="F28" s="236" t="s">
        <v>9</v>
      </c>
      <c r="G28" s="236">
        <v>2261.6</v>
      </c>
      <c r="H28" s="236" t="s">
        <v>9</v>
      </c>
      <c r="I28" s="236">
        <v>0.6</v>
      </c>
      <c r="J28" s="236">
        <v>4.9000000000000004</v>
      </c>
      <c r="K28" s="236" t="s">
        <v>9</v>
      </c>
      <c r="L28" s="236">
        <v>1762.8</v>
      </c>
      <c r="M28" s="236" t="s">
        <v>9</v>
      </c>
      <c r="N28" s="236">
        <v>0.5</v>
      </c>
      <c r="O28" s="236">
        <v>3.5</v>
      </c>
      <c r="P28" s="236" t="s">
        <v>9</v>
      </c>
      <c r="Q28" s="249"/>
      <c r="R28" s="249"/>
      <c r="S28" s="249"/>
      <c r="T28" s="249"/>
    </row>
    <row r="29" spans="1:20">
      <c r="A29" s="248">
        <v>1985</v>
      </c>
      <c r="B29" s="236">
        <v>1574.4</v>
      </c>
      <c r="C29" s="236" t="s">
        <v>9</v>
      </c>
      <c r="D29" s="236">
        <v>0.6</v>
      </c>
      <c r="E29" s="236">
        <v>3.9</v>
      </c>
      <c r="F29" s="236" t="s">
        <v>9</v>
      </c>
      <c r="G29" s="236">
        <v>2388.1</v>
      </c>
      <c r="H29" s="236" t="s">
        <v>9</v>
      </c>
      <c r="I29" s="236">
        <v>0.7</v>
      </c>
      <c r="J29" s="236">
        <v>5.2</v>
      </c>
      <c r="K29" s="236" t="s">
        <v>9</v>
      </c>
      <c r="L29" s="236">
        <v>1898.2</v>
      </c>
      <c r="M29" s="236" t="s">
        <v>9</v>
      </c>
      <c r="N29" s="236">
        <v>0.6</v>
      </c>
      <c r="O29" s="236">
        <v>3.8</v>
      </c>
      <c r="P29" s="236" t="s">
        <v>9</v>
      </c>
      <c r="Q29" s="249"/>
      <c r="R29" s="249"/>
      <c r="S29" s="249"/>
      <c r="T29" s="249"/>
    </row>
    <row r="30" spans="1:20">
      <c r="A30" s="248">
        <v>1986</v>
      </c>
      <c r="B30" s="236">
        <v>1778.5</v>
      </c>
      <c r="C30" s="236" t="s">
        <v>9</v>
      </c>
      <c r="D30" s="236">
        <v>0.6</v>
      </c>
      <c r="E30" s="236">
        <v>4.5</v>
      </c>
      <c r="F30" s="236" t="s">
        <v>9</v>
      </c>
      <c r="G30" s="236">
        <v>2537.5</v>
      </c>
      <c r="H30" s="236" t="s">
        <v>9</v>
      </c>
      <c r="I30" s="236">
        <v>0.7</v>
      </c>
      <c r="J30" s="236">
        <v>5.7</v>
      </c>
      <c r="K30" s="236" t="s">
        <v>9</v>
      </c>
      <c r="L30" s="236">
        <v>2057.9</v>
      </c>
      <c r="M30" s="236" t="s">
        <v>9</v>
      </c>
      <c r="N30" s="236">
        <v>0.6</v>
      </c>
      <c r="O30" s="236">
        <v>4.2</v>
      </c>
      <c r="P30" s="236" t="s">
        <v>9</v>
      </c>
      <c r="Q30" s="249"/>
      <c r="R30" s="249"/>
      <c r="S30" s="249"/>
      <c r="T30" s="249"/>
    </row>
    <row r="31" spans="1:20">
      <c r="A31" s="248">
        <v>1987</v>
      </c>
      <c r="B31" s="236">
        <v>1994.7</v>
      </c>
      <c r="C31" s="236" t="s">
        <v>9</v>
      </c>
      <c r="D31" s="236">
        <v>0.6</v>
      </c>
      <c r="E31" s="236">
        <v>5.2</v>
      </c>
      <c r="F31" s="236" t="s">
        <v>9</v>
      </c>
      <c r="G31" s="236">
        <v>2699.5</v>
      </c>
      <c r="H31" s="236" t="s">
        <v>9</v>
      </c>
      <c r="I31" s="236">
        <v>0.7</v>
      </c>
      <c r="J31" s="236">
        <v>6.3</v>
      </c>
      <c r="K31" s="236" t="s">
        <v>9</v>
      </c>
      <c r="L31" s="236">
        <v>2231.6</v>
      </c>
      <c r="M31" s="236" t="s">
        <v>9</v>
      </c>
      <c r="N31" s="236">
        <v>0.6</v>
      </c>
      <c r="O31" s="236">
        <v>4.8</v>
      </c>
      <c r="P31" s="236" t="s">
        <v>9</v>
      </c>
      <c r="Q31" s="249"/>
      <c r="R31" s="249"/>
      <c r="S31" s="249"/>
      <c r="T31" s="249"/>
    </row>
    <row r="32" spans="1:20">
      <c r="A32" s="248">
        <v>1988</v>
      </c>
      <c r="B32" s="236">
        <v>2225</v>
      </c>
      <c r="C32" s="236" t="s">
        <v>9</v>
      </c>
      <c r="D32" s="236">
        <v>0.7</v>
      </c>
      <c r="E32" s="236">
        <v>6.1</v>
      </c>
      <c r="F32" s="236" t="s">
        <v>9</v>
      </c>
      <c r="G32" s="236">
        <v>2882.4</v>
      </c>
      <c r="H32" s="236" t="s">
        <v>9</v>
      </c>
      <c r="I32" s="236">
        <v>0.8</v>
      </c>
      <c r="J32" s="236">
        <v>7.1</v>
      </c>
      <c r="K32" s="236" t="s">
        <v>9</v>
      </c>
      <c r="L32" s="236">
        <v>2425.1999999999998</v>
      </c>
      <c r="M32" s="236" t="s">
        <v>9</v>
      </c>
      <c r="N32" s="236">
        <v>0.7</v>
      </c>
      <c r="O32" s="236">
        <v>5.6</v>
      </c>
      <c r="P32" s="236" t="s">
        <v>9</v>
      </c>
      <c r="Q32" s="249"/>
      <c r="R32" s="249"/>
      <c r="S32" s="249"/>
      <c r="T32" s="249"/>
    </row>
    <row r="33" spans="1:20">
      <c r="A33" s="248">
        <v>1989</v>
      </c>
      <c r="B33" s="236">
        <v>2460.4</v>
      </c>
      <c r="C33" s="236" t="s">
        <v>9</v>
      </c>
      <c r="D33" s="236">
        <v>0.8</v>
      </c>
      <c r="E33" s="236">
        <v>6.7</v>
      </c>
      <c r="F33" s="236" t="s">
        <v>9</v>
      </c>
      <c r="G33" s="236">
        <v>3069.6</v>
      </c>
      <c r="H33" s="236" t="s">
        <v>9</v>
      </c>
      <c r="I33" s="236">
        <v>0.9</v>
      </c>
      <c r="J33" s="236">
        <v>7.6</v>
      </c>
      <c r="K33" s="236" t="s">
        <v>9</v>
      </c>
      <c r="L33" s="236">
        <v>2635.4</v>
      </c>
      <c r="M33" s="236" t="s">
        <v>9</v>
      </c>
      <c r="N33" s="236">
        <v>0.8</v>
      </c>
      <c r="O33" s="236">
        <v>6.1</v>
      </c>
      <c r="P33" s="236" t="s">
        <v>9</v>
      </c>
      <c r="Q33" s="249"/>
      <c r="R33" s="249"/>
      <c r="S33" s="249"/>
      <c r="T33" s="249"/>
    </row>
    <row r="34" spans="1:20">
      <c r="A34" s="248">
        <v>1990</v>
      </c>
      <c r="B34" s="236">
        <v>2684.7</v>
      </c>
      <c r="C34" s="236" t="s">
        <v>9</v>
      </c>
      <c r="D34" s="236">
        <v>0.9</v>
      </c>
      <c r="E34" s="236">
        <v>6.6</v>
      </c>
      <c r="F34" s="236" t="s">
        <v>9</v>
      </c>
      <c r="G34" s="236">
        <v>3258.4</v>
      </c>
      <c r="H34" s="236" t="s">
        <v>9</v>
      </c>
      <c r="I34" s="236">
        <v>1</v>
      </c>
      <c r="J34" s="236">
        <v>7.4</v>
      </c>
      <c r="K34" s="236" t="s">
        <v>9</v>
      </c>
      <c r="L34" s="236">
        <v>2846</v>
      </c>
      <c r="M34" s="236" t="s">
        <v>9</v>
      </c>
      <c r="N34" s="236">
        <v>0.9</v>
      </c>
      <c r="O34" s="236">
        <v>6</v>
      </c>
      <c r="P34" s="236" t="s">
        <v>9</v>
      </c>
      <c r="Q34" s="249"/>
      <c r="R34" s="249"/>
      <c r="S34" s="249"/>
      <c r="T34" s="249"/>
    </row>
    <row r="35" spans="1:20">
      <c r="A35" s="248">
        <v>1991</v>
      </c>
      <c r="B35" s="236">
        <v>2916.2</v>
      </c>
      <c r="C35" s="236" t="s">
        <v>9</v>
      </c>
      <c r="D35" s="236">
        <v>1</v>
      </c>
      <c r="E35" s="236">
        <v>6.8</v>
      </c>
      <c r="F35" s="236" t="s">
        <v>9</v>
      </c>
      <c r="G35" s="236">
        <v>3442.2</v>
      </c>
      <c r="H35" s="236" t="s">
        <v>9</v>
      </c>
      <c r="I35" s="236">
        <v>1.1000000000000001</v>
      </c>
      <c r="J35" s="236">
        <v>7.4</v>
      </c>
      <c r="K35" s="236" t="s">
        <v>9</v>
      </c>
      <c r="L35" s="236">
        <v>3035.6</v>
      </c>
      <c r="M35" s="236" t="s">
        <v>9</v>
      </c>
      <c r="N35" s="236">
        <v>1</v>
      </c>
      <c r="O35" s="236">
        <v>6.2</v>
      </c>
      <c r="P35" s="236" t="s">
        <v>9</v>
      </c>
      <c r="Q35" s="249"/>
      <c r="R35" s="249"/>
      <c r="S35" s="249"/>
      <c r="T35" s="249"/>
    </row>
    <row r="36" spans="1:20">
      <c r="A36" s="248">
        <v>1992</v>
      </c>
      <c r="B36" s="236">
        <v>3039.8</v>
      </c>
      <c r="C36" s="236" t="s">
        <v>9</v>
      </c>
      <c r="D36" s="236">
        <v>1</v>
      </c>
      <c r="E36" s="236">
        <v>6.9</v>
      </c>
      <c r="F36" s="236" t="s">
        <v>9</v>
      </c>
      <c r="G36" s="236">
        <v>3607.9</v>
      </c>
      <c r="H36" s="236" t="s">
        <v>9</v>
      </c>
      <c r="I36" s="236">
        <v>1.2</v>
      </c>
      <c r="J36" s="236">
        <v>7.7</v>
      </c>
      <c r="K36" s="236" t="s">
        <v>9</v>
      </c>
      <c r="L36" s="236">
        <v>3211.1</v>
      </c>
      <c r="M36" s="236" t="s">
        <v>9</v>
      </c>
      <c r="N36" s="236">
        <v>1</v>
      </c>
      <c r="O36" s="236">
        <v>6.5</v>
      </c>
      <c r="P36" s="236" t="s">
        <v>9</v>
      </c>
      <c r="Q36" s="249"/>
      <c r="R36" s="249"/>
      <c r="S36" s="249"/>
      <c r="T36" s="249"/>
    </row>
    <row r="37" spans="1:20">
      <c r="A37" s="248">
        <v>1993</v>
      </c>
      <c r="B37" s="236">
        <v>3239.1</v>
      </c>
      <c r="C37" s="236" t="s">
        <v>9</v>
      </c>
      <c r="D37" s="236">
        <v>1</v>
      </c>
      <c r="E37" s="236">
        <v>7.4</v>
      </c>
      <c r="F37" s="236" t="s">
        <v>9</v>
      </c>
      <c r="G37" s="236">
        <v>3791.7</v>
      </c>
      <c r="H37" s="236" t="s">
        <v>9</v>
      </c>
      <c r="I37" s="236">
        <v>1.1000000000000001</v>
      </c>
      <c r="J37" s="236">
        <v>8.1999999999999993</v>
      </c>
      <c r="K37" s="236" t="s">
        <v>9</v>
      </c>
      <c r="L37" s="236">
        <v>3423.3</v>
      </c>
      <c r="M37" s="236" t="s">
        <v>9</v>
      </c>
      <c r="N37" s="236">
        <v>1</v>
      </c>
      <c r="O37" s="236">
        <v>7</v>
      </c>
      <c r="P37" s="236" t="s">
        <v>9</v>
      </c>
      <c r="Q37" s="249"/>
      <c r="R37" s="249"/>
      <c r="S37" s="249"/>
      <c r="T37" s="249"/>
    </row>
    <row r="38" spans="1:20">
      <c r="A38" s="248">
        <v>1994</v>
      </c>
      <c r="B38" s="236">
        <v>3493.2</v>
      </c>
      <c r="C38" s="236" t="s">
        <v>9</v>
      </c>
      <c r="D38" s="236">
        <v>1.3</v>
      </c>
      <c r="E38" s="236">
        <v>9.1</v>
      </c>
      <c r="F38" s="236" t="s">
        <v>9</v>
      </c>
      <c r="G38" s="236">
        <v>4019.4</v>
      </c>
      <c r="H38" s="236" t="s">
        <v>9</v>
      </c>
      <c r="I38" s="236">
        <v>1.5</v>
      </c>
      <c r="J38" s="236">
        <v>9.8000000000000007</v>
      </c>
      <c r="K38" s="236" t="s">
        <v>9</v>
      </c>
      <c r="L38" s="236">
        <v>3689.2</v>
      </c>
      <c r="M38" s="236" t="s">
        <v>9</v>
      </c>
      <c r="N38" s="236">
        <v>1.3</v>
      </c>
      <c r="O38" s="236">
        <v>8.6999999999999993</v>
      </c>
      <c r="P38" s="236" t="s">
        <v>9</v>
      </c>
      <c r="Q38" s="249"/>
      <c r="R38" s="249"/>
      <c r="S38" s="249"/>
      <c r="T38" s="249"/>
    </row>
    <row r="39" spans="1:20">
      <c r="A39" s="248">
        <v>1995</v>
      </c>
      <c r="B39" s="236">
        <v>3763.3</v>
      </c>
      <c r="C39" s="236" t="s">
        <v>9</v>
      </c>
      <c r="D39" s="236">
        <v>1.8</v>
      </c>
      <c r="E39" s="236">
        <v>12</v>
      </c>
      <c r="F39" s="236" t="s">
        <v>9</v>
      </c>
      <c r="G39" s="236">
        <v>4257.5</v>
      </c>
      <c r="H39" s="236" t="s">
        <v>9</v>
      </c>
      <c r="I39" s="236">
        <v>1.9</v>
      </c>
      <c r="J39" s="236">
        <v>12.8</v>
      </c>
      <c r="K39" s="236" t="s">
        <v>9</v>
      </c>
      <c r="L39" s="236">
        <v>3956.8</v>
      </c>
      <c r="M39" s="236" t="s">
        <v>9</v>
      </c>
      <c r="N39" s="236">
        <v>1.8</v>
      </c>
      <c r="O39" s="236">
        <v>11.5</v>
      </c>
      <c r="P39" s="236" t="s">
        <v>9</v>
      </c>
      <c r="Q39" s="249"/>
      <c r="R39" s="249"/>
      <c r="S39" s="249"/>
      <c r="T39" s="249"/>
    </row>
    <row r="40" spans="1:20">
      <c r="A40" s="248">
        <v>1996</v>
      </c>
      <c r="B40" s="236">
        <v>4027.8</v>
      </c>
      <c r="C40" s="236" t="s">
        <v>9</v>
      </c>
      <c r="D40" s="236">
        <v>2.1</v>
      </c>
      <c r="E40" s="236">
        <v>15.1</v>
      </c>
      <c r="F40" s="236" t="s">
        <v>9</v>
      </c>
      <c r="G40" s="236">
        <v>4491.8999999999996</v>
      </c>
      <c r="H40" s="236" t="s">
        <v>9</v>
      </c>
      <c r="I40" s="236">
        <v>2.2999999999999998</v>
      </c>
      <c r="J40" s="236">
        <v>15.9</v>
      </c>
      <c r="K40" s="236" t="s">
        <v>9</v>
      </c>
      <c r="L40" s="236">
        <v>4223.3999999999996</v>
      </c>
      <c r="M40" s="236" t="s">
        <v>9</v>
      </c>
      <c r="N40" s="236">
        <v>2.1</v>
      </c>
      <c r="O40" s="236">
        <v>14.5</v>
      </c>
      <c r="P40" s="236" t="s">
        <v>9</v>
      </c>
      <c r="Q40" s="249"/>
      <c r="R40" s="249"/>
      <c r="S40" s="249"/>
      <c r="T40" s="249"/>
    </row>
    <row r="41" spans="1:20">
      <c r="A41" s="248">
        <v>1997</v>
      </c>
      <c r="B41" s="236">
        <v>4294.8</v>
      </c>
      <c r="C41" s="236" t="s">
        <v>9</v>
      </c>
      <c r="D41" s="236">
        <v>2.4</v>
      </c>
      <c r="E41" s="236">
        <v>18.399999999999999</v>
      </c>
      <c r="F41" s="236" t="s">
        <v>9</v>
      </c>
      <c r="G41" s="236">
        <v>4731.2</v>
      </c>
      <c r="H41" s="236" t="s">
        <v>9</v>
      </c>
      <c r="I41" s="236">
        <v>2.5</v>
      </c>
      <c r="J41" s="236">
        <v>19.2</v>
      </c>
      <c r="K41" s="236" t="s">
        <v>9</v>
      </c>
      <c r="L41" s="236">
        <v>4492</v>
      </c>
      <c r="M41" s="236" t="s">
        <v>9</v>
      </c>
      <c r="N41" s="236">
        <v>2.4</v>
      </c>
      <c r="O41" s="236">
        <v>17.7</v>
      </c>
      <c r="P41" s="236" t="s">
        <v>9</v>
      </c>
      <c r="Q41" s="249"/>
      <c r="R41" s="249"/>
      <c r="S41" s="249"/>
      <c r="T41" s="249"/>
    </row>
    <row r="42" spans="1:20">
      <c r="A42" s="248">
        <v>1998</v>
      </c>
      <c r="B42" s="236">
        <v>4507.3</v>
      </c>
      <c r="C42" s="236" t="s">
        <v>9</v>
      </c>
      <c r="D42" s="236">
        <v>2.6</v>
      </c>
      <c r="E42" s="236">
        <v>18.5</v>
      </c>
      <c r="F42" s="236" t="s">
        <v>9</v>
      </c>
      <c r="G42" s="236">
        <v>4945.3999999999996</v>
      </c>
      <c r="H42" s="236" t="s">
        <v>9</v>
      </c>
      <c r="I42" s="236">
        <v>2.8</v>
      </c>
      <c r="J42" s="236">
        <v>19.899999999999999</v>
      </c>
      <c r="K42" s="236" t="s">
        <v>9</v>
      </c>
      <c r="L42" s="236">
        <v>4742.1000000000004</v>
      </c>
      <c r="M42" s="236" t="s">
        <v>9</v>
      </c>
      <c r="N42" s="236">
        <v>2.7</v>
      </c>
      <c r="O42" s="236">
        <v>18</v>
      </c>
      <c r="P42" s="236" t="s">
        <v>9</v>
      </c>
      <c r="Q42" s="249"/>
      <c r="R42" s="249"/>
      <c r="S42" s="249"/>
      <c r="T42" s="249"/>
    </row>
    <row r="43" spans="1:20">
      <c r="A43" s="248">
        <v>1999</v>
      </c>
      <c r="B43" s="236">
        <v>4927.1000000000004</v>
      </c>
      <c r="C43" s="236" t="s">
        <v>9</v>
      </c>
      <c r="D43" s="236">
        <v>3.5</v>
      </c>
      <c r="E43" s="236">
        <v>19.600000000000001</v>
      </c>
      <c r="F43" s="236" t="s">
        <v>9</v>
      </c>
      <c r="G43" s="236">
        <v>5294.2</v>
      </c>
      <c r="H43" s="236" t="s">
        <v>9</v>
      </c>
      <c r="I43" s="236">
        <v>3.4</v>
      </c>
      <c r="J43" s="236">
        <v>21.2</v>
      </c>
      <c r="K43" s="236" t="s">
        <v>9</v>
      </c>
      <c r="L43" s="236">
        <v>5166.3999999999996</v>
      </c>
      <c r="M43" s="236" t="s">
        <v>9</v>
      </c>
      <c r="N43" s="236">
        <v>3.5</v>
      </c>
      <c r="O43" s="236">
        <v>19.100000000000001</v>
      </c>
      <c r="P43" s="236" t="s">
        <v>9</v>
      </c>
      <c r="Q43" s="249"/>
      <c r="R43" s="249"/>
      <c r="S43" s="249"/>
      <c r="T43" s="249"/>
    </row>
    <row r="44" spans="1:20">
      <c r="A44" s="248">
        <v>2000</v>
      </c>
      <c r="B44" s="236">
        <v>5547.9</v>
      </c>
      <c r="C44" s="236" t="s">
        <v>9</v>
      </c>
      <c r="D44" s="236" t="s">
        <v>9</v>
      </c>
      <c r="E44" s="236">
        <v>25.2</v>
      </c>
      <c r="F44" s="236" t="s">
        <v>9</v>
      </c>
      <c r="G44" s="236">
        <v>5765.2</v>
      </c>
      <c r="H44" s="236" t="s">
        <v>9</v>
      </c>
      <c r="I44" s="236" t="s">
        <v>9</v>
      </c>
      <c r="J44" s="236">
        <v>26</v>
      </c>
      <c r="K44" s="236" t="s">
        <v>9</v>
      </c>
      <c r="L44" s="236">
        <v>5684.1</v>
      </c>
      <c r="M44" s="236" t="s">
        <v>9</v>
      </c>
      <c r="N44" s="236" t="s">
        <v>9</v>
      </c>
      <c r="O44" s="236">
        <v>23.9</v>
      </c>
      <c r="P44" s="236" t="s">
        <v>9</v>
      </c>
      <c r="Q44" s="249"/>
      <c r="R44" s="249"/>
      <c r="S44" s="249"/>
      <c r="T44" s="249"/>
    </row>
    <row r="45" spans="1:20">
      <c r="A45" s="248">
        <v>2001</v>
      </c>
      <c r="B45" s="236">
        <v>6172.6</v>
      </c>
      <c r="C45" s="236" t="s">
        <v>9</v>
      </c>
      <c r="D45" s="236" t="s">
        <v>9</v>
      </c>
      <c r="E45" s="236">
        <v>31.1</v>
      </c>
      <c r="F45" s="236" t="s">
        <v>9</v>
      </c>
      <c r="G45" s="236">
        <v>6259.2</v>
      </c>
      <c r="H45" s="236" t="s">
        <v>9</v>
      </c>
      <c r="I45" s="236" t="s">
        <v>9</v>
      </c>
      <c r="J45" s="236">
        <v>29.9</v>
      </c>
      <c r="K45" s="236" t="s">
        <v>9</v>
      </c>
      <c r="L45" s="236">
        <v>6225.6</v>
      </c>
      <c r="M45" s="236" t="s">
        <v>9</v>
      </c>
      <c r="N45" s="236" t="s">
        <v>9</v>
      </c>
      <c r="O45" s="236">
        <v>29</v>
      </c>
      <c r="P45" s="236" t="s">
        <v>9</v>
      </c>
      <c r="Q45" s="249"/>
      <c r="R45" s="249"/>
      <c r="S45" s="249"/>
      <c r="T45" s="249"/>
    </row>
    <row r="46" spans="1:20">
      <c r="A46" s="248">
        <v>2002</v>
      </c>
      <c r="B46" s="236">
        <v>6734.6</v>
      </c>
      <c r="C46" s="236" t="s">
        <v>9</v>
      </c>
      <c r="D46" s="236" t="s">
        <v>9</v>
      </c>
      <c r="E46" s="236">
        <v>36.799999999999997</v>
      </c>
      <c r="F46" s="236" t="s">
        <v>9</v>
      </c>
      <c r="G46" s="236">
        <v>6760.4</v>
      </c>
      <c r="H46" s="236" t="s">
        <v>9</v>
      </c>
      <c r="I46" s="236" t="s">
        <v>9</v>
      </c>
      <c r="J46" s="236">
        <v>34.6</v>
      </c>
      <c r="K46" s="236" t="s">
        <v>9</v>
      </c>
      <c r="L46" s="236">
        <v>6743.1</v>
      </c>
      <c r="M46" s="236" t="s">
        <v>9</v>
      </c>
      <c r="N46" s="236" t="s">
        <v>9</v>
      </c>
      <c r="O46" s="236">
        <v>34.200000000000003</v>
      </c>
      <c r="P46" s="236" t="s">
        <v>9</v>
      </c>
      <c r="Q46" s="249"/>
      <c r="R46" s="249"/>
      <c r="S46" s="249"/>
      <c r="T46" s="249"/>
    </row>
    <row r="47" spans="1:20">
      <c r="A47" s="248">
        <v>2003</v>
      </c>
      <c r="B47" s="236">
        <v>7145.4</v>
      </c>
      <c r="C47" s="236" t="s">
        <v>9</v>
      </c>
      <c r="D47" s="236" t="s">
        <v>9</v>
      </c>
      <c r="E47" s="236">
        <v>40.5</v>
      </c>
      <c r="F47" s="236" t="s">
        <v>9</v>
      </c>
      <c r="G47" s="236">
        <v>7267.5</v>
      </c>
      <c r="H47" s="236" t="s">
        <v>9</v>
      </c>
      <c r="I47" s="236" t="s">
        <v>9</v>
      </c>
      <c r="J47" s="236">
        <v>39.9</v>
      </c>
      <c r="K47" s="236" t="s">
        <v>9</v>
      </c>
      <c r="L47" s="236">
        <v>7227</v>
      </c>
      <c r="M47" s="236" t="s">
        <v>9</v>
      </c>
      <c r="N47" s="236" t="s">
        <v>9</v>
      </c>
      <c r="O47" s="236">
        <v>38.6</v>
      </c>
      <c r="P47" s="236" t="s">
        <v>9</v>
      </c>
      <c r="Q47" s="249"/>
      <c r="R47" s="249"/>
      <c r="S47" s="249"/>
      <c r="T47" s="249"/>
    </row>
    <row r="48" spans="1:20">
      <c r="A48" s="248">
        <v>2004</v>
      </c>
      <c r="B48" s="236">
        <v>7651.3</v>
      </c>
      <c r="C48" s="236" t="s">
        <v>9</v>
      </c>
      <c r="D48" s="236" t="s">
        <v>9</v>
      </c>
      <c r="E48" s="236">
        <v>44.5</v>
      </c>
      <c r="F48" s="236" t="s">
        <v>9</v>
      </c>
      <c r="G48" s="236">
        <v>7775.9</v>
      </c>
      <c r="H48" s="236" t="s">
        <v>9</v>
      </c>
      <c r="I48" s="236" t="s">
        <v>9</v>
      </c>
      <c r="J48" s="236">
        <v>44</v>
      </c>
      <c r="K48" s="236" t="s">
        <v>9</v>
      </c>
      <c r="L48" s="236">
        <v>7737.3</v>
      </c>
      <c r="M48" s="236" t="s">
        <v>9</v>
      </c>
      <c r="N48" s="236" t="s">
        <v>9</v>
      </c>
      <c r="O48" s="236">
        <v>42.9</v>
      </c>
      <c r="P48" s="236" t="s">
        <v>9</v>
      </c>
      <c r="Q48" s="249"/>
      <c r="R48" s="249"/>
      <c r="S48" s="249"/>
      <c r="T48" s="249"/>
    </row>
    <row r="49" spans="1:20">
      <c r="A49" s="248">
        <v>2005</v>
      </c>
      <c r="B49" s="236">
        <v>8175.8</v>
      </c>
      <c r="C49" s="236" t="s">
        <v>9</v>
      </c>
      <c r="D49" s="236" t="s">
        <v>9</v>
      </c>
      <c r="E49" s="236">
        <v>50.9</v>
      </c>
      <c r="F49" s="236" t="s">
        <v>9</v>
      </c>
      <c r="G49" s="236">
        <v>8286.1</v>
      </c>
      <c r="H49" s="236" t="s">
        <v>9</v>
      </c>
      <c r="I49" s="236" t="s">
        <v>9</v>
      </c>
      <c r="J49" s="236">
        <v>49.9</v>
      </c>
      <c r="K49" s="236" t="s">
        <v>9</v>
      </c>
      <c r="L49" s="236">
        <v>8267.6</v>
      </c>
      <c r="M49" s="236" t="s">
        <v>9</v>
      </c>
      <c r="N49" s="236" t="s">
        <v>9</v>
      </c>
      <c r="O49" s="236">
        <v>49.6</v>
      </c>
      <c r="P49" s="236" t="s">
        <v>9</v>
      </c>
      <c r="Q49" s="249"/>
      <c r="R49" s="249"/>
      <c r="S49" s="249"/>
      <c r="T49" s="249"/>
    </row>
    <row r="50" spans="1:20">
      <c r="A50" s="248">
        <v>2006</v>
      </c>
      <c r="B50" s="236">
        <v>8663.6</v>
      </c>
      <c r="C50" s="236" t="s">
        <v>9</v>
      </c>
      <c r="D50" s="236" t="s">
        <v>9</v>
      </c>
      <c r="E50" s="236">
        <v>55.9</v>
      </c>
      <c r="F50" s="236" t="s">
        <v>9</v>
      </c>
      <c r="G50" s="236">
        <v>8772.4</v>
      </c>
      <c r="H50" s="236" t="s">
        <v>9</v>
      </c>
      <c r="I50" s="236" t="s">
        <v>9</v>
      </c>
      <c r="J50" s="236">
        <v>55.9</v>
      </c>
      <c r="K50" s="236" t="s">
        <v>9</v>
      </c>
      <c r="L50" s="236">
        <v>8769.9</v>
      </c>
      <c r="M50" s="236" t="s">
        <v>9</v>
      </c>
      <c r="N50" s="236" t="s">
        <v>9</v>
      </c>
      <c r="O50" s="236">
        <v>56</v>
      </c>
      <c r="P50" s="236" t="s">
        <v>9</v>
      </c>
      <c r="Q50" s="249"/>
      <c r="R50" s="249"/>
      <c r="S50" s="249"/>
      <c r="T50" s="249"/>
    </row>
    <row r="51" spans="1:20">
      <c r="A51" s="248">
        <v>2007</v>
      </c>
      <c r="B51" s="236">
        <v>9194.7000000000007</v>
      </c>
      <c r="C51" s="236" t="s">
        <v>9</v>
      </c>
      <c r="D51" s="236" t="s">
        <v>9</v>
      </c>
      <c r="E51" s="236">
        <v>59.5</v>
      </c>
      <c r="F51" s="236" t="s">
        <v>9</v>
      </c>
      <c r="G51" s="236">
        <v>9194.7000000000007</v>
      </c>
      <c r="H51" s="236" t="s">
        <v>9</v>
      </c>
      <c r="I51" s="236" t="s">
        <v>9</v>
      </c>
      <c r="J51" s="236">
        <v>59.5</v>
      </c>
      <c r="K51" s="236" t="s">
        <v>9</v>
      </c>
      <c r="L51" s="236">
        <v>9194.7000000000007</v>
      </c>
      <c r="M51" s="236" t="s">
        <v>9</v>
      </c>
      <c r="N51" s="236" t="s">
        <v>9</v>
      </c>
      <c r="O51" s="236">
        <v>59.5</v>
      </c>
      <c r="P51" s="236" t="s">
        <v>9</v>
      </c>
      <c r="Q51" s="249"/>
      <c r="R51" s="249"/>
      <c r="S51" s="249"/>
      <c r="T51" s="249"/>
    </row>
    <row r="52" spans="1:20">
      <c r="A52" s="248">
        <v>2008</v>
      </c>
      <c r="B52" s="236">
        <v>9760.5</v>
      </c>
      <c r="C52" s="236" t="s">
        <v>9</v>
      </c>
      <c r="D52" s="236" t="s">
        <v>9</v>
      </c>
      <c r="E52" s="236">
        <v>66.8</v>
      </c>
      <c r="F52" s="236" t="s">
        <v>9</v>
      </c>
      <c r="G52" s="236">
        <v>9595.2999999999993</v>
      </c>
      <c r="H52" s="236" t="s">
        <v>9</v>
      </c>
      <c r="I52" s="236" t="s">
        <v>9</v>
      </c>
      <c r="J52" s="236">
        <v>65.7</v>
      </c>
      <c r="K52" s="236" t="s">
        <v>9</v>
      </c>
      <c r="L52" s="236">
        <v>9596.2000000000007</v>
      </c>
      <c r="M52" s="236" t="s">
        <v>9</v>
      </c>
      <c r="N52" s="236" t="s">
        <v>9</v>
      </c>
      <c r="O52" s="236">
        <v>65.7</v>
      </c>
      <c r="P52" s="236" t="s">
        <v>9</v>
      </c>
      <c r="Q52" s="249"/>
      <c r="R52" s="249"/>
      <c r="S52" s="249"/>
      <c r="T52" s="249"/>
    </row>
    <row r="53" spans="1:20">
      <c r="A53" s="248">
        <v>2009</v>
      </c>
      <c r="B53" s="236">
        <v>10147.299999999999</v>
      </c>
      <c r="C53" s="236" t="s">
        <v>9</v>
      </c>
      <c r="D53" s="236" t="s">
        <v>9</v>
      </c>
      <c r="E53" s="236">
        <v>75</v>
      </c>
      <c r="F53" s="236" t="s">
        <v>9</v>
      </c>
      <c r="G53" s="236">
        <v>9797.2999999999993</v>
      </c>
      <c r="H53" s="236" t="s">
        <v>9</v>
      </c>
      <c r="I53" s="236" t="s">
        <v>9</v>
      </c>
      <c r="J53" s="236">
        <v>72.400000000000006</v>
      </c>
      <c r="K53" s="236" t="s">
        <v>9</v>
      </c>
      <c r="L53" s="236">
        <v>9799.9</v>
      </c>
      <c r="M53" s="236" t="s">
        <v>9</v>
      </c>
      <c r="N53" s="236" t="s">
        <v>9</v>
      </c>
      <c r="O53" s="236">
        <v>72.3</v>
      </c>
      <c r="P53" s="236" t="s">
        <v>9</v>
      </c>
      <c r="Q53" s="249"/>
      <c r="R53" s="249"/>
      <c r="S53" s="249"/>
      <c r="T53" s="249"/>
    </row>
    <row r="54" spans="1:20">
      <c r="A54" s="248">
        <v>2010</v>
      </c>
      <c r="B54" s="236">
        <v>10242.5</v>
      </c>
      <c r="C54" s="236" t="s">
        <v>9</v>
      </c>
      <c r="D54" s="236" t="s">
        <v>9</v>
      </c>
      <c r="E54" s="236">
        <v>76.3</v>
      </c>
      <c r="F54" s="236" t="s">
        <v>9</v>
      </c>
      <c r="G54" s="236">
        <v>9943</v>
      </c>
      <c r="H54" s="236" t="s">
        <v>9</v>
      </c>
      <c r="I54" s="236" t="s">
        <v>9</v>
      </c>
      <c r="J54" s="236">
        <v>74.7</v>
      </c>
      <c r="K54" s="236" t="s">
        <v>9</v>
      </c>
      <c r="L54" s="236">
        <v>9949.6</v>
      </c>
      <c r="M54" s="236" t="s">
        <v>9</v>
      </c>
      <c r="N54" s="236" t="s">
        <v>9</v>
      </c>
      <c r="O54" s="236">
        <v>74.5</v>
      </c>
      <c r="P54" s="236" t="s">
        <v>9</v>
      </c>
      <c r="Q54" s="249"/>
      <c r="R54" s="249"/>
      <c r="S54" s="249"/>
      <c r="T54" s="249"/>
    </row>
    <row r="55" spans="1:20">
      <c r="A55" s="248">
        <v>2011</v>
      </c>
      <c r="B55" s="236">
        <v>10558.3</v>
      </c>
      <c r="C55" s="236" t="s">
        <v>9</v>
      </c>
      <c r="D55" s="236" t="s">
        <v>9</v>
      </c>
      <c r="E55" s="236">
        <v>78.099999999999994</v>
      </c>
      <c r="F55" s="236" t="s">
        <v>9</v>
      </c>
      <c r="G55" s="236">
        <v>10246.6</v>
      </c>
      <c r="H55" s="236" t="s">
        <v>9</v>
      </c>
      <c r="I55" s="236" t="s">
        <v>9</v>
      </c>
      <c r="J55" s="236">
        <v>76.5</v>
      </c>
      <c r="K55" s="236" t="s">
        <v>9</v>
      </c>
      <c r="L55" s="236">
        <v>10253.5</v>
      </c>
      <c r="M55" s="236" t="s">
        <v>9</v>
      </c>
      <c r="N55" s="236" t="s">
        <v>9</v>
      </c>
      <c r="O55" s="236">
        <v>76.599999999999994</v>
      </c>
      <c r="P55" s="236" t="s">
        <v>9</v>
      </c>
      <c r="Q55" s="249"/>
      <c r="R55" s="249"/>
      <c r="S55" s="249"/>
      <c r="T55" s="249"/>
    </row>
    <row r="56" spans="1:20">
      <c r="A56" s="248">
        <v>2012</v>
      </c>
      <c r="B56" s="236">
        <v>10930.1</v>
      </c>
      <c r="C56" s="236" t="s">
        <v>9</v>
      </c>
      <c r="D56" s="236" t="s">
        <v>9</v>
      </c>
      <c r="E56" s="236">
        <v>80.400000000000006</v>
      </c>
      <c r="F56" s="236" t="s">
        <v>9</v>
      </c>
      <c r="G56" s="236">
        <v>10552</v>
      </c>
      <c r="H56" s="236" t="s">
        <v>9</v>
      </c>
      <c r="I56" s="236" t="s">
        <v>9</v>
      </c>
      <c r="J56" s="236">
        <v>78.099999999999994</v>
      </c>
      <c r="K56" s="236" t="s">
        <v>9</v>
      </c>
      <c r="L56" s="236">
        <v>10552.1</v>
      </c>
      <c r="M56" s="236" t="s">
        <v>9</v>
      </c>
      <c r="N56" s="236" t="s">
        <v>9</v>
      </c>
      <c r="O56" s="236">
        <v>78.5</v>
      </c>
      <c r="P56" s="236" t="s">
        <v>9</v>
      </c>
      <c r="Q56" s="249"/>
      <c r="R56" s="249"/>
      <c r="S56" s="249"/>
      <c r="T56" s="249"/>
    </row>
    <row r="57" spans="1:20">
      <c r="A57" s="248">
        <v>2013</v>
      </c>
      <c r="B57" s="236">
        <v>11243.1</v>
      </c>
      <c r="C57" s="236" t="s">
        <v>9</v>
      </c>
      <c r="D57" s="236" t="s">
        <v>9</v>
      </c>
      <c r="E57" s="236">
        <v>81.900000000000006</v>
      </c>
      <c r="F57" s="236" t="s">
        <v>9</v>
      </c>
      <c r="G57" s="236">
        <v>10783.2</v>
      </c>
      <c r="H57" s="236" t="s">
        <v>9</v>
      </c>
      <c r="I57" s="236" t="s">
        <v>9</v>
      </c>
      <c r="J57" s="236">
        <v>79.099999999999994</v>
      </c>
      <c r="K57" s="236" t="s">
        <v>9</v>
      </c>
      <c r="L57" s="236">
        <v>10777.4</v>
      </c>
      <c r="M57" s="236" t="s">
        <v>9</v>
      </c>
      <c r="N57" s="236" t="s">
        <v>9</v>
      </c>
      <c r="O57" s="236">
        <v>79.599999999999994</v>
      </c>
      <c r="P57" s="236" t="s">
        <v>9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" si="0">((B57/B28)^(1/29)-1)*100</f>
        <v>7.3999472233541974</v>
      </c>
      <c r="C60" s="7" t="s">
        <v>10</v>
      </c>
      <c r="D60" s="7" t="s">
        <v>10</v>
      </c>
      <c r="E60" s="11">
        <f t="shared" ref="E60:O60" si="1">((E57/E28)^(1/29)-1)*100</f>
        <v>11.484461365947052</v>
      </c>
      <c r="F60" s="7" t="s">
        <v>10</v>
      </c>
      <c r="G60" s="11">
        <f t="shared" si="1"/>
        <v>5.533600184216847</v>
      </c>
      <c r="H60" s="7" t="s">
        <v>10</v>
      </c>
      <c r="I60" s="7" t="s">
        <v>10</v>
      </c>
      <c r="J60" s="11">
        <f t="shared" si="1"/>
        <v>10.066332753721419</v>
      </c>
      <c r="K60" s="7" t="s">
        <v>10</v>
      </c>
      <c r="L60" s="11">
        <f t="shared" si="1"/>
        <v>6.4422805986968923</v>
      </c>
      <c r="M60" s="7" t="s">
        <v>10</v>
      </c>
      <c r="N60" s="7" t="s">
        <v>10</v>
      </c>
      <c r="O60" s="11">
        <f t="shared" si="1"/>
        <v>11.375010868938507</v>
      </c>
      <c r="P60" s="7" t="s">
        <v>10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" si="2">((B33/B28)^(1/5)-1)*100</f>
        <v>11.647119590937137</v>
      </c>
      <c r="C61" s="7" t="s">
        <v>10</v>
      </c>
      <c r="D61" s="11">
        <f t="shared" ref="D61:O61" si="3">((D33/D28)^(1/5)-1)*100</f>
        <v>9.8560543306117854</v>
      </c>
      <c r="E61" s="11">
        <f t="shared" si="3"/>
        <v>13.867910589603905</v>
      </c>
      <c r="F61" s="7" t="s">
        <v>10</v>
      </c>
      <c r="G61" s="11">
        <f t="shared" si="3"/>
        <v>6.2999837521378277</v>
      </c>
      <c r="H61" s="7" t="s">
        <v>10</v>
      </c>
      <c r="I61" s="11">
        <f t="shared" si="3"/>
        <v>8.4471771197698544</v>
      </c>
      <c r="J61" s="11">
        <f t="shared" si="3"/>
        <v>9.1750758822856326</v>
      </c>
      <c r="K61" s="7" t="s">
        <v>10</v>
      </c>
      <c r="L61" s="11">
        <f t="shared" si="3"/>
        <v>8.3748975549002846</v>
      </c>
      <c r="M61" s="7" t="s">
        <v>10</v>
      </c>
      <c r="N61" s="11">
        <f t="shared" si="3"/>
        <v>9.8560543306117854</v>
      </c>
      <c r="O61" s="11">
        <f t="shared" si="3"/>
        <v>11.751241888136343</v>
      </c>
      <c r="P61" s="7" t="s">
        <v>10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" si="4">((B44/B33)^(1/11)-1)*100</f>
        <v>7.6718270108599551</v>
      </c>
      <c r="C62" s="7" t="s">
        <v>10</v>
      </c>
      <c r="D62" s="7" t="s">
        <v>10</v>
      </c>
      <c r="E62" s="11">
        <f t="shared" ref="E62:O62" si="5">((E44/E33)^(1/11)-1)*100</f>
        <v>12.798244274341442</v>
      </c>
      <c r="F62" s="7" t="s">
        <v>10</v>
      </c>
      <c r="G62" s="11">
        <f t="shared" si="5"/>
        <v>5.8972740965346659</v>
      </c>
      <c r="H62" s="7" t="s">
        <v>10</v>
      </c>
      <c r="I62" s="7" t="s">
        <v>10</v>
      </c>
      <c r="J62" s="11">
        <f t="shared" si="5"/>
        <v>11.830425617221053</v>
      </c>
      <c r="K62" s="7" t="s">
        <v>10</v>
      </c>
      <c r="L62" s="11">
        <f t="shared" si="5"/>
        <v>7.237537690813256</v>
      </c>
      <c r="M62" s="7" t="s">
        <v>10</v>
      </c>
      <c r="N62" s="7" t="s">
        <v>10</v>
      </c>
      <c r="O62" s="11">
        <f t="shared" si="5"/>
        <v>13.217947843657996</v>
      </c>
      <c r="P62" s="7" t="s">
        <v>10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7.4840776997364689</v>
      </c>
      <c r="C63" s="7" t="s">
        <v>10</v>
      </c>
      <c r="D63" s="7" t="s">
        <v>10</v>
      </c>
      <c r="E63" s="11">
        <f t="shared" ref="E63:O63" si="6">((E51/E44)^(1/7)-1)*100</f>
        <v>13.058272799140003</v>
      </c>
      <c r="F63" s="7" t="s">
        <v>10</v>
      </c>
      <c r="G63" s="11">
        <f t="shared" si="6"/>
        <v>6.8957540402927009</v>
      </c>
      <c r="H63" s="7" t="s">
        <v>10</v>
      </c>
      <c r="I63" s="7" t="s">
        <v>10</v>
      </c>
      <c r="J63" s="11">
        <f t="shared" si="6"/>
        <v>12.554632411789912</v>
      </c>
      <c r="K63" s="7" t="s">
        <v>10</v>
      </c>
      <c r="L63" s="11">
        <f t="shared" si="6"/>
        <v>7.112315486977705</v>
      </c>
      <c r="M63" s="7" t="s">
        <v>10</v>
      </c>
      <c r="N63" s="7" t="s">
        <v>10</v>
      </c>
      <c r="O63" s="11">
        <f t="shared" si="6"/>
        <v>13.91697337922777</v>
      </c>
      <c r="P63" s="7" t="s">
        <v>10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3.4089396531168381</v>
      </c>
      <c r="C64" s="7" t="s">
        <v>10</v>
      </c>
      <c r="D64" s="7" t="s">
        <v>10</v>
      </c>
      <c r="E64" s="11">
        <f t="shared" ref="E64:O64" si="7">((E57/E51)^(1/6)-1)*100</f>
        <v>5.4697271934939229</v>
      </c>
      <c r="F64" s="7" t="s">
        <v>10</v>
      </c>
      <c r="G64" s="11">
        <f t="shared" si="7"/>
        <v>2.6916226006102661</v>
      </c>
      <c r="H64" s="7" t="s">
        <v>10</v>
      </c>
      <c r="I64" s="7" t="s">
        <v>10</v>
      </c>
      <c r="J64" s="11">
        <f t="shared" si="7"/>
        <v>4.8600159961190048</v>
      </c>
      <c r="K64" s="7" t="s">
        <v>10</v>
      </c>
      <c r="L64" s="11">
        <f t="shared" si="7"/>
        <v>2.682414682430978</v>
      </c>
      <c r="M64" s="7" t="s">
        <v>10</v>
      </c>
      <c r="N64" s="7" t="s">
        <v>10</v>
      </c>
      <c r="O64" s="11">
        <f t="shared" si="7"/>
        <v>4.9701981475259283</v>
      </c>
      <c r="P64" s="7" t="s">
        <v>10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" si="8">((B57/B44)^(1/13)-1)*100</f>
        <v>5.5836634871569979</v>
      </c>
      <c r="C65" s="7" t="s">
        <v>10</v>
      </c>
      <c r="D65" s="7" t="s">
        <v>10</v>
      </c>
      <c r="E65" s="11">
        <f t="shared" ref="E65:O65" si="9">((E57/E44)^(1/13)-1)*100</f>
        <v>9.490299351775322</v>
      </c>
      <c r="F65" s="7" t="s">
        <v>10</v>
      </c>
      <c r="G65" s="11">
        <f t="shared" si="9"/>
        <v>4.9344147792846016</v>
      </c>
      <c r="H65" s="7" t="s">
        <v>10</v>
      </c>
      <c r="I65" s="7" t="s">
        <v>10</v>
      </c>
      <c r="J65" s="11">
        <f t="shared" si="9"/>
        <v>8.935510249210953</v>
      </c>
      <c r="K65" s="7" t="s">
        <v>10</v>
      </c>
      <c r="L65" s="11">
        <f t="shared" si="9"/>
        <v>5.0444842823913705</v>
      </c>
      <c r="M65" s="7" t="s">
        <v>10</v>
      </c>
      <c r="N65" s="7" t="s">
        <v>10</v>
      </c>
      <c r="O65" s="11">
        <f t="shared" si="9"/>
        <v>9.6966776347854555</v>
      </c>
      <c r="P65" s="7" t="s">
        <v>10</v>
      </c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  <c r="B68" s="231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37" zoomScaleNormal="100" zoomScaleSheetLayoutView="100" workbookViewId="0">
      <selection activeCell="C24" sqref="C24"/>
    </sheetView>
  </sheetViews>
  <sheetFormatPr defaultRowHeight="15"/>
  <cols>
    <col min="1" max="11" width="9.140625" style="225"/>
    <col min="12" max="12" width="16.140625" style="225" customWidth="1"/>
    <col min="13" max="16384" width="9.140625" style="225"/>
  </cols>
  <sheetData>
    <row r="1" spans="1:20">
      <c r="A1" s="454" t="s">
        <v>301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249"/>
      <c r="R1" s="249"/>
      <c r="S1" s="249"/>
      <c r="T1" s="249"/>
    </row>
    <row r="2" spans="1:20" ht="15" customHeight="1">
      <c r="A2" s="248"/>
      <c r="B2" s="454" t="s">
        <v>226</v>
      </c>
      <c r="C2" s="454"/>
      <c r="D2" s="454"/>
      <c r="E2" s="454"/>
      <c r="F2" s="454"/>
      <c r="G2" s="454" t="s">
        <v>227</v>
      </c>
      <c r="H2" s="454"/>
      <c r="I2" s="454"/>
      <c r="J2" s="454"/>
      <c r="K2" s="454"/>
      <c r="L2" s="454" t="s">
        <v>34</v>
      </c>
      <c r="M2" s="454"/>
      <c r="N2" s="454"/>
      <c r="O2" s="454"/>
      <c r="P2" s="454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8" t="s">
        <v>2</v>
      </c>
      <c r="M3" s="248" t="s">
        <v>223</v>
      </c>
      <c r="N3" s="248" t="s">
        <v>20</v>
      </c>
      <c r="O3" s="248" t="s">
        <v>4</v>
      </c>
      <c r="P3" s="248" t="s">
        <v>17</v>
      </c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249"/>
      <c r="R4" s="249"/>
      <c r="S4" s="249"/>
      <c r="T4" s="249"/>
    </row>
    <row r="5" spans="1:20">
      <c r="A5" s="248">
        <v>1961</v>
      </c>
      <c r="B5" s="236">
        <v>24.5</v>
      </c>
      <c r="C5" s="236" t="s">
        <v>9</v>
      </c>
      <c r="D5" s="236" t="s">
        <v>9</v>
      </c>
      <c r="E5" s="236">
        <v>0</v>
      </c>
      <c r="F5" s="236">
        <v>0.1</v>
      </c>
      <c r="G5" s="236">
        <v>174.2</v>
      </c>
      <c r="H5" s="236" t="s">
        <v>9</v>
      </c>
      <c r="I5" s="236" t="s">
        <v>9</v>
      </c>
      <c r="J5" s="236">
        <v>0</v>
      </c>
      <c r="K5" s="236">
        <v>0.8</v>
      </c>
      <c r="L5" s="236">
        <v>112.1</v>
      </c>
      <c r="M5" s="236" t="s">
        <v>10</v>
      </c>
      <c r="N5" s="236" t="s">
        <v>10</v>
      </c>
      <c r="O5" s="236" t="s">
        <v>10</v>
      </c>
      <c r="P5" s="236">
        <v>0.4</v>
      </c>
      <c r="Q5" s="249"/>
      <c r="R5" s="249"/>
      <c r="S5" s="249"/>
      <c r="T5" s="249"/>
    </row>
    <row r="6" spans="1:20">
      <c r="A6" s="248">
        <v>1962</v>
      </c>
      <c r="B6" s="236">
        <v>64.5</v>
      </c>
      <c r="C6" s="236" t="s">
        <v>9</v>
      </c>
      <c r="D6" s="236" t="s">
        <v>9</v>
      </c>
      <c r="E6" s="236">
        <v>0</v>
      </c>
      <c r="F6" s="236">
        <v>0.3</v>
      </c>
      <c r="G6" s="236">
        <v>449.6</v>
      </c>
      <c r="H6" s="236" t="s">
        <v>9</v>
      </c>
      <c r="I6" s="236" t="s">
        <v>9</v>
      </c>
      <c r="J6" s="236">
        <v>0.1</v>
      </c>
      <c r="K6" s="236">
        <v>2.1</v>
      </c>
      <c r="L6" s="236">
        <v>291.39999999999998</v>
      </c>
      <c r="M6" s="236" t="s">
        <v>9</v>
      </c>
      <c r="N6" s="236" t="s">
        <v>9</v>
      </c>
      <c r="O6" s="236">
        <v>0</v>
      </c>
      <c r="P6" s="236">
        <v>1.1000000000000001</v>
      </c>
      <c r="Q6" s="249"/>
      <c r="R6" s="249"/>
      <c r="S6" s="249"/>
      <c r="T6" s="249"/>
    </row>
    <row r="7" spans="1:20">
      <c r="A7" s="248">
        <v>1963</v>
      </c>
      <c r="B7" s="236">
        <v>100.4</v>
      </c>
      <c r="C7" s="236" t="s">
        <v>9</v>
      </c>
      <c r="D7" s="236" t="s">
        <v>9</v>
      </c>
      <c r="E7" s="236">
        <v>0</v>
      </c>
      <c r="F7" s="236">
        <v>0.5</v>
      </c>
      <c r="G7" s="236">
        <v>684.5</v>
      </c>
      <c r="H7" s="236" t="s">
        <v>9</v>
      </c>
      <c r="I7" s="236" t="s">
        <v>9</v>
      </c>
      <c r="J7" s="236">
        <v>0.1</v>
      </c>
      <c r="K7" s="236">
        <v>3.3</v>
      </c>
      <c r="L7" s="236">
        <v>444.3</v>
      </c>
      <c r="M7" s="236" t="s">
        <v>9</v>
      </c>
      <c r="N7" s="236" t="s">
        <v>9</v>
      </c>
      <c r="O7" s="236">
        <v>0.1</v>
      </c>
      <c r="P7" s="236">
        <v>1.6</v>
      </c>
      <c r="Q7" s="249"/>
      <c r="R7" s="249"/>
      <c r="S7" s="249"/>
      <c r="T7" s="249"/>
    </row>
    <row r="8" spans="1:20">
      <c r="A8" s="248">
        <v>1964</v>
      </c>
      <c r="B8" s="236">
        <v>135.4</v>
      </c>
      <c r="C8" s="236" t="s">
        <v>9</v>
      </c>
      <c r="D8" s="236" t="s">
        <v>9</v>
      </c>
      <c r="E8" s="236">
        <v>0</v>
      </c>
      <c r="F8" s="236">
        <v>0.7</v>
      </c>
      <c r="G8" s="236">
        <v>892</v>
      </c>
      <c r="H8" s="236" t="s">
        <v>9</v>
      </c>
      <c r="I8" s="236" t="s">
        <v>9</v>
      </c>
      <c r="J8" s="236">
        <v>0.2</v>
      </c>
      <c r="K8" s="236">
        <v>4.2</v>
      </c>
      <c r="L8" s="236">
        <v>579.20000000000005</v>
      </c>
      <c r="M8" s="236" t="s">
        <v>9</v>
      </c>
      <c r="N8" s="236" t="s">
        <v>9</v>
      </c>
      <c r="O8" s="236">
        <v>0.1</v>
      </c>
      <c r="P8" s="236">
        <v>2.1</v>
      </c>
      <c r="Q8" s="249"/>
      <c r="R8" s="249"/>
      <c r="S8" s="249"/>
      <c r="T8" s="249"/>
    </row>
    <row r="9" spans="1:20">
      <c r="A9" s="248">
        <v>1965</v>
      </c>
      <c r="B9" s="236">
        <v>172.2</v>
      </c>
      <c r="C9" s="236" t="s">
        <v>9</v>
      </c>
      <c r="D9" s="236" t="s">
        <v>9</v>
      </c>
      <c r="E9" s="236">
        <v>0</v>
      </c>
      <c r="F9" s="236">
        <v>0.8</v>
      </c>
      <c r="G9" s="236">
        <v>1096.7</v>
      </c>
      <c r="H9" s="236" t="s">
        <v>9</v>
      </c>
      <c r="I9" s="236" t="s">
        <v>9</v>
      </c>
      <c r="J9" s="236">
        <v>0.2</v>
      </c>
      <c r="K9" s="236">
        <v>5.2</v>
      </c>
      <c r="L9" s="236">
        <v>712.2</v>
      </c>
      <c r="M9" s="236" t="s">
        <v>9</v>
      </c>
      <c r="N9" s="236" t="s">
        <v>9</v>
      </c>
      <c r="O9" s="236">
        <v>0.1</v>
      </c>
      <c r="P9" s="236">
        <v>2.5</v>
      </c>
      <c r="Q9" s="249"/>
      <c r="R9" s="249"/>
      <c r="S9" s="249"/>
      <c r="T9" s="249"/>
    </row>
    <row r="10" spans="1:20">
      <c r="A10" s="248">
        <v>1966</v>
      </c>
      <c r="B10" s="236">
        <v>213.2</v>
      </c>
      <c r="C10" s="236" t="s">
        <v>9</v>
      </c>
      <c r="D10" s="236" t="s">
        <v>9</v>
      </c>
      <c r="E10" s="236">
        <v>0</v>
      </c>
      <c r="F10" s="236">
        <v>1</v>
      </c>
      <c r="G10" s="236">
        <v>1299.7</v>
      </c>
      <c r="H10" s="236" t="s">
        <v>9</v>
      </c>
      <c r="I10" s="236" t="s">
        <v>9</v>
      </c>
      <c r="J10" s="236">
        <v>0.2</v>
      </c>
      <c r="K10" s="236">
        <v>6.1</v>
      </c>
      <c r="L10" s="236">
        <v>843.9</v>
      </c>
      <c r="M10" s="236" t="s">
        <v>9</v>
      </c>
      <c r="N10" s="236" t="s">
        <v>9</v>
      </c>
      <c r="O10" s="236">
        <v>0.1</v>
      </c>
      <c r="P10" s="236">
        <v>3</v>
      </c>
      <c r="Q10" s="249"/>
      <c r="R10" s="249"/>
      <c r="S10" s="249"/>
      <c r="T10" s="249"/>
    </row>
    <row r="11" spans="1:20">
      <c r="A11" s="248">
        <v>1967</v>
      </c>
      <c r="B11" s="236">
        <v>257.60000000000002</v>
      </c>
      <c r="C11" s="236" t="s">
        <v>9</v>
      </c>
      <c r="D11" s="236" t="s">
        <v>9</v>
      </c>
      <c r="E11" s="236">
        <v>0.1</v>
      </c>
      <c r="F11" s="236">
        <v>1.2</v>
      </c>
      <c r="G11" s="236">
        <v>1498.4</v>
      </c>
      <c r="H11" s="236" t="s">
        <v>9</v>
      </c>
      <c r="I11" s="236" t="s">
        <v>9</v>
      </c>
      <c r="J11" s="236">
        <v>0.3</v>
      </c>
      <c r="K11" s="236">
        <v>7.1</v>
      </c>
      <c r="L11" s="236">
        <v>972.9</v>
      </c>
      <c r="M11" s="236" t="s">
        <v>9</v>
      </c>
      <c r="N11" s="236" t="s">
        <v>9</v>
      </c>
      <c r="O11" s="236">
        <v>0.2</v>
      </c>
      <c r="P11" s="236">
        <v>3.4</v>
      </c>
      <c r="Q11" s="249"/>
      <c r="R11" s="249"/>
      <c r="S11" s="249"/>
      <c r="T11" s="249"/>
    </row>
    <row r="12" spans="1:20">
      <c r="A12" s="248">
        <v>1968</v>
      </c>
      <c r="B12" s="236">
        <v>301.5</v>
      </c>
      <c r="C12" s="236" t="s">
        <v>9</v>
      </c>
      <c r="D12" s="236" t="s">
        <v>9</v>
      </c>
      <c r="E12" s="236">
        <v>0.1</v>
      </c>
      <c r="F12" s="236">
        <v>1.4</v>
      </c>
      <c r="G12" s="236">
        <v>1686.8</v>
      </c>
      <c r="H12" s="236" t="s">
        <v>9</v>
      </c>
      <c r="I12" s="236" t="s">
        <v>9</v>
      </c>
      <c r="J12" s="236">
        <v>0.7</v>
      </c>
      <c r="K12" s="236">
        <v>7.7</v>
      </c>
      <c r="L12" s="236">
        <v>1095.0999999999999</v>
      </c>
      <c r="M12" s="236" t="s">
        <v>9</v>
      </c>
      <c r="N12" s="236" t="s">
        <v>9</v>
      </c>
      <c r="O12" s="236">
        <v>0.3</v>
      </c>
      <c r="P12" s="236">
        <v>3.8</v>
      </c>
      <c r="Q12" s="249"/>
      <c r="R12" s="249"/>
      <c r="S12" s="249"/>
      <c r="T12" s="249"/>
    </row>
    <row r="13" spans="1:20">
      <c r="A13" s="248">
        <v>1969</v>
      </c>
      <c r="B13" s="236">
        <v>347.9</v>
      </c>
      <c r="C13" s="236" t="s">
        <v>9</v>
      </c>
      <c r="D13" s="236" t="s">
        <v>9</v>
      </c>
      <c r="E13" s="236">
        <v>0.2</v>
      </c>
      <c r="F13" s="236">
        <v>1.6</v>
      </c>
      <c r="G13" s="236">
        <v>1852.8</v>
      </c>
      <c r="H13" s="236" t="s">
        <v>9</v>
      </c>
      <c r="I13" s="236" t="s">
        <v>9</v>
      </c>
      <c r="J13" s="236">
        <v>0.8</v>
      </c>
      <c r="K13" s="236">
        <v>8.1999999999999993</v>
      </c>
      <c r="L13" s="236">
        <v>1202.5999999999999</v>
      </c>
      <c r="M13" s="236" t="s">
        <v>9</v>
      </c>
      <c r="N13" s="236" t="s">
        <v>9</v>
      </c>
      <c r="O13" s="236">
        <v>0.4</v>
      </c>
      <c r="P13" s="236">
        <v>4</v>
      </c>
      <c r="Q13" s="249"/>
      <c r="R13" s="249"/>
      <c r="S13" s="249"/>
      <c r="T13" s="249"/>
    </row>
    <row r="14" spans="1:20">
      <c r="A14" s="248">
        <v>1970</v>
      </c>
      <c r="B14" s="236">
        <v>392.4</v>
      </c>
      <c r="C14" s="236" t="s">
        <v>9</v>
      </c>
      <c r="D14" s="236" t="s">
        <v>9</v>
      </c>
      <c r="E14" s="236">
        <v>0.2</v>
      </c>
      <c r="F14" s="236">
        <v>1.7</v>
      </c>
      <c r="G14" s="236">
        <v>2005.7</v>
      </c>
      <c r="H14" s="236" t="s">
        <v>9</v>
      </c>
      <c r="I14" s="236" t="s">
        <v>9</v>
      </c>
      <c r="J14" s="236">
        <v>1.1000000000000001</v>
      </c>
      <c r="K14" s="236">
        <v>8.6999999999999993</v>
      </c>
      <c r="L14" s="236">
        <v>1301.4000000000001</v>
      </c>
      <c r="M14" s="236" t="s">
        <v>9</v>
      </c>
      <c r="N14" s="236" t="s">
        <v>9</v>
      </c>
      <c r="O14" s="236">
        <v>0.5</v>
      </c>
      <c r="P14" s="236">
        <v>4.3</v>
      </c>
      <c r="Q14" s="249"/>
      <c r="R14" s="249"/>
      <c r="S14" s="249"/>
      <c r="T14" s="249"/>
    </row>
    <row r="15" spans="1:20">
      <c r="A15" s="248">
        <v>1971</v>
      </c>
      <c r="B15" s="236">
        <v>444</v>
      </c>
      <c r="C15" s="236" t="s">
        <v>9</v>
      </c>
      <c r="D15" s="236" t="s">
        <v>9</v>
      </c>
      <c r="E15" s="236">
        <v>0.3</v>
      </c>
      <c r="F15" s="236">
        <v>1.9</v>
      </c>
      <c r="G15" s="236">
        <v>2169</v>
      </c>
      <c r="H15" s="236" t="s">
        <v>9</v>
      </c>
      <c r="I15" s="236" t="s">
        <v>9</v>
      </c>
      <c r="J15" s="236">
        <v>1.5</v>
      </c>
      <c r="K15" s="236">
        <v>9</v>
      </c>
      <c r="L15" s="236">
        <v>1407</v>
      </c>
      <c r="M15" s="236" t="s">
        <v>9</v>
      </c>
      <c r="N15" s="236" t="s">
        <v>9</v>
      </c>
      <c r="O15" s="236">
        <v>0.7</v>
      </c>
      <c r="P15" s="236">
        <v>4.4000000000000004</v>
      </c>
      <c r="Q15" s="249"/>
      <c r="R15" s="249"/>
      <c r="S15" s="249"/>
      <c r="T15" s="249"/>
    </row>
    <row r="16" spans="1:20">
      <c r="A16" s="248">
        <v>1972</v>
      </c>
      <c r="B16" s="236">
        <v>502.7</v>
      </c>
      <c r="C16" s="236" t="s">
        <v>9</v>
      </c>
      <c r="D16" s="236" t="s">
        <v>9</v>
      </c>
      <c r="E16" s="236">
        <v>0.4</v>
      </c>
      <c r="F16" s="236">
        <v>1.9</v>
      </c>
      <c r="G16" s="236">
        <v>2320.6</v>
      </c>
      <c r="H16" s="236" t="s">
        <v>9</v>
      </c>
      <c r="I16" s="236" t="s">
        <v>9</v>
      </c>
      <c r="J16" s="236">
        <v>1.7</v>
      </c>
      <c r="K16" s="236">
        <v>8.9</v>
      </c>
      <c r="L16" s="236">
        <v>1505.3</v>
      </c>
      <c r="M16" s="236" t="s">
        <v>9</v>
      </c>
      <c r="N16" s="236" t="s">
        <v>9</v>
      </c>
      <c r="O16" s="236">
        <v>0.8</v>
      </c>
      <c r="P16" s="236">
        <v>4.3</v>
      </c>
      <c r="Q16" s="249"/>
      <c r="R16" s="249"/>
      <c r="S16" s="249"/>
      <c r="T16" s="249"/>
    </row>
    <row r="17" spans="1:20">
      <c r="A17" s="248">
        <v>1973</v>
      </c>
      <c r="B17" s="236">
        <v>576.6</v>
      </c>
      <c r="C17" s="236" t="s">
        <v>9</v>
      </c>
      <c r="D17" s="236" t="s">
        <v>9</v>
      </c>
      <c r="E17" s="236">
        <v>0.4</v>
      </c>
      <c r="F17" s="236">
        <v>2.1</v>
      </c>
      <c r="G17" s="236">
        <v>2426.9</v>
      </c>
      <c r="H17" s="236" t="s">
        <v>9</v>
      </c>
      <c r="I17" s="236" t="s">
        <v>9</v>
      </c>
      <c r="J17" s="236">
        <v>1.6</v>
      </c>
      <c r="K17" s="236">
        <v>8.8000000000000007</v>
      </c>
      <c r="L17" s="236">
        <v>1574.3</v>
      </c>
      <c r="M17" s="236" t="s">
        <v>9</v>
      </c>
      <c r="N17" s="236" t="s">
        <v>9</v>
      </c>
      <c r="O17" s="236">
        <v>0.8</v>
      </c>
      <c r="P17" s="236">
        <v>4.3</v>
      </c>
      <c r="Q17" s="249"/>
      <c r="R17" s="249"/>
      <c r="S17" s="249"/>
      <c r="T17" s="249"/>
    </row>
    <row r="18" spans="1:20">
      <c r="A18" s="248">
        <v>1974</v>
      </c>
      <c r="B18" s="236">
        <v>684.6</v>
      </c>
      <c r="C18" s="236" t="s">
        <v>9</v>
      </c>
      <c r="D18" s="236" t="s">
        <v>9</v>
      </c>
      <c r="E18" s="236">
        <v>0.4</v>
      </c>
      <c r="F18" s="236">
        <v>2.4</v>
      </c>
      <c r="G18" s="236">
        <v>2493.9</v>
      </c>
      <c r="H18" s="236" t="s">
        <v>9</v>
      </c>
      <c r="I18" s="236" t="s">
        <v>9</v>
      </c>
      <c r="J18" s="236">
        <v>1.6</v>
      </c>
      <c r="K18" s="236">
        <v>8.6999999999999993</v>
      </c>
      <c r="L18" s="236">
        <v>1617.8</v>
      </c>
      <c r="M18" s="236" t="s">
        <v>9</v>
      </c>
      <c r="N18" s="236" t="s">
        <v>9</v>
      </c>
      <c r="O18" s="236">
        <v>0.8</v>
      </c>
      <c r="P18" s="236">
        <v>4.2</v>
      </c>
      <c r="Q18" s="249"/>
      <c r="R18" s="249"/>
      <c r="S18" s="249"/>
      <c r="T18" s="249"/>
    </row>
    <row r="19" spans="1:20">
      <c r="A19" s="248">
        <v>1975</v>
      </c>
      <c r="B19" s="236">
        <v>772.7</v>
      </c>
      <c r="C19" s="236" t="s">
        <v>9</v>
      </c>
      <c r="D19" s="236" t="s">
        <v>9</v>
      </c>
      <c r="E19" s="236">
        <v>0.5</v>
      </c>
      <c r="F19" s="236">
        <v>2.7</v>
      </c>
      <c r="G19" s="236">
        <v>2542.5</v>
      </c>
      <c r="H19" s="236" t="s">
        <v>9</v>
      </c>
      <c r="I19" s="236" t="s">
        <v>9</v>
      </c>
      <c r="J19" s="236">
        <v>1.8</v>
      </c>
      <c r="K19" s="236">
        <v>8.6999999999999993</v>
      </c>
      <c r="L19" s="236">
        <v>1649.3</v>
      </c>
      <c r="M19" s="236" t="s">
        <v>9</v>
      </c>
      <c r="N19" s="236" t="s">
        <v>9</v>
      </c>
      <c r="O19" s="236">
        <v>0.9</v>
      </c>
      <c r="P19" s="236">
        <v>4.2</v>
      </c>
      <c r="Q19" s="249"/>
      <c r="R19" s="249"/>
      <c r="S19" s="249"/>
      <c r="T19" s="249"/>
    </row>
    <row r="20" spans="1:20">
      <c r="A20" s="248">
        <v>1976</v>
      </c>
      <c r="B20" s="236">
        <v>886.8</v>
      </c>
      <c r="C20" s="236" t="s">
        <v>9</v>
      </c>
      <c r="D20" s="236" t="s">
        <v>9</v>
      </c>
      <c r="E20" s="236">
        <v>0.8</v>
      </c>
      <c r="F20" s="236">
        <v>3.5</v>
      </c>
      <c r="G20" s="236">
        <v>2624</v>
      </c>
      <c r="H20" s="236" t="s">
        <v>9</v>
      </c>
      <c r="I20" s="236" t="s">
        <v>9</v>
      </c>
      <c r="J20" s="236">
        <v>2.2000000000000002</v>
      </c>
      <c r="K20" s="236">
        <v>9.6</v>
      </c>
      <c r="L20" s="236">
        <v>1707.2</v>
      </c>
      <c r="M20" s="236" t="s">
        <v>9</v>
      </c>
      <c r="N20" s="236" t="s">
        <v>9</v>
      </c>
      <c r="O20" s="236">
        <v>1.2</v>
      </c>
      <c r="P20" s="236">
        <v>5.0999999999999996</v>
      </c>
      <c r="Q20" s="249"/>
      <c r="R20" s="249"/>
      <c r="S20" s="249"/>
      <c r="T20" s="249"/>
    </row>
    <row r="21" spans="1:20">
      <c r="A21" s="248">
        <v>1977</v>
      </c>
      <c r="B21" s="236">
        <v>1012.9</v>
      </c>
      <c r="C21" s="236" t="s">
        <v>9</v>
      </c>
      <c r="D21" s="236" t="s">
        <v>9</v>
      </c>
      <c r="E21" s="236">
        <v>1</v>
      </c>
      <c r="F21" s="236">
        <v>4.5</v>
      </c>
      <c r="G21" s="236">
        <v>2746.5</v>
      </c>
      <c r="H21" s="236" t="s">
        <v>9</v>
      </c>
      <c r="I21" s="236" t="s">
        <v>9</v>
      </c>
      <c r="J21" s="236">
        <v>2.6</v>
      </c>
      <c r="K21" s="236">
        <v>10.7</v>
      </c>
      <c r="L21" s="236">
        <v>1831</v>
      </c>
      <c r="M21" s="236" t="s">
        <v>9</v>
      </c>
      <c r="N21" s="236" t="s">
        <v>9</v>
      </c>
      <c r="O21" s="236">
        <v>1.4</v>
      </c>
      <c r="P21" s="236">
        <v>6.3</v>
      </c>
      <c r="Q21" s="249"/>
      <c r="R21" s="249"/>
      <c r="S21" s="249"/>
      <c r="T21" s="249"/>
    </row>
    <row r="22" spans="1:20">
      <c r="A22" s="248">
        <v>1978</v>
      </c>
      <c r="B22" s="236">
        <v>1148.7</v>
      </c>
      <c r="C22" s="236" t="s">
        <v>9</v>
      </c>
      <c r="D22" s="236" t="s">
        <v>9</v>
      </c>
      <c r="E22" s="236">
        <v>1.1000000000000001</v>
      </c>
      <c r="F22" s="236">
        <v>5.0999999999999996</v>
      </c>
      <c r="G22" s="236">
        <v>2878.8</v>
      </c>
      <c r="H22" s="236" t="s">
        <v>9</v>
      </c>
      <c r="I22" s="236" t="s">
        <v>9</v>
      </c>
      <c r="J22" s="236">
        <v>2.5</v>
      </c>
      <c r="K22" s="236">
        <v>11.1</v>
      </c>
      <c r="L22" s="236">
        <v>1956.9</v>
      </c>
      <c r="M22" s="236" t="s">
        <v>9</v>
      </c>
      <c r="N22" s="236" t="s">
        <v>9</v>
      </c>
      <c r="O22" s="236">
        <v>1.4</v>
      </c>
      <c r="P22" s="236">
        <v>6.8</v>
      </c>
      <c r="Q22" s="249"/>
      <c r="R22" s="249"/>
      <c r="S22" s="249"/>
      <c r="T22" s="249"/>
    </row>
    <row r="23" spans="1:20">
      <c r="A23" s="248">
        <v>1979</v>
      </c>
      <c r="B23" s="236">
        <v>1326.6</v>
      </c>
      <c r="C23" s="236" t="s">
        <v>9</v>
      </c>
      <c r="D23" s="236" t="s">
        <v>9</v>
      </c>
      <c r="E23" s="236">
        <v>1.2</v>
      </c>
      <c r="F23" s="236">
        <v>5.8</v>
      </c>
      <c r="G23" s="236">
        <v>3004.1</v>
      </c>
      <c r="H23" s="236" t="s">
        <v>9</v>
      </c>
      <c r="I23" s="236" t="s">
        <v>9</v>
      </c>
      <c r="J23" s="236">
        <v>2.4</v>
      </c>
      <c r="K23" s="236">
        <v>11.5</v>
      </c>
      <c r="L23" s="236">
        <v>2073.1</v>
      </c>
      <c r="M23" s="236" t="s">
        <v>9</v>
      </c>
      <c r="N23" s="236" t="s">
        <v>9</v>
      </c>
      <c r="O23" s="236">
        <v>1.4</v>
      </c>
      <c r="P23" s="236">
        <v>7.2</v>
      </c>
      <c r="Q23" s="249"/>
      <c r="R23" s="249"/>
      <c r="S23" s="249"/>
      <c r="T23" s="249"/>
    </row>
    <row r="24" spans="1:20">
      <c r="A24" s="248">
        <v>1980</v>
      </c>
      <c r="B24" s="236">
        <v>1526.8</v>
      </c>
      <c r="C24" s="236" t="s">
        <v>9</v>
      </c>
      <c r="D24" s="236" t="s">
        <v>9</v>
      </c>
      <c r="E24" s="236">
        <v>1.5</v>
      </c>
      <c r="F24" s="236">
        <v>6.9</v>
      </c>
      <c r="G24" s="236">
        <v>3134.9</v>
      </c>
      <c r="H24" s="236" t="s">
        <v>9</v>
      </c>
      <c r="I24" s="236" t="s">
        <v>9</v>
      </c>
      <c r="J24" s="236">
        <v>2.7</v>
      </c>
      <c r="K24" s="236">
        <v>12.6</v>
      </c>
      <c r="L24" s="236">
        <v>2192.6</v>
      </c>
      <c r="M24" s="236" t="s">
        <v>9</v>
      </c>
      <c r="N24" s="236" t="s">
        <v>9</v>
      </c>
      <c r="O24" s="236">
        <v>1.7</v>
      </c>
      <c r="P24" s="236">
        <v>8.1</v>
      </c>
      <c r="Q24" s="249"/>
      <c r="R24" s="249"/>
      <c r="S24" s="249"/>
      <c r="T24" s="249"/>
    </row>
    <row r="25" spans="1:20">
      <c r="A25" s="248">
        <v>1981</v>
      </c>
      <c r="B25" s="236">
        <v>1704.5</v>
      </c>
      <c r="C25" s="236" t="s">
        <v>9</v>
      </c>
      <c r="D25" s="236" t="s">
        <v>9</v>
      </c>
      <c r="E25" s="236">
        <v>1.8</v>
      </c>
      <c r="F25" s="236">
        <v>8.5</v>
      </c>
      <c r="G25" s="236">
        <v>3328.5</v>
      </c>
      <c r="H25" s="236" t="s">
        <v>9</v>
      </c>
      <c r="I25" s="236" t="s">
        <v>9</v>
      </c>
      <c r="J25" s="236">
        <v>3.2</v>
      </c>
      <c r="K25" s="236">
        <v>14.5</v>
      </c>
      <c r="L25" s="236">
        <v>2362.4</v>
      </c>
      <c r="M25" s="236" t="s">
        <v>9</v>
      </c>
      <c r="N25" s="236" t="s">
        <v>9</v>
      </c>
      <c r="O25" s="236">
        <v>2</v>
      </c>
      <c r="P25" s="236">
        <v>9.6999999999999993</v>
      </c>
      <c r="Q25" s="249"/>
      <c r="R25" s="249"/>
      <c r="S25" s="249"/>
      <c r="T25" s="249"/>
    </row>
    <row r="26" spans="1:20">
      <c r="A26" s="248">
        <v>1982</v>
      </c>
      <c r="B26" s="236">
        <v>2010.7</v>
      </c>
      <c r="C26" s="236" t="s">
        <v>9</v>
      </c>
      <c r="D26" s="236" t="s">
        <v>9</v>
      </c>
      <c r="E26" s="236">
        <v>2.1</v>
      </c>
      <c r="F26" s="236">
        <v>11.2</v>
      </c>
      <c r="G26" s="236">
        <v>3563</v>
      </c>
      <c r="H26" s="236" t="s">
        <v>9</v>
      </c>
      <c r="I26" s="236" t="s">
        <v>9</v>
      </c>
      <c r="J26" s="236">
        <v>3.4</v>
      </c>
      <c r="K26" s="236">
        <v>16.7</v>
      </c>
      <c r="L26" s="236">
        <v>2573.1</v>
      </c>
      <c r="M26" s="236" t="s">
        <v>9</v>
      </c>
      <c r="N26" s="236" t="s">
        <v>9</v>
      </c>
      <c r="O26" s="236">
        <v>2.2000000000000002</v>
      </c>
      <c r="P26" s="236">
        <v>11.8</v>
      </c>
      <c r="Q26" s="249"/>
      <c r="R26" s="249"/>
      <c r="S26" s="249"/>
      <c r="T26" s="249"/>
    </row>
    <row r="27" spans="1:20">
      <c r="A27" s="248">
        <v>1983</v>
      </c>
      <c r="B27" s="236">
        <v>2278.3000000000002</v>
      </c>
      <c r="C27" s="236" t="s">
        <v>9</v>
      </c>
      <c r="D27" s="236" t="s">
        <v>9</v>
      </c>
      <c r="E27" s="236">
        <v>2.2999999999999998</v>
      </c>
      <c r="F27" s="236">
        <v>12.7</v>
      </c>
      <c r="G27" s="236">
        <v>3757.2</v>
      </c>
      <c r="H27" s="236" t="s">
        <v>9</v>
      </c>
      <c r="I27" s="236" t="s">
        <v>9</v>
      </c>
      <c r="J27" s="236">
        <v>3.4</v>
      </c>
      <c r="K27" s="236">
        <v>17.8</v>
      </c>
      <c r="L27" s="236">
        <v>2766.1</v>
      </c>
      <c r="M27" s="236" t="s">
        <v>9</v>
      </c>
      <c r="N27" s="236" t="s">
        <v>9</v>
      </c>
      <c r="O27" s="236">
        <v>2.2999999999999998</v>
      </c>
      <c r="P27" s="236">
        <v>12.9</v>
      </c>
      <c r="Q27" s="249"/>
      <c r="R27" s="249"/>
      <c r="S27" s="249"/>
      <c r="T27" s="249"/>
    </row>
    <row r="28" spans="1:20">
      <c r="A28" s="248">
        <v>1984</v>
      </c>
      <c r="B28" s="236">
        <v>2510.4</v>
      </c>
      <c r="C28" s="236" t="s">
        <v>9</v>
      </c>
      <c r="D28" s="236" t="s">
        <v>9</v>
      </c>
      <c r="E28" s="236">
        <v>2.5</v>
      </c>
      <c r="F28" s="236">
        <v>13.5</v>
      </c>
      <c r="G28" s="236">
        <v>3947.6</v>
      </c>
      <c r="H28" s="236" t="s">
        <v>9</v>
      </c>
      <c r="I28" s="236" t="s">
        <v>9</v>
      </c>
      <c r="J28" s="236">
        <v>3.5</v>
      </c>
      <c r="K28" s="236">
        <v>18.3</v>
      </c>
      <c r="L28" s="236">
        <v>2966.4</v>
      </c>
      <c r="M28" s="236" t="s">
        <v>9</v>
      </c>
      <c r="N28" s="236" t="s">
        <v>9</v>
      </c>
      <c r="O28" s="236">
        <v>2.5</v>
      </c>
      <c r="P28" s="236">
        <v>13.5</v>
      </c>
      <c r="Q28" s="249"/>
      <c r="R28" s="249"/>
      <c r="S28" s="249"/>
      <c r="T28" s="249"/>
    </row>
    <row r="29" spans="1:20">
      <c r="A29" s="248">
        <v>1985</v>
      </c>
      <c r="B29" s="236">
        <v>2817</v>
      </c>
      <c r="C29" s="236" t="s">
        <v>9</v>
      </c>
      <c r="D29" s="236" t="s">
        <v>9</v>
      </c>
      <c r="E29" s="236">
        <v>2.8</v>
      </c>
      <c r="F29" s="236">
        <v>15.2</v>
      </c>
      <c r="G29" s="236">
        <v>4171</v>
      </c>
      <c r="H29" s="236" t="s">
        <v>9</v>
      </c>
      <c r="I29" s="236" t="s">
        <v>9</v>
      </c>
      <c r="J29" s="236">
        <v>3.6</v>
      </c>
      <c r="K29" s="236">
        <v>19.5</v>
      </c>
      <c r="L29" s="236">
        <v>3198.4</v>
      </c>
      <c r="M29" s="236" t="s">
        <v>9</v>
      </c>
      <c r="N29" s="236" t="s">
        <v>9</v>
      </c>
      <c r="O29" s="236">
        <v>2.6</v>
      </c>
      <c r="P29" s="236">
        <v>14.6</v>
      </c>
      <c r="Q29" s="249"/>
      <c r="R29" s="249"/>
      <c r="S29" s="249"/>
      <c r="T29" s="249"/>
    </row>
    <row r="30" spans="1:20">
      <c r="A30" s="248">
        <v>1986</v>
      </c>
      <c r="B30" s="236">
        <v>3145</v>
      </c>
      <c r="C30" s="236" t="s">
        <v>9</v>
      </c>
      <c r="D30" s="236" t="s">
        <v>9</v>
      </c>
      <c r="E30" s="236">
        <v>3</v>
      </c>
      <c r="F30" s="236">
        <v>16.399999999999999</v>
      </c>
      <c r="G30" s="236">
        <v>4404.3</v>
      </c>
      <c r="H30" s="236" t="s">
        <v>9</v>
      </c>
      <c r="I30" s="236" t="s">
        <v>9</v>
      </c>
      <c r="J30" s="236">
        <v>3.8</v>
      </c>
      <c r="K30" s="236">
        <v>20.399999999999999</v>
      </c>
      <c r="L30" s="236">
        <v>3455.3</v>
      </c>
      <c r="M30" s="236" t="s">
        <v>9</v>
      </c>
      <c r="N30" s="236" t="s">
        <v>9</v>
      </c>
      <c r="O30" s="236">
        <v>2.8</v>
      </c>
      <c r="P30" s="236">
        <v>15.6</v>
      </c>
      <c r="Q30" s="249"/>
      <c r="R30" s="249"/>
      <c r="S30" s="249"/>
      <c r="T30" s="249"/>
    </row>
    <row r="31" spans="1:20">
      <c r="A31" s="248">
        <v>1987</v>
      </c>
      <c r="B31" s="236">
        <v>3504.3</v>
      </c>
      <c r="C31" s="236" t="s">
        <v>9</v>
      </c>
      <c r="D31" s="236" t="s">
        <v>9</v>
      </c>
      <c r="E31" s="236">
        <v>3.5</v>
      </c>
      <c r="F31" s="236">
        <v>17.7</v>
      </c>
      <c r="G31" s="236">
        <v>4634</v>
      </c>
      <c r="H31" s="236" t="s">
        <v>9</v>
      </c>
      <c r="I31" s="236" t="s">
        <v>9</v>
      </c>
      <c r="J31" s="236">
        <v>4.3</v>
      </c>
      <c r="K31" s="236">
        <v>21.2</v>
      </c>
      <c r="L31" s="236">
        <v>3718.7</v>
      </c>
      <c r="M31" s="236" t="s">
        <v>9</v>
      </c>
      <c r="N31" s="236" t="s">
        <v>9</v>
      </c>
      <c r="O31" s="236">
        <v>3.2</v>
      </c>
      <c r="P31" s="236">
        <v>16.5</v>
      </c>
      <c r="Q31" s="249"/>
      <c r="R31" s="249"/>
      <c r="S31" s="249"/>
      <c r="T31" s="249"/>
    </row>
    <row r="32" spans="1:20">
      <c r="A32" s="248">
        <v>1988</v>
      </c>
      <c r="B32" s="236">
        <v>3903</v>
      </c>
      <c r="C32" s="236" t="s">
        <v>9</v>
      </c>
      <c r="D32" s="236" t="s">
        <v>9</v>
      </c>
      <c r="E32" s="236">
        <v>4.5</v>
      </c>
      <c r="F32" s="236">
        <v>20</v>
      </c>
      <c r="G32" s="236">
        <v>4909.3</v>
      </c>
      <c r="H32" s="236" t="s">
        <v>9</v>
      </c>
      <c r="I32" s="236" t="s">
        <v>9</v>
      </c>
      <c r="J32" s="236">
        <v>5.2</v>
      </c>
      <c r="K32" s="236">
        <v>22.9</v>
      </c>
      <c r="L32" s="236">
        <v>4023.4</v>
      </c>
      <c r="M32" s="236" t="s">
        <v>9</v>
      </c>
      <c r="N32" s="236" t="s">
        <v>9</v>
      </c>
      <c r="O32" s="236">
        <v>4</v>
      </c>
      <c r="P32" s="236">
        <v>18.5</v>
      </c>
      <c r="Q32" s="249"/>
      <c r="R32" s="249"/>
      <c r="S32" s="249"/>
      <c r="T32" s="249"/>
    </row>
    <row r="33" spans="1:20">
      <c r="A33" s="248">
        <v>1989</v>
      </c>
      <c r="B33" s="236">
        <v>4321.3999999999996</v>
      </c>
      <c r="C33" s="236" t="s">
        <v>9</v>
      </c>
      <c r="D33" s="236" t="s">
        <v>9</v>
      </c>
      <c r="E33" s="236">
        <v>5.0999999999999996</v>
      </c>
      <c r="F33" s="236">
        <v>24.3</v>
      </c>
      <c r="G33" s="236">
        <v>5215.8999999999996</v>
      </c>
      <c r="H33" s="236" t="s">
        <v>9</v>
      </c>
      <c r="I33" s="236" t="s">
        <v>9</v>
      </c>
      <c r="J33" s="236">
        <v>5.7</v>
      </c>
      <c r="K33" s="236">
        <v>26.7</v>
      </c>
      <c r="L33" s="236">
        <v>4377.7</v>
      </c>
      <c r="M33" s="236" t="s">
        <v>9</v>
      </c>
      <c r="N33" s="236" t="s">
        <v>9</v>
      </c>
      <c r="O33" s="236">
        <v>4.5999999999999996</v>
      </c>
      <c r="P33" s="236">
        <v>22.5</v>
      </c>
      <c r="Q33" s="249"/>
      <c r="R33" s="249"/>
      <c r="S33" s="249"/>
      <c r="T33" s="249"/>
    </row>
    <row r="34" spans="1:20">
      <c r="A34" s="248">
        <v>1990</v>
      </c>
      <c r="B34" s="236">
        <v>4726.8</v>
      </c>
      <c r="C34" s="236" t="s">
        <v>9</v>
      </c>
      <c r="D34" s="236" t="s">
        <v>9</v>
      </c>
      <c r="E34" s="236">
        <v>4.8</v>
      </c>
      <c r="F34" s="236">
        <v>28.6</v>
      </c>
      <c r="G34" s="236">
        <v>5538.8</v>
      </c>
      <c r="H34" s="236" t="s">
        <v>9</v>
      </c>
      <c r="I34" s="236" t="s">
        <v>9</v>
      </c>
      <c r="J34" s="236">
        <v>5.4</v>
      </c>
      <c r="K34" s="236">
        <v>30.6</v>
      </c>
      <c r="L34" s="236">
        <v>4750.1000000000004</v>
      </c>
      <c r="M34" s="236" t="s">
        <v>9</v>
      </c>
      <c r="N34" s="236" t="s">
        <v>9</v>
      </c>
      <c r="O34" s="236">
        <v>4.3</v>
      </c>
      <c r="P34" s="236">
        <v>26.7</v>
      </c>
      <c r="Q34" s="249"/>
      <c r="R34" s="249"/>
      <c r="S34" s="249"/>
      <c r="T34" s="249"/>
    </row>
    <row r="35" spans="1:20">
      <c r="A35" s="248">
        <v>1991</v>
      </c>
      <c r="B35" s="236">
        <v>5172.6000000000004</v>
      </c>
      <c r="C35" s="236" t="s">
        <v>9</v>
      </c>
      <c r="D35" s="236" t="s">
        <v>9</v>
      </c>
      <c r="E35" s="236">
        <v>4.4000000000000004</v>
      </c>
      <c r="F35" s="236">
        <v>30.6</v>
      </c>
      <c r="G35" s="236">
        <v>5879.3</v>
      </c>
      <c r="H35" s="236" t="s">
        <v>9</v>
      </c>
      <c r="I35" s="236" t="s">
        <v>9</v>
      </c>
      <c r="J35" s="236">
        <v>5</v>
      </c>
      <c r="K35" s="236">
        <v>32.6</v>
      </c>
      <c r="L35" s="236">
        <v>5111.2</v>
      </c>
      <c r="M35" s="236" t="s">
        <v>9</v>
      </c>
      <c r="N35" s="236" t="s">
        <v>9</v>
      </c>
      <c r="O35" s="236">
        <v>4</v>
      </c>
      <c r="P35" s="236">
        <v>28.7</v>
      </c>
      <c r="Q35" s="249"/>
      <c r="R35" s="249"/>
      <c r="S35" s="249"/>
      <c r="T35" s="249"/>
    </row>
    <row r="36" spans="1:20">
      <c r="A36" s="248">
        <v>1992</v>
      </c>
      <c r="B36" s="236">
        <v>5365.6</v>
      </c>
      <c r="C36" s="236" t="s">
        <v>9</v>
      </c>
      <c r="D36" s="236" t="s">
        <v>9</v>
      </c>
      <c r="E36" s="236">
        <v>4.4000000000000004</v>
      </c>
      <c r="F36" s="236">
        <v>30.8</v>
      </c>
      <c r="G36" s="236">
        <v>6196.1</v>
      </c>
      <c r="H36" s="236" t="s">
        <v>9</v>
      </c>
      <c r="I36" s="236" t="s">
        <v>9</v>
      </c>
      <c r="J36" s="236">
        <v>5.0999999999999996</v>
      </c>
      <c r="K36" s="236">
        <v>33.9</v>
      </c>
      <c r="L36" s="236">
        <v>5450.6</v>
      </c>
      <c r="M36" s="236" t="s">
        <v>9</v>
      </c>
      <c r="N36" s="236" t="s">
        <v>9</v>
      </c>
      <c r="O36" s="236">
        <v>4.0999999999999996</v>
      </c>
      <c r="P36" s="236">
        <v>30.2</v>
      </c>
      <c r="Q36" s="249"/>
      <c r="R36" s="249"/>
      <c r="S36" s="249"/>
      <c r="T36" s="249"/>
    </row>
    <row r="37" spans="1:20">
      <c r="A37" s="248">
        <v>1993</v>
      </c>
      <c r="B37" s="236">
        <v>5781.9</v>
      </c>
      <c r="C37" s="236" t="s">
        <v>9</v>
      </c>
      <c r="D37" s="236" t="s">
        <v>9</v>
      </c>
      <c r="E37" s="236">
        <v>5.0999999999999996</v>
      </c>
      <c r="F37" s="236">
        <v>32.200000000000003</v>
      </c>
      <c r="G37" s="236">
        <v>6545.8</v>
      </c>
      <c r="H37" s="236" t="s">
        <v>9</v>
      </c>
      <c r="I37" s="236" t="s">
        <v>9</v>
      </c>
      <c r="J37" s="236">
        <v>5.7</v>
      </c>
      <c r="K37" s="236">
        <v>34.799999999999997</v>
      </c>
      <c r="L37" s="236">
        <v>5851.6</v>
      </c>
      <c r="M37" s="236" t="s">
        <v>9</v>
      </c>
      <c r="N37" s="236" t="s">
        <v>9</v>
      </c>
      <c r="O37" s="236">
        <v>4.7</v>
      </c>
      <c r="P37" s="236">
        <v>31.6</v>
      </c>
      <c r="Q37" s="249"/>
      <c r="R37" s="249"/>
      <c r="S37" s="249"/>
      <c r="T37" s="249"/>
    </row>
    <row r="38" spans="1:20">
      <c r="A38" s="248">
        <v>1994</v>
      </c>
      <c r="B38" s="236">
        <v>6259.6</v>
      </c>
      <c r="C38" s="236" t="s">
        <v>9</v>
      </c>
      <c r="D38" s="236" t="s">
        <v>9</v>
      </c>
      <c r="E38" s="236">
        <v>6.5</v>
      </c>
      <c r="F38" s="236">
        <v>32</v>
      </c>
      <c r="G38" s="236">
        <v>6991.5</v>
      </c>
      <c r="H38" s="236" t="s">
        <v>9</v>
      </c>
      <c r="I38" s="236" t="s">
        <v>9</v>
      </c>
      <c r="J38" s="236">
        <v>7.2</v>
      </c>
      <c r="K38" s="236">
        <v>34.299999999999997</v>
      </c>
      <c r="L38" s="236">
        <v>6362</v>
      </c>
      <c r="M38" s="236" t="s">
        <v>9</v>
      </c>
      <c r="N38" s="236" t="s">
        <v>9</v>
      </c>
      <c r="O38" s="236">
        <v>6</v>
      </c>
      <c r="P38" s="236">
        <v>31.6</v>
      </c>
      <c r="Q38" s="249"/>
      <c r="R38" s="249"/>
      <c r="S38" s="249"/>
      <c r="T38" s="249"/>
    </row>
    <row r="39" spans="1:20">
      <c r="A39" s="248">
        <v>1995</v>
      </c>
      <c r="B39" s="236">
        <v>6772.8</v>
      </c>
      <c r="C39" s="236" t="s">
        <v>9</v>
      </c>
      <c r="D39" s="236" t="s">
        <v>9</v>
      </c>
      <c r="E39" s="236">
        <v>8.9</v>
      </c>
      <c r="F39" s="236">
        <v>37</v>
      </c>
      <c r="G39" s="236">
        <v>7452.2</v>
      </c>
      <c r="H39" s="236" t="s">
        <v>9</v>
      </c>
      <c r="I39" s="236" t="s">
        <v>9</v>
      </c>
      <c r="J39" s="236">
        <v>9.6999999999999993</v>
      </c>
      <c r="K39" s="236">
        <v>39.1</v>
      </c>
      <c r="L39" s="236">
        <v>6870.9</v>
      </c>
      <c r="M39" s="236" t="s">
        <v>9</v>
      </c>
      <c r="N39" s="236" t="s">
        <v>9</v>
      </c>
      <c r="O39" s="236">
        <v>8.3000000000000007</v>
      </c>
      <c r="P39" s="236">
        <v>37</v>
      </c>
      <c r="Q39" s="249"/>
      <c r="R39" s="249"/>
      <c r="S39" s="249"/>
      <c r="T39" s="249"/>
    </row>
    <row r="40" spans="1:20">
      <c r="A40" s="248">
        <v>1996</v>
      </c>
      <c r="B40" s="236">
        <v>7307.6</v>
      </c>
      <c r="C40" s="236" t="s">
        <v>9</v>
      </c>
      <c r="D40" s="236" t="s">
        <v>9</v>
      </c>
      <c r="E40" s="236">
        <v>11.1</v>
      </c>
      <c r="F40" s="236">
        <v>45.1</v>
      </c>
      <c r="G40" s="236">
        <v>7900.5</v>
      </c>
      <c r="H40" s="236" t="s">
        <v>9</v>
      </c>
      <c r="I40" s="236" t="s">
        <v>9</v>
      </c>
      <c r="J40" s="236">
        <v>11.9</v>
      </c>
      <c r="K40" s="236">
        <v>46.5</v>
      </c>
      <c r="L40" s="236">
        <v>7381.6</v>
      </c>
      <c r="M40" s="236" t="s">
        <v>9</v>
      </c>
      <c r="N40" s="236" t="s">
        <v>9</v>
      </c>
      <c r="O40" s="236">
        <v>10.3</v>
      </c>
      <c r="P40" s="236">
        <v>45.1</v>
      </c>
      <c r="Q40" s="249"/>
      <c r="R40" s="249"/>
      <c r="S40" s="249"/>
      <c r="T40" s="249"/>
    </row>
    <row r="41" spans="1:20">
      <c r="A41" s="248">
        <v>1997</v>
      </c>
      <c r="B41" s="236">
        <v>7807.6</v>
      </c>
      <c r="C41" s="236" t="s">
        <v>9</v>
      </c>
      <c r="D41" s="236" t="s">
        <v>9</v>
      </c>
      <c r="E41" s="236">
        <v>12.3</v>
      </c>
      <c r="F41" s="236">
        <v>44.5</v>
      </c>
      <c r="G41" s="236">
        <v>8375.4</v>
      </c>
      <c r="H41" s="236" t="s">
        <v>9</v>
      </c>
      <c r="I41" s="236" t="s">
        <v>9</v>
      </c>
      <c r="J41" s="236">
        <v>13.2</v>
      </c>
      <c r="K41" s="236">
        <v>46.3</v>
      </c>
      <c r="L41" s="236">
        <v>7900.1</v>
      </c>
      <c r="M41" s="236" t="s">
        <v>9</v>
      </c>
      <c r="N41" s="236" t="s">
        <v>9</v>
      </c>
      <c r="O41" s="236">
        <v>11.4</v>
      </c>
      <c r="P41" s="236">
        <v>45</v>
      </c>
      <c r="Q41" s="249"/>
      <c r="R41" s="249"/>
      <c r="S41" s="249"/>
      <c r="T41" s="249"/>
    </row>
    <row r="42" spans="1:20">
      <c r="A42" s="248">
        <v>1998</v>
      </c>
      <c r="B42" s="236">
        <v>8384.1</v>
      </c>
      <c r="C42" s="236" t="s">
        <v>9</v>
      </c>
      <c r="D42" s="236" t="s">
        <v>9</v>
      </c>
      <c r="E42" s="236">
        <v>12</v>
      </c>
      <c r="F42" s="236">
        <v>37.6</v>
      </c>
      <c r="G42" s="236">
        <v>8918.7999999999993</v>
      </c>
      <c r="H42" s="236" t="s">
        <v>9</v>
      </c>
      <c r="I42" s="236" t="s">
        <v>9</v>
      </c>
      <c r="J42" s="236">
        <v>13</v>
      </c>
      <c r="K42" s="236">
        <v>39.799999999999997</v>
      </c>
      <c r="L42" s="236">
        <v>8496</v>
      </c>
      <c r="M42" s="236" t="s">
        <v>9</v>
      </c>
      <c r="N42" s="236" t="s">
        <v>9</v>
      </c>
      <c r="O42" s="236">
        <v>11.1</v>
      </c>
      <c r="P42" s="236">
        <v>38</v>
      </c>
      <c r="Q42" s="249"/>
      <c r="R42" s="249"/>
      <c r="S42" s="249"/>
      <c r="T42" s="249"/>
    </row>
    <row r="43" spans="1:20">
      <c r="A43" s="248">
        <v>1999</v>
      </c>
      <c r="B43" s="236">
        <v>8908.2999999999993</v>
      </c>
      <c r="C43" s="236" t="s">
        <v>9</v>
      </c>
      <c r="D43" s="236" t="s">
        <v>9</v>
      </c>
      <c r="E43" s="236">
        <v>11.7</v>
      </c>
      <c r="F43" s="236">
        <v>30</v>
      </c>
      <c r="G43" s="236">
        <v>9395</v>
      </c>
      <c r="H43" s="236" t="s">
        <v>9</v>
      </c>
      <c r="I43" s="236" t="s">
        <v>9</v>
      </c>
      <c r="J43" s="236">
        <v>12.6</v>
      </c>
      <c r="K43" s="236">
        <v>32.299999999999997</v>
      </c>
      <c r="L43" s="236">
        <v>9028.7000000000007</v>
      </c>
      <c r="M43" s="236" t="s">
        <v>9</v>
      </c>
      <c r="N43" s="236" t="s">
        <v>9</v>
      </c>
      <c r="O43" s="236">
        <v>10.8</v>
      </c>
      <c r="P43" s="236">
        <v>30.3</v>
      </c>
      <c r="Q43" s="249"/>
      <c r="R43" s="249"/>
      <c r="S43" s="249"/>
      <c r="T43" s="249"/>
    </row>
    <row r="44" spans="1:20">
      <c r="A44" s="248">
        <v>2000</v>
      </c>
      <c r="B44" s="236">
        <v>9695</v>
      </c>
      <c r="C44" s="236" t="s">
        <v>9</v>
      </c>
      <c r="D44" s="236" t="s">
        <v>9</v>
      </c>
      <c r="E44" s="236">
        <v>12.9</v>
      </c>
      <c r="F44" s="236">
        <v>38.200000000000003</v>
      </c>
      <c r="G44" s="236">
        <v>9930.2999999999993</v>
      </c>
      <c r="H44" s="236" t="s">
        <v>9</v>
      </c>
      <c r="I44" s="236" t="s">
        <v>9</v>
      </c>
      <c r="J44" s="236">
        <v>13.3</v>
      </c>
      <c r="K44" s="236">
        <v>39.4</v>
      </c>
      <c r="L44" s="236">
        <v>9607.4</v>
      </c>
      <c r="M44" s="236" t="s">
        <v>9</v>
      </c>
      <c r="N44" s="236" t="s">
        <v>9</v>
      </c>
      <c r="O44" s="236">
        <v>11.6</v>
      </c>
      <c r="P44" s="236">
        <v>37.5</v>
      </c>
      <c r="Q44" s="249"/>
      <c r="R44" s="249"/>
      <c r="S44" s="249"/>
      <c r="T44" s="249"/>
    </row>
    <row r="45" spans="1:20">
      <c r="A45" s="248">
        <v>2001</v>
      </c>
      <c r="B45" s="236">
        <v>10786.8</v>
      </c>
      <c r="C45" s="236" t="s">
        <v>9</v>
      </c>
      <c r="D45" s="236" t="s">
        <v>9</v>
      </c>
      <c r="E45" s="236">
        <v>13.9</v>
      </c>
      <c r="F45" s="236">
        <v>60.8</v>
      </c>
      <c r="G45" s="236">
        <v>10689</v>
      </c>
      <c r="H45" s="236" t="s">
        <v>9</v>
      </c>
      <c r="I45" s="236" t="s">
        <v>9</v>
      </c>
      <c r="J45" s="236">
        <v>13.7</v>
      </c>
      <c r="K45" s="236">
        <v>59.9</v>
      </c>
      <c r="L45" s="236">
        <v>10533.3</v>
      </c>
      <c r="M45" s="236" t="s">
        <v>9</v>
      </c>
      <c r="N45" s="236" t="s">
        <v>9</v>
      </c>
      <c r="O45" s="236">
        <v>12.4</v>
      </c>
      <c r="P45" s="236">
        <v>58.8</v>
      </c>
      <c r="Q45" s="249"/>
      <c r="R45" s="249"/>
      <c r="S45" s="249"/>
      <c r="T45" s="249"/>
    </row>
    <row r="46" spans="1:20">
      <c r="A46" s="248">
        <v>2002</v>
      </c>
      <c r="B46" s="236">
        <v>11703.4</v>
      </c>
      <c r="C46" s="236" t="s">
        <v>9</v>
      </c>
      <c r="D46" s="236" t="s">
        <v>9</v>
      </c>
      <c r="E46" s="236">
        <v>15.6</v>
      </c>
      <c r="F46" s="236">
        <v>77.5</v>
      </c>
      <c r="G46" s="236">
        <v>11405.1</v>
      </c>
      <c r="H46" s="236" t="s">
        <v>9</v>
      </c>
      <c r="I46" s="236" t="s">
        <v>9</v>
      </c>
      <c r="J46" s="236">
        <v>14.9</v>
      </c>
      <c r="K46" s="236">
        <v>75.3</v>
      </c>
      <c r="L46" s="236">
        <v>11417.1</v>
      </c>
      <c r="M46" s="236" t="s">
        <v>9</v>
      </c>
      <c r="N46" s="236" t="s">
        <v>9</v>
      </c>
      <c r="O46" s="236">
        <v>13.8</v>
      </c>
      <c r="P46" s="236">
        <v>74.8</v>
      </c>
      <c r="Q46" s="249"/>
      <c r="R46" s="249"/>
      <c r="S46" s="249"/>
      <c r="T46" s="249"/>
    </row>
    <row r="47" spans="1:20">
      <c r="A47" s="248">
        <v>2003</v>
      </c>
      <c r="B47" s="236">
        <v>12231</v>
      </c>
      <c r="C47" s="236" t="s">
        <v>9</v>
      </c>
      <c r="D47" s="236" t="s">
        <v>9</v>
      </c>
      <c r="E47" s="236">
        <v>17.3</v>
      </c>
      <c r="F47" s="236">
        <v>89.1</v>
      </c>
      <c r="G47" s="236">
        <v>12113</v>
      </c>
      <c r="H47" s="236" t="s">
        <v>9</v>
      </c>
      <c r="I47" s="236" t="s">
        <v>9</v>
      </c>
      <c r="J47" s="236">
        <v>16.600000000000001</v>
      </c>
      <c r="K47" s="236">
        <v>88.9</v>
      </c>
      <c r="L47" s="236">
        <v>12133.9</v>
      </c>
      <c r="M47" s="236" t="s">
        <v>9</v>
      </c>
      <c r="N47" s="236" t="s">
        <v>9</v>
      </c>
      <c r="O47" s="236">
        <v>15.8</v>
      </c>
      <c r="P47" s="236">
        <v>87.4</v>
      </c>
      <c r="Q47" s="249"/>
      <c r="R47" s="249"/>
      <c r="S47" s="249"/>
      <c r="T47" s="249"/>
    </row>
    <row r="48" spans="1:20">
      <c r="A48" s="248">
        <v>2004</v>
      </c>
      <c r="B48" s="236">
        <v>13067</v>
      </c>
      <c r="C48" s="236" t="s">
        <v>9</v>
      </c>
      <c r="D48" s="236" t="s">
        <v>9</v>
      </c>
      <c r="E48" s="236">
        <v>20.100000000000001</v>
      </c>
      <c r="F48" s="236">
        <v>107.5</v>
      </c>
      <c r="G48" s="236">
        <v>13046.7</v>
      </c>
      <c r="H48" s="236" t="s">
        <v>9</v>
      </c>
      <c r="I48" s="236" t="s">
        <v>9</v>
      </c>
      <c r="J48" s="236">
        <v>19.100000000000001</v>
      </c>
      <c r="K48" s="236">
        <v>107.7</v>
      </c>
      <c r="L48" s="236">
        <v>13030.1</v>
      </c>
      <c r="M48" s="236" t="s">
        <v>9</v>
      </c>
      <c r="N48" s="236" t="s">
        <v>9</v>
      </c>
      <c r="O48" s="236">
        <v>18.7</v>
      </c>
      <c r="P48" s="236">
        <v>105.8</v>
      </c>
      <c r="Q48" s="249"/>
      <c r="R48" s="249"/>
      <c r="S48" s="249"/>
      <c r="T48" s="249"/>
    </row>
    <row r="49" spans="1:20">
      <c r="A49" s="248">
        <v>2005</v>
      </c>
      <c r="B49" s="236">
        <v>14173.1</v>
      </c>
      <c r="C49" s="236" t="s">
        <v>9</v>
      </c>
      <c r="D49" s="236" t="s">
        <v>9</v>
      </c>
      <c r="E49" s="236">
        <v>22.4</v>
      </c>
      <c r="F49" s="236">
        <v>120.5</v>
      </c>
      <c r="G49" s="236">
        <v>14222.4</v>
      </c>
      <c r="H49" s="236" t="s">
        <v>9</v>
      </c>
      <c r="I49" s="236" t="s">
        <v>9</v>
      </c>
      <c r="J49" s="236">
        <v>21.3</v>
      </c>
      <c r="K49" s="236">
        <v>119.8</v>
      </c>
      <c r="L49" s="236">
        <v>14208.6</v>
      </c>
      <c r="M49" s="236" t="s">
        <v>9</v>
      </c>
      <c r="N49" s="236" t="s">
        <v>9</v>
      </c>
      <c r="O49" s="236">
        <v>21.2</v>
      </c>
      <c r="P49" s="236">
        <v>119</v>
      </c>
      <c r="Q49" s="249"/>
      <c r="R49" s="249"/>
      <c r="S49" s="249"/>
      <c r="T49" s="249"/>
    </row>
    <row r="50" spans="1:20">
      <c r="A50" s="248">
        <v>2006</v>
      </c>
      <c r="B50" s="236">
        <v>15280.2</v>
      </c>
      <c r="C50" s="236" t="s">
        <v>9</v>
      </c>
      <c r="D50" s="236" t="s">
        <v>9</v>
      </c>
      <c r="E50" s="236">
        <v>22.3</v>
      </c>
      <c r="F50" s="236">
        <v>121.4</v>
      </c>
      <c r="G50" s="236">
        <v>15407.9</v>
      </c>
      <c r="H50" s="236" t="s">
        <v>9</v>
      </c>
      <c r="I50" s="236" t="s">
        <v>9</v>
      </c>
      <c r="J50" s="236">
        <v>22.1</v>
      </c>
      <c r="K50" s="236">
        <v>121.8</v>
      </c>
      <c r="L50" s="236">
        <v>15405.6</v>
      </c>
      <c r="M50" s="236" t="s">
        <v>9</v>
      </c>
      <c r="N50" s="236" t="s">
        <v>9</v>
      </c>
      <c r="O50" s="236">
        <v>22</v>
      </c>
      <c r="P50" s="236">
        <v>121.6</v>
      </c>
      <c r="Q50" s="249"/>
      <c r="R50" s="249"/>
      <c r="S50" s="249"/>
      <c r="T50" s="249"/>
    </row>
    <row r="51" spans="1:20">
      <c r="A51" s="248">
        <v>2007</v>
      </c>
      <c r="B51" s="236">
        <v>16455.7</v>
      </c>
      <c r="C51" s="236" t="s">
        <v>9</v>
      </c>
      <c r="D51" s="236" t="s">
        <v>9</v>
      </c>
      <c r="E51" s="236">
        <v>23.2</v>
      </c>
      <c r="F51" s="236">
        <v>122.1</v>
      </c>
      <c r="G51" s="236">
        <v>16455.7</v>
      </c>
      <c r="H51" s="236" t="s">
        <v>9</v>
      </c>
      <c r="I51" s="236" t="s">
        <v>9</v>
      </c>
      <c r="J51" s="236">
        <v>23.2</v>
      </c>
      <c r="K51" s="236">
        <v>122.1</v>
      </c>
      <c r="L51" s="236">
        <v>16455.7</v>
      </c>
      <c r="M51" s="236" t="s">
        <v>9</v>
      </c>
      <c r="N51" s="236" t="s">
        <v>9</v>
      </c>
      <c r="O51" s="236">
        <v>23.2</v>
      </c>
      <c r="P51" s="236">
        <v>122.1</v>
      </c>
      <c r="Q51" s="249"/>
      <c r="R51" s="249"/>
      <c r="S51" s="249"/>
      <c r="T51" s="249"/>
    </row>
    <row r="52" spans="1:20">
      <c r="A52" s="248">
        <v>2008</v>
      </c>
      <c r="B52" s="236">
        <v>17817.8</v>
      </c>
      <c r="C52" s="236" t="s">
        <v>9</v>
      </c>
      <c r="D52" s="236" t="s">
        <v>9</v>
      </c>
      <c r="E52" s="236">
        <v>25.4</v>
      </c>
      <c r="F52" s="236">
        <v>122.3</v>
      </c>
      <c r="G52" s="236">
        <v>17442.900000000001</v>
      </c>
      <c r="H52" s="236" t="s">
        <v>9</v>
      </c>
      <c r="I52" s="236" t="s">
        <v>9</v>
      </c>
      <c r="J52" s="236">
        <v>24.9</v>
      </c>
      <c r="K52" s="236">
        <v>120.3</v>
      </c>
      <c r="L52" s="236">
        <v>17446</v>
      </c>
      <c r="M52" s="236" t="s">
        <v>9</v>
      </c>
      <c r="N52" s="236" t="s">
        <v>9</v>
      </c>
      <c r="O52" s="236">
        <v>24.9</v>
      </c>
      <c r="P52" s="236">
        <v>120.3</v>
      </c>
      <c r="Q52" s="249"/>
      <c r="R52" s="249"/>
      <c r="S52" s="249"/>
      <c r="T52" s="249"/>
    </row>
    <row r="53" spans="1:20">
      <c r="A53" s="248">
        <v>2009</v>
      </c>
      <c r="B53" s="236">
        <v>18926.2</v>
      </c>
      <c r="C53" s="236" t="s">
        <v>9</v>
      </c>
      <c r="D53" s="236" t="s">
        <v>9</v>
      </c>
      <c r="E53" s="236">
        <v>27.2</v>
      </c>
      <c r="F53" s="236">
        <v>115.9</v>
      </c>
      <c r="G53" s="236">
        <v>17999.3</v>
      </c>
      <c r="H53" s="236" t="s">
        <v>9</v>
      </c>
      <c r="I53" s="236" t="s">
        <v>9</v>
      </c>
      <c r="J53" s="236">
        <v>25.9</v>
      </c>
      <c r="K53" s="236">
        <v>110.6</v>
      </c>
      <c r="L53" s="236">
        <v>18006.400000000001</v>
      </c>
      <c r="M53" s="236" t="s">
        <v>9</v>
      </c>
      <c r="N53" s="236" t="s">
        <v>9</v>
      </c>
      <c r="O53" s="236">
        <v>25.9</v>
      </c>
      <c r="P53" s="236">
        <v>110.7</v>
      </c>
      <c r="Q53" s="249"/>
      <c r="R53" s="249"/>
      <c r="S53" s="249"/>
      <c r="T53" s="249"/>
    </row>
    <row r="54" spans="1:20">
      <c r="A54" s="248">
        <v>2010</v>
      </c>
      <c r="B54" s="236">
        <v>19157.900000000001</v>
      </c>
      <c r="C54" s="236" t="s">
        <v>9</v>
      </c>
      <c r="D54" s="236" t="s">
        <v>9</v>
      </c>
      <c r="E54" s="236" t="s">
        <v>9</v>
      </c>
      <c r="F54" s="236">
        <v>102.2</v>
      </c>
      <c r="G54" s="236">
        <v>18346</v>
      </c>
      <c r="H54" s="236" t="s">
        <v>9</v>
      </c>
      <c r="I54" s="236" t="s">
        <v>9</v>
      </c>
      <c r="J54" s="236" t="s">
        <v>9</v>
      </c>
      <c r="K54" s="236">
        <v>99.5</v>
      </c>
      <c r="L54" s="236">
        <v>18356.2</v>
      </c>
      <c r="M54" s="236" t="s">
        <v>9</v>
      </c>
      <c r="N54" s="236" t="s">
        <v>9</v>
      </c>
      <c r="O54" s="236" t="s">
        <v>9</v>
      </c>
      <c r="P54" s="236">
        <v>99.5</v>
      </c>
      <c r="Q54" s="249"/>
      <c r="R54" s="249"/>
      <c r="S54" s="249"/>
      <c r="T54" s="249"/>
    </row>
    <row r="55" spans="1:20">
      <c r="A55" s="248">
        <v>2011</v>
      </c>
      <c r="B55" s="236">
        <v>19697.599999999999</v>
      </c>
      <c r="C55" s="236" t="s">
        <v>9</v>
      </c>
      <c r="D55" s="236" t="s">
        <v>9</v>
      </c>
      <c r="E55" s="236" t="s">
        <v>9</v>
      </c>
      <c r="F55" s="236">
        <v>95.1</v>
      </c>
      <c r="G55" s="236">
        <v>18866.8</v>
      </c>
      <c r="H55" s="236" t="s">
        <v>9</v>
      </c>
      <c r="I55" s="236" t="s">
        <v>9</v>
      </c>
      <c r="J55" s="236" t="s">
        <v>9</v>
      </c>
      <c r="K55" s="236">
        <v>94.3</v>
      </c>
      <c r="L55" s="236">
        <v>18874</v>
      </c>
      <c r="M55" s="236" t="s">
        <v>9</v>
      </c>
      <c r="N55" s="236" t="s">
        <v>9</v>
      </c>
      <c r="O55" s="236" t="s">
        <v>9</v>
      </c>
      <c r="P55" s="236">
        <v>93.9</v>
      </c>
      <c r="Q55" s="249"/>
      <c r="R55" s="249"/>
      <c r="S55" s="249"/>
      <c r="T55" s="249"/>
    </row>
    <row r="56" spans="1:20">
      <c r="A56" s="248">
        <v>2012</v>
      </c>
      <c r="B56" s="236">
        <v>20269.2</v>
      </c>
      <c r="C56" s="236" t="s">
        <v>9</v>
      </c>
      <c r="D56" s="236" t="s">
        <v>9</v>
      </c>
      <c r="E56" s="236" t="s">
        <v>9</v>
      </c>
      <c r="F56" s="236">
        <v>95.4</v>
      </c>
      <c r="G56" s="236">
        <v>19280.599999999999</v>
      </c>
      <c r="H56" s="236" t="s">
        <v>9</v>
      </c>
      <c r="I56" s="236" t="s">
        <v>9</v>
      </c>
      <c r="J56" s="236" t="s">
        <v>9</v>
      </c>
      <c r="K56" s="236">
        <v>94.5</v>
      </c>
      <c r="L56" s="236">
        <v>19298.3</v>
      </c>
      <c r="M56" s="236" t="s">
        <v>9</v>
      </c>
      <c r="N56" s="236" t="s">
        <v>9</v>
      </c>
      <c r="O56" s="236" t="s">
        <v>9</v>
      </c>
      <c r="P56" s="236">
        <v>93.8</v>
      </c>
      <c r="Q56" s="249"/>
      <c r="R56" s="249"/>
      <c r="S56" s="249"/>
      <c r="T56" s="249"/>
    </row>
    <row r="57" spans="1:20">
      <c r="A57" s="248">
        <v>2013</v>
      </c>
      <c r="B57" s="236">
        <v>20829</v>
      </c>
      <c r="C57" s="236" t="s">
        <v>9</v>
      </c>
      <c r="D57" s="236" t="s">
        <v>9</v>
      </c>
      <c r="E57" s="236" t="s">
        <v>9</v>
      </c>
      <c r="F57" s="236">
        <v>102.8</v>
      </c>
      <c r="G57" s="236">
        <v>19654.5</v>
      </c>
      <c r="H57" s="236" t="s">
        <v>9</v>
      </c>
      <c r="I57" s="236" t="s">
        <v>9</v>
      </c>
      <c r="J57" s="236" t="s">
        <v>9</v>
      </c>
      <c r="K57" s="236">
        <v>101.7</v>
      </c>
      <c r="L57" s="236">
        <v>19676.400000000001</v>
      </c>
      <c r="M57" s="236" t="s">
        <v>9</v>
      </c>
      <c r="N57" s="236" t="s">
        <v>9</v>
      </c>
      <c r="O57" s="236" t="s">
        <v>9</v>
      </c>
      <c r="P57" s="236">
        <v>100.5</v>
      </c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249"/>
      <c r="R59" s="249"/>
      <c r="S59" s="249"/>
      <c r="T59" s="249"/>
    </row>
    <row r="60" spans="1:20" ht="30">
      <c r="A60" s="248" t="s">
        <v>12</v>
      </c>
      <c r="B60" s="11">
        <f t="shared" ref="B60:P60" si="0">((B57/B28)^(1/29)-1)*100</f>
        <v>7.5689887808154444</v>
      </c>
      <c r="C60" s="11" t="s">
        <v>10</v>
      </c>
      <c r="D60" s="11" t="s">
        <v>10</v>
      </c>
      <c r="E60" s="11" t="s">
        <v>10</v>
      </c>
      <c r="F60" s="11">
        <f t="shared" si="0"/>
        <v>7.2511719337937652</v>
      </c>
      <c r="G60" s="11">
        <f t="shared" si="0"/>
        <v>5.6912236948443828</v>
      </c>
      <c r="H60" s="11" t="s">
        <v>10</v>
      </c>
      <c r="I60" s="11" t="s">
        <v>10</v>
      </c>
      <c r="J60" s="11" t="s">
        <v>10</v>
      </c>
      <c r="K60" s="11">
        <f t="shared" si="0"/>
        <v>6.0926183086243091</v>
      </c>
      <c r="L60" s="11">
        <f t="shared" si="0"/>
        <v>6.7419253458515627</v>
      </c>
      <c r="M60" s="11" t="s">
        <v>10</v>
      </c>
      <c r="N60" s="11" t="s">
        <v>10</v>
      </c>
      <c r="O60" s="11" t="s">
        <v>10</v>
      </c>
      <c r="P60" s="11">
        <f t="shared" si="0"/>
        <v>7.1675204574113582</v>
      </c>
      <c r="Q60" s="249"/>
      <c r="R60" s="249"/>
      <c r="S60" s="249"/>
      <c r="T60" s="249"/>
    </row>
    <row r="61" spans="1:20" ht="30">
      <c r="A61" s="248" t="s">
        <v>13</v>
      </c>
      <c r="B61" s="11">
        <f t="shared" ref="B61:P61" si="1">((B33/B28)^(1/5)-1)*100</f>
        <v>11.474698977899322</v>
      </c>
      <c r="C61" s="11" t="s">
        <v>10</v>
      </c>
      <c r="D61" s="11" t="s">
        <v>10</v>
      </c>
      <c r="E61" s="11">
        <f t="shared" si="1"/>
        <v>15.325682508681805</v>
      </c>
      <c r="F61" s="11">
        <f t="shared" si="1"/>
        <v>12.474611314209483</v>
      </c>
      <c r="G61" s="11">
        <f t="shared" si="1"/>
        <v>5.7302412669155256</v>
      </c>
      <c r="H61" s="11" t="s">
        <v>10</v>
      </c>
      <c r="I61" s="11" t="s">
        <v>10</v>
      </c>
      <c r="J61" s="11">
        <f t="shared" si="1"/>
        <v>10.245624587374724</v>
      </c>
      <c r="K61" s="11">
        <f t="shared" si="1"/>
        <v>7.8479847622751508</v>
      </c>
      <c r="L61" s="11">
        <f t="shared" si="1"/>
        <v>8.0944153228886151</v>
      </c>
      <c r="M61" s="11" t="s">
        <v>10</v>
      </c>
      <c r="N61" s="11" t="s">
        <v>10</v>
      </c>
      <c r="O61" s="11">
        <f t="shared" si="1"/>
        <v>12.970113373747584</v>
      </c>
      <c r="P61" s="11">
        <f t="shared" si="1"/>
        <v>10.756634324829006</v>
      </c>
      <c r="Q61" s="249"/>
      <c r="R61" s="249"/>
      <c r="S61" s="249"/>
      <c r="T61" s="249"/>
    </row>
    <row r="62" spans="1:20" ht="30">
      <c r="A62" s="248" t="s">
        <v>14</v>
      </c>
      <c r="B62" s="11">
        <f t="shared" ref="B62:P62" si="2">((B44/B33)^(1/11)-1)*100</f>
        <v>7.6222636252053055</v>
      </c>
      <c r="C62" s="11" t="s">
        <v>10</v>
      </c>
      <c r="D62" s="11" t="s">
        <v>10</v>
      </c>
      <c r="E62" s="11">
        <f t="shared" si="2"/>
        <v>8.8023158708860905</v>
      </c>
      <c r="F62" s="11">
        <f t="shared" si="2"/>
        <v>4.1980845243811959</v>
      </c>
      <c r="G62" s="11">
        <f t="shared" si="2"/>
        <v>6.0281520093436347</v>
      </c>
      <c r="H62" s="11" t="s">
        <v>10</v>
      </c>
      <c r="I62" s="11" t="s">
        <v>10</v>
      </c>
      <c r="J62" s="11">
        <f t="shared" si="2"/>
        <v>8.0071322402297085</v>
      </c>
      <c r="K62" s="11">
        <f t="shared" si="2"/>
        <v>3.6005996450102051</v>
      </c>
      <c r="L62" s="11">
        <f t="shared" si="2"/>
        <v>7.4070320558073277</v>
      </c>
      <c r="M62" s="11" t="s">
        <v>10</v>
      </c>
      <c r="N62" s="11" t="s">
        <v>10</v>
      </c>
      <c r="O62" s="11">
        <f t="shared" si="2"/>
        <v>8.7722710258431924</v>
      </c>
      <c r="P62" s="11">
        <f t="shared" si="2"/>
        <v>4.7533856014729592</v>
      </c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7.8509756637017203</v>
      </c>
      <c r="C63" s="11" t="s">
        <v>10</v>
      </c>
      <c r="D63" s="11" t="s">
        <v>10</v>
      </c>
      <c r="E63" s="11">
        <f t="shared" ref="E63:P63" si="3">((E51/E44)^(1/7)-1)*100</f>
        <v>8.7461872831331675</v>
      </c>
      <c r="F63" s="11">
        <f t="shared" si="3"/>
        <v>18.057392230689008</v>
      </c>
      <c r="G63" s="11">
        <f t="shared" si="3"/>
        <v>7.4821350093960959</v>
      </c>
      <c r="H63" s="11" t="s">
        <v>10</v>
      </c>
      <c r="I63" s="11" t="s">
        <v>10</v>
      </c>
      <c r="J63" s="11">
        <f t="shared" si="3"/>
        <v>8.2728273393976934</v>
      </c>
      <c r="K63" s="11">
        <f t="shared" si="3"/>
        <v>17.536892928894044</v>
      </c>
      <c r="L63" s="11">
        <f t="shared" si="3"/>
        <v>7.9909129372505605</v>
      </c>
      <c r="M63" s="11" t="s">
        <v>10</v>
      </c>
      <c r="N63" s="11" t="s">
        <v>10</v>
      </c>
      <c r="O63" s="11">
        <f t="shared" si="3"/>
        <v>10.408951367381224</v>
      </c>
      <c r="P63" s="11">
        <f t="shared" si="3"/>
        <v>18.369722106396935</v>
      </c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4.0060676369684467</v>
      </c>
      <c r="C64" s="11" t="s">
        <v>10</v>
      </c>
      <c r="D64" s="11" t="s">
        <v>10</v>
      </c>
      <c r="E64" s="11" t="s">
        <v>10</v>
      </c>
      <c r="F64" s="11">
        <f t="shared" ref="F64:P64" si="4">((F57/F51)^(1/6)-1)*100</f>
        <v>-2.8268588200699551</v>
      </c>
      <c r="G64" s="11">
        <f t="shared" si="4"/>
        <v>3.0048339811873381</v>
      </c>
      <c r="H64" s="11" t="s">
        <v>10</v>
      </c>
      <c r="I64" s="11" t="s">
        <v>10</v>
      </c>
      <c r="J64" s="11" t="s">
        <v>10</v>
      </c>
      <c r="K64" s="11">
        <f t="shared" si="4"/>
        <v>-3.0009349648152717</v>
      </c>
      <c r="L64" s="11">
        <f t="shared" si="4"/>
        <v>3.0239539390695125</v>
      </c>
      <c r="M64" s="11" t="s">
        <v>10</v>
      </c>
      <c r="N64" s="11" t="s">
        <v>10</v>
      </c>
      <c r="O64" s="11" t="s">
        <v>10</v>
      </c>
      <c r="P64" s="11">
        <f t="shared" si="4"/>
        <v>-3.1926349077564975</v>
      </c>
      <c r="Q64" s="249"/>
      <c r="R64" s="249"/>
      <c r="S64" s="249"/>
      <c r="T64" s="249"/>
    </row>
    <row r="65" spans="1:20" ht="30">
      <c r="A65" s="248" t="s">
        <v>15</v>
      </c>
      <c r="B65" s="11">
        <f t="shared" ref="B65:P65" si="5">((B57/B44)^(1/13)-1)*100</f>
        <v>6.0590515290212643</v>
      </c>
      <c r="C65" s="11" t="s">
        <v>10</v>
      </c>
      <c r="D65" s="11" t="s">
        <v>10</v>
      </c>
      <c r="E65" s="11" t="s">
        <v>10</v>
      </c>
      <c r="F65" s="11">
        <f t="shared" si="5"/>
        <v>7.9124417185695517</v>
      </c>
      <c r="G65" s="11">
        <f t="shared" si="5"/>
        <v>5.3920043276901586</v>
      </c>
      <c r="H65" s="11" t="s">
        <v>10</v>
      </c>
      <c r="I65" s="11" t="s">
        <v>10</v>
      </c>
      <c r="J65" s="11" t="s">
        <v>10</v>
      </c>
      <c r="K65" s="11">
        <f t="shared" si="5"/>
        <v>7.5669427784772481</v>
      </c>
      <c r="L65" s="11">
        <f t="shared" si="5"/>
        <v>5.6693930913892299</v>
      </c>
      <c r="M65" s="11" t="s">
        <v>10</v>
      </c>
      <c r="N65" s="11" t="s">
        <v>10</v>
      </c>
      <c r="O65" s="11" t="s">
        <v>10</v>
      </c>
      <c r="P65" s="11">
        <f t="shared" si="5"/>
        <v>7.8781389602319285</v>
      </c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20">
      <c r="A68" s="229" t="s">
        <v>56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31"/>
      <c r="M68" s="132"/>
      <c r="N68" s="132"/>
      <c r="O68" s="132"/>
      <c r="P68" s="132"/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291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5">
    <mergeCell ref="A1:P1"/>
    <mergeCell ref="B2:F2"/>
    <mergeCell ref="G2:K2"/>
    <mergeCell ref="L2:P2"/>
    <mergeCell ref="A59:P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3" zoomScaleNormal="100" zoomScaleSheetLayoutView="100" workbookViewId="0">
      <selection activeCell="C24" sqref="C24"/>
    </sheetView>
  </sheetViews>
  <sheetFormatPr defaultRowHeight="15"/>
  <cols>
    <col min="1" max="16384" width="9.140625" style="239"/>
  </cols>
  <sheetData>
    <row r="1" spans="1:20" ht="30" customHeight="1">
      <c r="A1" s="454" t="s">
        <v>330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61" t="s">
        <v>227</v>
      </c>
      <c r="C2" s="461"/>
      <c r="D2" s="461"/>
      <c r="E2" s="461"/>
      <c r="F2" s="461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'7A'!G5-'7K'!G5</f>
        <v>4468.9000000000005</v>
      </c>
      <c r="C5" s="129" t="s">
        <v>9</v>
      </c>
      <c r="D5" s="129">
        <f>'7A'!I5-'7K'!I5</f>
        <v>17.299999999999997</v>
      </c>
      <c r="E5" s="129">
        <f>'7A'!J5-'7K'!J5</f>
        <v>8.9000000000000057</v>
      </c>
      <c r="F5" s="129" t="s">
        <v>9</v>
      </c>
      <c r="G5" s="129">
        <f>'7A'!L5-'7K'!L5</f>
        <v>2271.3999999999996</v>
      </c>
      <c r="H5" s="129" t="s">
        <v>9</v>
      </c>
      <c r="I5" s="129">
        <f>'7A'!N5-'7K'!N5</f>
        <v>3.8000000000000114</v>
      </c>
      <c r="J5" s="129">
        <f>'7A'!O5-'7K'!O5</f>
        <v>8.5</v>
      </c>
      <c r="K5" s="129" t="s">
        <v>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'7A'!G6-'7K'!G6</f>
        <v>4703.9000000000005</v>
      </c>
      <c r="C6" s="129" t="s">
        <v>9</v>
      </c>
      <c r="D6" s="129">
        <f>'7A'!I6-'7K'!I6</f>
        <v>16.299999999999997</v>
      </c>
      <c r="E6" s="129">
        <f>'7A'!J6-'7K'!J6</f>
        <v>0.40000000000000568</v>
      </c>
      <c r="F6" s="129" t="s">
        <v>9</v>
      </c>
      <c r="G6" s="129">
        <f>'7A'!L6-'7K'!L6</f>
        <v>2326.3999999999996</v>
      </c>
      <c r="H6" s="129" t="s">
        <v>9</v>
      </c>
      <c r="I6" s="129">
        <f>'7A'!N6-'7K'!N6</f>
        <v>3.3999999999999915</v>
      </c>
      <c r="J6" s="129">
        <f>'7A'!O6-'7K'!O6</f>
        <v>0.5</v>
      </c>
      <c r="K6" s="129" t="s">
        <v>9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'7A'!G7-'7K'!G7</f>
        <v>4491.4000000000005</v>
      </c>
      <c r="C7" s="129" t="s">
        <v>9</v>
      </c>
      <c r="D7" s="129">
        <f>'7A'!I7-'7K'!I7</f>
        <v>-7.5</v>
      </c>
      <c r="E7" s="129">
        <f>'7A'!J7-'7K'!J7</f>
        <v>13</v>
      </c>
      <c r="F7" s="129" t="s">
        <v>9</v>
      </c>
      <c r="G7" s="129">
        <f>'7A'!L7-'7K'!L7</f>
        <v>2251.9000000000005</v>
      </c>
      <c r="H7" s="129" t="s">
        <v>9</v>
      </c>
      <c r="I7" s="129">
        <f>'7A'!N7-'7K'!N7</f>
        <v>-9.7999999999999972</v>
      </c>
      <c r="J7" s="129">
        <f>'7A'!O7-'7K'!O7</f>
        <v>11.600000000000001</v>
      </c>
      <c r="K7" s="129" t="s">
        <v>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'7A'!G8-'7K'!G8</f>
        <v>6807.0999999999995</v>
      </c>
      <c r="C8" s="129" t="s">
        <v>9</v>
      </c>
      <c r="D8" s="129">
        <f>'7A'!I8-'7K'!I8</f>
        <v>25.099999999999994</v>
      </c>
      <c r="E8" s="129">
        <f>'7A'!J8-'7K'!J8</f>
        <v>31.1</v>
      </c>
      <c r="F8" s="129" t="s">
        <v>9</v>
      </c>
      <c r="G8" s="129">
        <f>'7A'!L8-'7K'!L8</f>
        <v>3511.9000000000005</v>
      </c>
      <c r="H8" s="129" t="s">
        <v>9</v>
      </c>
      <c r="I8" s="129">
        <f>'7A'!N8-'7K'!N8</f>
        <v>15.899999999999991</v>
      </c>
      <c r="J8" s="129">
        <f>'7A'!O8-'7K'!O8</f>
        <v>26.799999999999997</v>
      </c>
      <c r="K8" s="129" t="s">
        <v>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'7A'!G9-'7K'!G9</f>
        <v>7835.9</v>
      </c>
      <c r="C9" s="129" t="s">
        <v>9</v>
      </c>
      <c r="D9" s="129">
        <f>'7A'!I9-'7K'!I9</f>
        <v>10.700000000000003</v>
      </c>
      <c r="E9" s="129">
        <f>'7A'!J9-'7K'!J9</f>
        <v>14.100000000000001</v>
      </c>
      <c r="F9" s="129" t="s">
        <v>9</v>
      </c>
      <c r="G9" s="129">
        <f>'7A'!L9-'7K'!L9</f>
        <v>4174.7999999999993</v>
      </c>
      <c r="H9" s="129" t="s">
        <v>9</v>
      </c>
      <c r="I9" s="129">
        <f>'7A'!N9-'7K'!N9</f>
        <v>5.3000000000000114</v>
      </c>
      <c r="J9" s="129">
        <f>'7A'!O9-'7K'!O9</f>
        <v>12.100000000000001</v>
      </c>
      <c r="K9" s="129" t="s">
        <v>9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'7A'!G10-'7K'!G10</f>
        <v>7464.2999999999993</v>
      </c>
      <c r="C10" s="129" t="s">
        <v>9</v>
      </c>
      <c r="D10" s="129">
        <f>'7A'!I10-'7K'!I10</f>
        <v>1.7000000000000028</v>
      </c>
      <c r="E10" s="129">
        <f>'7A'!J10-'7K'!J10</f>
        <v>37.600000000000009</v>
      </c>
      <c r="F10" s="129" t="s">
        <v>9</v>
      </c>
      <c r="G10" s="129">
        <f>'7A'!L10-'7K'!L10</f>
        <v>4226.9000000000005</v>
      </c>
      <c r="H10" s="129" t="s">
        <v>9</v>
      </c>
      <c r="I10" s="129">
        <f>'7A'!N10-'7K'!N10</f>
        <v>2.3000000000000114</v>
      </c>
      <c r="J10" s="129">
        <f>'7A'!O10-'7K'!O10</f>
        <v>31.800000000000004</v>
      </c>
      <c r="K10" s="129" t="s">
        <v>9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'7A'!G11-'7K'!G11</f>
        <v>5048.2999999999993</v>
      </c>
      <c r="C11" s="129" t="s">
        <v>9</v>
      </c>
      <c r="D11" s="129">
        <f>'7A'!I11-'7K'!I11</f>
        <v>14.100000000000009</v>
      </c>
      <c r="E11" s="129">
        <f>'7A'!J11-'7K'!J11</f>
        <v>33.799999999999997</v>
      </c>
      <c r="F11" s="129" t="s">
        <v>9</v>
      </c>
      <c r="G11" s="129">
        <f>'7A'!L11-'7K'!L11</f>
        <v>2698.8000000000011</v>
      </c>
      <c r="H11" s="129" t="s">
        <v>9</v>
      </c>
      <c r="I11" s="129">
        <f>'7A'!N11-'7K'!N11</f>
        <v>13</v>
      </c>
      <c r="J11" s="129">
        <f>'7A'!O11-'7K'!O11</f>
        <v>29.5</v>
      </c>
      <c r="K11" s="129" t="s">
        <v>9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'7A'!G12-'7K'!G12</f>
        <v>4040.8999999999996</v>
      </c>
      <c r="C12" s="129" t="s">
        <v>9</v>
      </c>
      <c r="D12" s="129">
        <f>'7A'!I12-'7K'!I12</f>
        <v>-20.099999999999994</v>
      </c>
      <c r="E12" s="129">
        <f>'7A'!J12-'7K'!J12</f>
        <v>11.600000000000001</v>
      </c>
      <c r="F12" s="129" t="s">
        <v>9</v>
      </c>
      <c r="G12" s="129">
        <f>'7A'!L12-'7K'!L12</f>
        <v>2065.3999999999996</v>
      </c>
      <c r="H12" s="129" t="s">
        <v>9</v>
      </c>
      <c r="I12" s="129">
        <f>'7A'!N12-'7K'!N12</f>
        <v>-16.099999999999994</v>
      </c>
      <c r="J12" s="129">
        <f>'7A'!O12-'7K'!O12</f>
        <v>9.8000000000000043</v>
      </c>
      <c r="K12" s="129" t="s">
        <v>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'7A'!G13-'7K'!G13</f>
        <v>3925.2000000000007</v>
      </c>
      <c r="C13" s="129" t="s">
        <v>9</v>
      </c>
      <c r="D13" s="129">
        <f>'7A'!I13-'7K'!I13</f>
        <v>-9</v>
      </c>
      <c r="E13" s="129">
        <f>'7A'!J13-'7K'!J13</f>
        <v>35.599999999999994</v>
      </c>
      <c r="F13" s="129" t="s">
        <v>9</v>
      </c>
      <c r="G13" s="129">
        <f>'7A'!L13-'7K'!L13</f>
        <v>1876.2999999999993</v>
      </c>
      <c r="H13" s="129" t="s">
        <v>9</v>
      </c>
      <c r="I13" s="129">
        <f>'7A'!N13-'7K'!N13</f>
        <v>-11.099999999999994</v>
      </c>
      <c r="J13" s="129">
        <f>'7A'!O13-'7K'!O13</f>
        <v>30</v>
      </c>
      <c r="K13" s="129" t="s">
        <v>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'7A'!G14-'7K'!G14</f>
        <v>3224.7999999999993</v>
      </c>
      <c r="C14" s="129" t="s">
        <v>9</v>
      </c>
      <c r="D14" s="129">
        <f>'7A'!I14-'7K'!I14</f>
        <v>-38</v>
      </c>
      <c r="E14" s="129">
        <f>'7A'!J14-'7K'!J14</f>
        <v>15</v>
      </c>
      <c r="F14" s="129" t="s">
        <v>9</v>
      </c>
      <c r="G14" s="129">
        <f>'7A'!L14-'7K'!L14</f>
        <v>1318.3999999999996</v>
      </c>
      <c r="H14" s="129" t="s">
        <v>9</v>
      </c>
      <c r="I14" s="129">
        <f>'7A'!N14-'7K'!N14</f>
        <v>-36.699999999999996</v>
      </c>
      <c r="J14" s="129">
        <f>'7A'!O14-'7K'!O14</f>
        <v>12.600000000000009</v>
      </c>
      <c r="K14" s="129" t="s">
        <v>9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'7A'!G15-'7K'!G15</f>
        <v>5215.2999999999993</v>
      </c>
      <c r="C15" s="129" t="s">
        <v>9</v>
      </c>
      <c r="D15" s="129">
        <f>'7A'!I15-'7K'!I15</f>
        <v>-45.099999999999994</v>
      </c>
      <c r="E15" s="129">
        <f>'7A'!J15-'7K'!J15</f>
        <v>21.600000000000009</v>
      </c>
      <c r="F15" s="129" t="s">
        <v>9</v>
      </c>
      <c r="G15" s="129">
        <f>'7A'!L15-'7K'!L15</f>
        <v>2367.6999999999989</v>
      </c>
      <c r="H15" s="129" t="s">
        <v>9</v>
      </c>
      <c r="I15" s="129">
        <f>'7A'!N15-'7K'!N15</f>
        <v>-36.800000000000004</v>
      </c>
      <c r="J15" s="129">
        <f>'7A'!O15-'7K'!O15</f>
        <v>18.100000000000001</v>
      </c>
      <c r="K15" s="129" t="s">
        <v>9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'7A'!G16-'7K'!G16</f>
        <v>5964</v>
      </c>
      <c r="C16" s="129" t="s">
        <v>9</v>
      </c>
      <c r="D16" s="129">
        <f>'7A'!I16-'7K'!I16</f>
        <v>-37</v>
      </c>
      <c r="E16" s="129">
        <f>'7A'!J16-'7K'!J16</f>
        <v>104.00000000000001</v>
      </c>
      <c r="F16" s="129" t="s">
        <v>9</v>
      </c>
      <c r="G16" s="129">
        <f>'7A'!L16-'7K'!L16</f>
        <v>2924.3999999999996</v>
      </c>
      <c r="H16" s="129" t="s">
        <v>9</v>
      </c>
      <c r="I16" s="129">
        <f>'7A'!N16-'7K'!N16</f>
        <v>-28.6</v>
      </c>
      <c r="J16" s="129">
        <f>'7A'!O16-'7K'!O16</f>
        <v>88.9</v>
      </c>
      <c r="K16" s="129" t="s">
        <v>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'7A'!G17-'7K'!G17</f>
        <v>7018.5999999999985</v>
      </c>
      <c r="C17" s="129" t="s">
        <v>9</v>
      </c>
      <c r="D17" s="129">
        <f>'7A'!I17-'7K'!I17</f>
        <v>3.0999999999999943</v>
      </c>
      <c r="E17" s="129">
        <f>'7A'!J17-'7K'!J17</f>
        <v>164.8</v>
      </c>
      <c r="F17" s="129" t="s">
        <v>9</v>
      </c>
      <c r="G17" s="129">
        <f>'7A'!L17-'7K'!L17</f>
        <v>3700.6999999999989</v>
      </c>
      <c r="H17" s="129" t="s">
        <v>9</v>
      </c>
      <c r="I17" s="129">
        <f>'7A'!N17-'7K'!N17</f>
        <v>5.6999999999999886</v>
      </c>
      <c r="J17" s="129">
        <f>'7A'!O17-'7K'!O17</f>
        <v>140.89999999999998</v>
      </c>
      <c r="K17" s="129" t="s">
        <v>9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'7A'!G18-'7K'!G18</f>
        <v>7477.0000000000018</v>
      </c>
      <c r="C18" s="129" t="s">
        <v>9</v>
      </c>
      <c r="D18" s="129">
        <f>'7A'!I18-'7K'!I18</f>
        <v>57.7</v>
      </c>
      <c r="E18" s="129">
        <f>'7A'!J18-'7K'!J18</f>
        <v>145.30000000000001</v>
      </c>
      <c r="F18" s="129" t="s">
        <v>9</v>
      </c>
      <c r="G18" s="129">
        <f>'7A'!L18-'7K'!L18</f>
        <v>4194.8000000000011</v>
      </c>
      <c r="H18" s="129" t="s">
        <v>9</v>
      </c>
      <c r="I18" s="129">
        <f>'7A'!N18-'7K'!N18</f>
        <v>58.2</v>
      </c>
      <c r="J18" s="129">
        <f>'7A'!O18-'7K'!O18</f>
        <v>126</v>
      </c>
      <c r="K18" s="129" t="s">
        <v>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'7A'!G19-'7K'!G19</f>
        <v>9204.0999999999985</v>
      </c>
      <c r="C19" s="129" t="s">
        <v>9</v>
      </c>
      <c r="D19" s="129">
        <f>'7A'!I19-'7K'!I19</f>
        <v>11.299999999999997</v>
      </c>
      <c r="E19" s="129">
        <f>'7A'!J19-'7K'!J19</f>
        <v>76.699999999999989</v>
      </c>
      <c r="F19" s="129" t="s">
        <v>9</v>
      </c>
      <c r="G19" s="129">
        <f>'7A'!L19-'7K'!L19</f>
        <v>5253.4000000000015</v>
      </c>
      <c r="H19" s="129" t="s">
        <v>9</v>
      </c>
      <c r="I19" s="129">
        <f>'7A'!N19-'7K'!N19</f>
        <v>12.5</v>
      </c>
      <c r="J19" s="129">
        <f>'7A'!O19-'7K'!O19</f>
        <v>66.3</v>
      </c>
      <c r="K19" s="129" t="s">
        <v>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'7A'!G20-'7K'!G20</f>
        <v>6518.2000000000007</v>
      </c>
      <c r="C20" s="129" t="s">
        <v>9</v>
      </c>
      <c r="D20" s="129">
        <f>'7A'!I20-'7K'!I20</f>
        <v>-42.4</v>
      </c>
      <c r="E20" s="129">
        <f>'7A'!J20-'7K'!J20</f>
        <v>17.899999999999977</v>
      </c>
      <c r="F20" s="129" t="s">
        <v>9</v>
      </c>
      <c r="G20" s="129">
        <f>'7A'!L20-'7K'!L20</f>
        <v>3408.3999999999996</v>
      </c>
      <c r="H20" s="129" t="s">
        <v>9</v>
      </c>
      <c r="I20" s="129">
        <f>'7A'!N20-'7K'!N20</f>
        <v>-37.399999999999991</v>
      </c>
      <c r="J20" s="129">
        <f>'7A'!O20-'7K'!O20</f>
        <v>13</v>
      </c>
      <c r="K20" s="129" t="s">
        <v>9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'7A'!G21-'7K'!G21</f>
        <v>7006.2000000000007</v>
      </c>
      <c r="C21" s="129" t="s">
        <v>9</v>
      </c>
      <c r="D21" s="129">
        <f>'7A'!I21-'7K'!I21</f>
        <v>-43.699999999999996</v>
      </c>
      <c r="E21" s="129">
        <f>'7A'!J21-'7K'!J21</f>
        <v>1.9000000000000057</v>
      </c>
      <c r="F21" s="129" t="s">
        <v>9</v>
      </c>
      <c r="G21" s="129">
        <f>'7A'!L21-'7K'!L21</f>
        <v>3642.6000000000004</v>
      </c>
      <c r="H21" s="129" t="s">
        <v>9</v>
      </c>
      <c r="I21" s="129">
        <f>'7A'!N21-'7K'!N21</f>
        <v>-40.299999999999997</v>
      </c>
      <c r="J21" s="129">
        <f>'7A'!O21-'7K'!O21</f>
        <v>-1.2999999999999972</v>
      </c>
      <c r="K21" s="129" t="s">
        <v>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'7A'!G22-'7K'!G22</f>
        <v>5585.7000000000007</v>
      </c>
      <c r="C22" s="129" t="s">
        <v>9</v>
      </c>
      <c r="D22" s="129">
        <f>'7A'!I22-'7K'!I22</f>
        <v>-28.499999999999993</v>
      </c>
      <c r="E22" s="129">
        <f>'7A'!J22-'7K'!J22</f>
        <v>-19</v>
      </c>
      <c r="F22" s="129" t="s">
        <v>9</v>
      </c>
      <c r="G22" s="129">
        <f>'7A'!L22-'7K'!L22</f>
        <v>2974.3999999999996</v>
      </c>
      <c r="H22" s="129" t="s">
        <v>9</v>
      </c>
      <c r="I22" s="129">
        <f>'7A'!N22-'7K'!N22</f>
        <v>-23.9</v>
      </c>
      <c r="J22" s="129">
        <f>'7A'!O22-'7K'!O22</f>
        <v>-19.400000000000006</v>
      </c>
      <c r="K22" s="129" t="s">
        <v>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'7A'!G23-'7K'!G23</f>
        <v>5326.2000000000007</v>
      </c>
      <c r="C23" s="129" t="s">
        <v>9</v>
      </c>
      <c r="D23" s="129">
        <f>'7A'!I23-'7K'!I23</f>
        <v>1.8000000000000114</v>
      </c>
      <c r="E23" s="129">
        <f>'7A'!J23-'7K'!J23</f>
        <v>15.299999999999983</v>
      </c>
      <c r="F23" s="129" t="s">
        <v>9</v>
      </c>
      <c r="G23" s="129">
        <f>'7A'!L23-'7K'!L23</f>
        <v>2884.2999999999993</v>
      </c>
      <c r="H23" s="129" t="s">
        <v>9</v>
      </c>
      <c r="I23" s="129">
        <f>'7A'!N23-'7K'!N23</f>
        <v>0.10000000000000853</v>
      </c>
      <c r="J23" s="129">
        <f>'7A'!O23-'7K'!O23</f>
        <v>11.699999999999989</v>
      </c>
      <c r="K23" s="129" t="s">
        <v>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'7A'!G24-'7K'!G24</f>
        <v>5179.2000000000007</v>
      </c>
      <c r="C24" s="129" t="s">
        <v>9</v>
      </c>
      <c r="D24" s="129">
        <f>'7A'!I24-'7K'!I24</f>
        <v>15.299999999999997</v>
      </c>
      <c r="E24" s="129">
        <f>'7A'!J24-'7K'!J24</f>
        <v>25.599999999999994</v>
      </c>
      <c r="F24" s="129" t="s">
        <v>9</v>
      </c>
      <c r="G24" s="129">
        <f>'7A'!L24-'7K'!L24</f>
        <v>3031.7000000000007</v>
      </c>
      <c r="H24" s="129" t="s">
        <v>9</v>
      </c>
      <c r="I24" s="129">
        <f>'7A'!N24-'7K'!N24</f>
        <v>10.300000000000011</v>
      </c>
      <c r="J24" s="129">
        <f>'7A'!O24-'7K'!O24</f>
        <v>19.899999999999991</v>
      </c>
      <c r="K24" s="129" t="s">
        <v>9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'7A'!G25-'7K'!G25</f>
        <v>3945</v>
      </c>
      <c r="C25" s="129" t="s">
        <v>9</v>
      </c>
      <c r="D25" s="129">
        <f>'7A'!I25-'7K'!I25</f>
        <v>-6.2000000000000028</v>
      </c>
      <c r="E25" s="129">
        <f>'7A'!J25-'7K'!J25</f>
        <v>-6.3000000000000114</v>
      </c>
      <c r="F25" s="129" t="s">
        <v>9</v>
      </c>
      <c r="G25" s="129">
        <f>'7A'!L25-'7K'!L25</f>
        <v>2272.3999999999996</v>
      </c>
      <c r="H25" s="129" t="s">
        <v>9</v>
      </c>
      <c r="I25" s="129">
        <f>'7A'!N25-'7K'!N25</f>
        <v>-8.2999999999999972</v>
      </c>
      <c r="J25" s="129">
        <f>'7A'!O25-'7K'!O25</f>
        <v>-9.2999999999999972</v>
      </c>
      <c r="K25" s="129" t="s">
        <v>9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'7A'!G26-'7K'!G26</f>
        <v>1903.8999999999978</v>
      </c>
      <c r="C26" s="129" t="s">
        <v>9</v>
      </c>
      <c r="D26" s="129">
        <f>'7A'!I26-'7K'!I26</f>
        <v>-39.299999999999997</v>
      </c>
      <c r="E26" s="129">
        <f>'7A'!J26-'7K'!J26</f>
        <v>77.199999999999989</v>
      </c>
      <c r="F26" s="129" t="s">
        <v>9</v>
      </c>
      <c r="G26" s="129">
        <f>'7A'!L26-'7K'!L26</f>
        <v>530.29999999999927</v>
      </c>
      <c r="H26" s="129" t="s">
        <v>9</v>
      </c>
      <c r="I26" s="129">
        <f>'7A'!N26-'7K'!N26</f>
        <v>-36.600000000000009</v>
      </c>
      <c r="J26" s="129">
        <f>'7A'!O26-'7K'!O26</f>
        <v>65.200000000000017</v>
      </c>
      <c r="K26" s="129" t="s">
        <v>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'7A'!G27-'7K'!G27</f>
        <v>481</v>
      </c>
      <c r="C27" s="129" t="s">
        <v>9</v>
      </c>
      <c r="D27" s="129">
        <f>'7A'!I27-'7K'!I27</f>
        <v>-40.9</v>
      </c>
      <c r="E27" s="129">
        <f>'7A'!J27-'7K'!J27</f>
        <v>-1.0999999999999943</v>
      </c>
      <c r="F27" s="129" t="s">
        <v>9</v>
      </c>
      <c r="G27" s="129">
        <f>'7A'!L27-'7K'!L27</f>
        <v>-34.100000000000364</v>
      </c>
      <c r="H27" s="129" t="s">
        <v>9</v>
      </c>
      <c r="I27" s="129">
        <f>'7A'!N27-'7K'!N27</f>
        <v>-36.5</v>
      </c>
      <c r="J27" s="129">
        <f>'7A'!O27-'7K'!O27</f>
        <v>-4.3000000000000114</v>
      </c>
      <c r="K27" s="129" t="s">
        <v>9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'7A'!G28-'7K'!G28</f>
        <v>1641.7999999999993</v>
      </c>
      <c r="C28" s="129" t="s">
        <v>9</v>
      </c>
      <c r="D28" s="129">
        <f>'7A'!I28-'7K'!I28</f>
        <v>-37.500000000000007</v>
      </c>
      <c r="E28" s="129">
        <f>'7A'!J28-'7K'!J28</f>
        <v>-26.799999999999997</v>
      </c>
      <c r="F28" s="129" t="s">
        <v>9</v>
      </c>
      <c r="G28" s="129">
        <f>'7A'!L28-'7K'!L28</f>
        <v>878.5</v>
      </c>
      <c r="H28" s="129" t="s">
        <v>9</v>
      </c>
      <c r="I28" s="129">
        <f>'7A'!N28-'7K'!N28</f>
        <v>-31.6</v>
      </c>
      <c r="J28" s="129">
        <f>'7A'!O28-'7K'!O28</f>
        <v>-26.299999999999997</v>
      </c>
      <c r="K28" s="129" t="s">
        <v>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'7A'!G29-'7K'!G29</f>
        <v>2974.6999999999971</v>
      </c>
      <c r="C29" s="129" t="s">
        <v>9</v>
      </c>
      <c r="D29" s="129">
        <f>'7A'!I29-'7K'!I29</f>
        <v>-33.700000000000003</v>
      </c>
      <c r="E29" s="129">
        <f>'7A'!J29-'7K'!J29</f>
        <v>17.299999999999983</v>
      </c>
      <c r="F29" s="129" t="s">
        <v>9</v>
      </c>
      <c r="G29" s="129">
        <f>'7A'!L29-'7K'!L29</f>
        <v>1903.7999999999993</v>
      </c>
      <c r="H29" s="129" t="s">
        <v>9</v>
      </c>
      <c r="I29" s="129">
        <f>'7A'!N29-'7K'!N29</f>
        <v>-28.900000000000002</v>
      </c>
      <c r="J29" s="129">
        <f>'7A'!O29-'7K'!O29</f>
        <v>16.5</v>
      </c>
      <c r="K29" s="129" t="s">
        <v>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'7A'!G30-'7K'!G30</f>
        <v>2448</v>
      </c>
      <c r="C30" s="129" t="s">
        <v>9</v>
      </c>
      <c r="D30" s="129">
        <f>'7A'!I30-'7K'!I30</f>
        <v>-30.6</v>
      </c>
      <c r="E30" s="129">
        <f>'7A'!J30-'7K'!J30</f>
        <v>15.200000000000017</v>
      </c>
      <c r="F30" s="129" t="s">
        <v>9</v>
      </c>
      <c r="G30" s="129">
        <f>'7A'!L30-'7K'!L30</f>
        <v>1640.8000000000011</v>
      </c>
      <c r="H30" s="129" t="s">
        <v>9</v>
      </c>
      <c r="I30" s="129">
        <f>'7A'!N30-'7K'!N30</f>
        <v>-25.699999999999996</v>
      </c>
      <c r="J30" s="129">
        <f>'7A'!O30-'7K'!O30</f>
        <v>13.300000000000011</v>
      </c>
      <c r="K30" s="129" t="s">
        <v>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'7A'!G31-'7K'!G31</f>
        <v>3840.8999999999978</v>
      </c>
      <c r="C31" s="129" t="s">
        <v>9</v>
      </c>
      <c r="D31" s="129">
        <f>'7A'!I31-'7K'!I31</f>
        <v>-31.2</v>
      </c>
      <c r="E31" s="129">
        <f>'7A'!J31-'7K'!J31</f>
        <v>32.300000000000011</v>
      </c>
      <c r="F31" s="129" t="s">
        <v>9</v>
      </c>
      <c r="G31" s="129">
        <f>'7A'!L31-'7K'!L31</f>
        <v>3086.2999999999993</v>
      </c>
      <c r="H31" s="129" t="s">
        <v>9</v>
      </c>
      <c r="I31" s="129">
        <f>'7A'!N31-'7K'!N31</f>
        <v>-25.099999999999998</v>
      </c>
      <c r="J31" s="129">
        <f>'7A'!O31-'7K'!O31</f>
        <v>32.400000000000006</v>
      </c>
      <c r="K31" s="129" t="s">
        <v>9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'7A'!G32-'7K'!G32</f>
        <v>5481.6000000000022</v>
      </c>
      <c r="C32" s="129" t="s">
        <v>9</v>
      </c>
      <c r="D32" s="129">
        <f>'7A'!I32-'7K'!I32</f>
        <v>-17.700000000000003</v>
      </c>
      <c r="E32" s="129">
        <f>'7A'!J32-'7K'!J32</f>
        <v>106.69999999999999</v>
      </c>
      <c r="F32" s="129" t="s">
        <v>9</v>
      </c>
      <c r="G32" s="129">
        <f>'7A'!L32-'7K'!L32</f>
        <v>4313.2999999999993</v>
      </c>
      <c r="H32" s="129" t="s">
        <v>9</v>
      </c>
      <c r="I32" s="129">
        <f>'7A'!N32-'7K'!N32</f>
        <v>-13.899999999999999</v>
      </c>
      <c r="J32" s="129">
        <f>'7A'!O32-'7K'!O32</f>
        <v>103.5</v>
      </c>
      <c r="K32" s="129" t="s">
        <v>9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'7A'!G33-'7K'!G33</f>
        <v>7018.0999999999985</v>
      </c>
      <c r="C33" s="129" t="s">
        <v>9</v>
      </c>
      <c r="D33" s="129">
        <f>'7A'!I33-'7K'!I33</f>
        <v>-7.8999999999999986</v>
      </c>
      <c r="E33" s="129">
        <f>'7A'!J33-'7K'!J33</f>
        <v>72.299999999999983</v>
      </c>
      <c r="F33" s="129" t="s">
        <v>9</v>
      </c>
      <c r="G33" s="129">
        <f>'7A'!L33-'7K'!L33</f>
        <v>5427.7999999999993</v>
      </c>
      <c r="H33" s="129" t="s">
        <v>9</v>
      </c>
      <c r="I33" s="129">
        <f>'7A'!N33-'7K'!N33</f>
        <v>-5.6999999999999957</v>
      </c>
      <c r="J33" s="129">
        <f>'7A'!O33-'7K'!O33</f>
        <v>68.199999999999989</v>
      </c>
      <c r="K33" s="129" t="s">
        <v>9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'7A'!G34-'7K'!G34</f>
        <v>6618.7999999999993</v>
      </c>
      <c r="C34" s="129" t="s">
        <v>9</v>
      </c>
      <c r="D34" s="129">
        <f>'7A'!I34-'7K'!I34</f>
        <v>-14.299999999999997</v>
      </c>
      <c r="E34" s="129">
        <f>'7A'!J34-'7K'!J34</f>
        <v>-6.3000000000000114</v>
      </c>
      <c r="F34" s="129" t="s">
        <v>9</v>
      </c>
      <c r="G34" s="129">
        <f>'7A'!L34-'7K'!L34</f>
        <v>4725.2999999999993</v>
      </c>
      <c r="H34" s="129" t="s">
        <v>9</v>
      </c>
      <c r="I34" s="129">
        <f>'7A'!N34-'7K'!N34</f>
        <v>-11.799999999999997</v>
      </c>
      <c r="J34" s="129">
        <f>'7A'!O34-'7K'!O34</f>
        <v>-5.3000000000000114</v>
      </c>
      <c r="K34" s="129" t="s">
        <v>9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'7A'!G35-'7K'!G35</f>
        <v>4617.4000000000015</v>
      </c>
      <c r="C35" s="129" t="s">
        <v>9</v>
      </c>
      <c r="D35" s="129">
        <f>'7A'!I35-'7K'!I35</f>
        <v>-25.6</v>
      </c>
      <c r="E35" s="129">
        <f>'7A'!J35-'7K'!J35</f>
        <v>-8.9000000000000057</v>
      </c>
      <c r="F35" s="129" t="s">
        <v>9</v>
      </c>
      <c r="G35" s="129">
        <f>'7A'!L35-'7K'!L35</f>
        <v>3403.5</v>
      </c>
      <c r="H35" s="129" t="s">
        <v>9</v>
      </c>
      <c r="I35" s="129">
        <f>'7A'!N35-'7K'!N35</f>
        <v>-22.200000000000003</v>
      </c>
      <c r="J35" s="129">
        <f>'7A'!O35-'7K'!O35</f>
        <v>-6</v>
      </c>
      <c r="K35" s="129" t="s">
        <v>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'7A'!G36-'7K'!G36</f>
        <v>2493.7000000000007</v>
      </c>
      <c r="C36" s="129" t="s">
        <v>9</v>
      </c>
      <c r="D36" s="129">
        <f>'7A'!I36-'7K'!I36</f>
        <v>-24.799999999999997</v>
      </c>
      <c r="E36" s="129">
        <f>'7A'!J36-'7K'!J36</f>
        <v>-46.5</v>
      </c>
      <c r="F36" s="129" t="s">
        <v>9</v>
      </c>
      <c r="G36" s="129">
        <f>'7A'!L36-'7K'!L36</f>
        <v>1822.9000000000015</v>
      </c>
      <c r="H36" s="129" t="s">
        <v>9</v>
      </c>
      <c r="I36" s="129">
        <f>'7A'!N36-'7K'!N36</f>
        <v>-19.8</v>
      </c>
      <c r="J36" s="129">
        <f>'7A'!O36-'7K'!O36</f>
        <v>-42.400000000000006</v>
      </c>
      <c r="K36" s="129" t="s">
        <v>9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'7A'!G37-'7K'!G37</f>
        <v>2235.5</v>
      </c>
      <c r="C37" s="129" t="s">
        <v>9</v>
      </c>
      <c r="D37" s="129">
        <f>'7A'!I37-'7K'!I37</f>
        <v>-9.1000000000000014</v>
      </c>
      <c r="E37" s="129">
        <f>'7A'!J37-'7K'!J37</f>
        <v>-36.399999999999977</v>
      </c>
      <c r="F37" s="129" t="s">
        <v>9</v>
      </c>
      <c r="G37" s="129">
        <f>'7A'!L37-'7K'!L37</f>
        <v>1294.8999999999978</v>
      </c>
      <c r="H37" s="129" t="s">
        <v>9</v>
      </c>
      <c r="I37" s="129">
        <f>'7A'!N37-'7K'!N37</f>
        <v>-6.1000000000000014</v>
      </c>
      <c r="J37" s="129">
        <f>'7A'!O37-'7K'!O37</f>
        <v>-26.5</v>
      </c>
      <c r="K37" s="129" t="s">
        <v>9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'7A'!G38-'7K'!G38</f>
        <v>2495.6999999999971</v>
      </c>
      <c r="C38" s="129" t="s">
        <v>9</v>
      </c>
      <c r="D38" s="129">
        <f>'7A'!I38-'7K'!I38</f>
        <v>51.100000000000009</v>
      </c>
      <c r="E38" s="129">
        <f>'7A'!J38-'7K'!J38</f>
        <v>132.70000000000002</v>
      </c>
      <c r="F38" s="129" t="s">
        <v>9</v>
      </c>
      <c r="G38" s="129">
        <f>'7A'!L38-'7K'!L38</f>
        <v>1695.8999999999978</v>
      </c>
      <c r="H38" s="129" t="s">
        <v>9</v>
      </c>
      <c r="I38" s="129">
        <f>'7A'!N38-'7K'!N38</f>
        <v>52.7</v>
      </c>
      <c r="J38" s="129">
        <f>'7A'!O38-'7K'!O38</f>
        <v>129.19999999999999</v>
      </c>
      <c r="K38" s="129" t="s">
        <v>9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'7A'!G39-'7K'!G39</f>
        <v>1499.2999999999993</v>
      </c>
      <c r="C39" s="129" t="s">
        <v>9</v>
      </c>
      <c r="D39" s="129">
        <f>'7A'!I39-'7K'!I39</f>
        <v>-25.600000000000009</v>
      </c>
      <c r="E39" s="129">
        <f>'7A'!J39-'7K'!J39</f>
        <v>172.2</v>
      </c>
      <c r="F39" s="129" t="s">
        <v>9</v>
      </c>
      <c r="G39" s="129">
        <f>'7A'!L39-'7K'!L39</f>
        <v>1007</v>
      </c>
      <c r="H39" s="129" t="s">
        <v>9</v>
      </c>
      <c r="I39" s="129">
        <f>'7A'!N39-'7K'!N39</f>
        <v>-21.5</v>
      </c>
      <c r="J39" s="129">
        <f>'7A'!O39-'7K'!O39</f>
        <v>174.99999999999997</v>
      </c>
      <c r="K39" s="129" t="s">
        <v>9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'7A'!G40-'7K'!G40</f>
        <v>1381.0999999999985</v>
      </c>
      <c r="C40" s="129" t="s">
        <v>9</v>
      </c>
      <c r="D40" s="129">
        <f>'7A'!I40-'7K'!I40</f>
        <v>-10.400000000000006</v>
      </c>
      <c r="E40" s="129">
        <f>'7A'!J40-'7K'!J40</f>
        <v>155.5</v>
      </c>
      <c r="F40" s="129" t="s">
        <v>9</v>
      </c>
      <c r="G40" s="129">
        <f>'7A'!L40-'7K'!L40</f>
        <v>1174.5</v>
      </c>
      <c r="H40" s="129" t="s">
        <v>9</v>
      </c>
      <c r="I40" s="129">
        <f>'7A'!N40-'7K'!N40</f>
        <v>-7.7999999999999972</v>
      </c>
      <c r="J40" s="129">
        <f>'7A'!O40-'7K'!O40</f>
        <v>153.9</v>
      </c>
      <c r="K40" s="129" t="s">
        <v>9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'7A'!G41-'7K'!G41</f>
        <v>1708.1999999999971</v>
      </c>
      <c r="C41" s="129" t="s">
        <v>9</v>
      </c>
      <c r="D41" s="129">
        <f>'7A'!I41-'7K'!I41</f>
        <v>-4.6999999999999886</v>
      </c>
      <c r="E41" s="129">
        <f>'7A'!J41-'7K'!J41</f>
        <v>268.5</v>
      </c>
      <c r="F41" s="129" t="s">
        <v>9</v>
      </c>
      <c r="G41" s="129">
        <f>'7A'!L41-'7K'!L41</f>
        <v>1732.5</v>
      </c>
      <c r="H41" s="129" t="s">
        <v>9</v>
      </c>
      <c r="I41" s="129">
        <f>'7A'!N41-'7K'!N41</f>
        <v>-3.0999999999999943</v>
      </c>
      <c r="J41" s="129">
        <f>'7A'!O41-'7K'!O41</f>
        <v>259.39999999999998</v>
      </c>
      <c r="K41" s="129" t="s">
        <v>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'7A'!G42-'7K'!G42</f>
        <v>2877.9000000000015</v>
      </c>
      <c r="C42" s="129" t="s">
        <v>9</v>
      </c>
      <c r="D42" s="129">
        <f>'7A'!I42-'7K'!I42</f>
        <v>-26.4</v>
      </c>
      <c r="E42" s="129">
        <f>'7A'!J42-'7K'!J42</f>
        <v>51.599999999999966</v>
      </c>
      <c r="F42" s="129" t="s">
        <v>9</v>
      </c>
      <c r="G42" s="129">
        <f>'7A'!L42-'7K'!L42</f>
        <v>3266.5</v>
      </c>
      <c r="H42" s="129" t="s">
        <v>9</v>
      </c>
      <c r="I42" s="129">
        <f>'7A'!N42-'7K'!N42</f>
        <v>-19.099999999999994</v>
      </c>
      <c r="J42" s="129">
        <f>'7A'!O42-'7K'!O42</f>
        <v>58.399999999999977</v>
      </c>
      <c r="K42" s="129" t="s">
        <v>9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'7A'!G43-'7K'!G43</f>
        <v>3331.2000000000007</v>
      </c>
      <c r="C43" s="129" t="s">
        <v>9</v>
      </c>
      <c r="D43" s="129">
        <f>'7A'!I43-'7K'!I43</f>
        <v>26</v>
      </c>
      <c r="E43" s="129">
        <f>'7A'!J43-'7K'!J43</f>
        <v>144.5</v>
      </c>
      <c r="F43" s="129" t="s">
        <v>9</v>
      </c>
      <c r="G43" s="129">
        <f>'7A'!L43-'7K'!L43</f>
        <v>3887.2000000000007</v>
      </c>
      <c r="H43" s="129" t="s">
        <v>9</v>
      </c>
      <c r="I43" s="129">
        <f>'7A'!N43-'7K'!N43</f>
        <v>27.099999999999994</v>
      </c>
      <c r="J43" s="129">
        <f>'7A'!O43-'7K'!O43</f>
        <v>124</v>
      </c>
      <c r="K43" s="129" t="s">
        <v>9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'7A'!G44-'7K'!G44</f>
        <v>3496.2000000000007</v>
      </c>
      <c r="C44" s="129" t="s">
        <v>9</v>
      </c>
      <c r="D44" s="129" t="s">
        <v>9</v>
      </c>
      <c r="E44" s="129">
        <f>'7A'!J44-'7K'!J44</f>
        <v>153.5</v>
      </c>
      <c r="F44" s="129" t="s">
        <v>9</v>
      </c>
      <c r="G44" s="129">
        <f>'7A'!L44-'7K'!L44</f>
        <v>3976</v>
      </c>
      <c r="H44" s="129" t="s">
        <v>9</v>
      </c>
      <c r="I44" s="129" t="s">
        <v>9</v>
      </c>
      <c r="J44" s="129">
        <f>'7A'!O44-'7K'!O44</f>
        <v>170.2</v>
      </c>
      <c r="K44" s="129" t="s">
        <v>9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'7A'!G45-'7K'!G45</f>
        <v>2454</v>
      </c>
      <c r="C45" s="129" t="s">
        <v>9</v>
      </c>
      <c r="D45" s="129" t="s">
        <v>9</v>
      </c>
      <c r="E45" s="129">
        <f>'7A'!J45-'7K'!J45</f>
        <v>-142.6</v>
      </c>
      <c r="F45" s="129" t="s">
        <v>9</v>
      </c>
      <c r="G45" s="129">
        <f>'7A'!L45-'7K'!L45</f>
        <v>2415.8000000000029</v>
      </c>
      <c r="H45" s="129" t="s">
        <v>9</v>
      </c>
      <c r="I45" s="129" t="s">
        <v>9</v>
      </c>
      <c r="J45" s="129">
        <f>'7A'!O45-'7K'!O45</f>
        <v>-132.19999999999999</v>
      </c>
      <c r="K45" s="129" t="s">
        <v>9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'7A'!G46-'7K'!G46</f>
        <v>2486.0999999999985</v>
      </c>
      <c r="C46" s="129" t="s">
        <v>9</v>
      </c>
      <c r="D46" s="129" t="s">
        <v>9</v>
      </c>
      <c r="E46" s="129">
        <f>'7A'!J46-'7K'!J46</f>
        <v>-141.19999999999999</v>
      </c>
      <c r="F46" s="129" t="s">
        <v>9</v>
      </c>
      <c r="G46" s="129">
        <f>'7A'!L46-'7K'!L46</f>
        <v>1931.7999999999993</v>
      </c>
      <c r="H46" s="129" t="s">
        <v>9</v>
      </c>
      <c r="I46" s="129" t="s">
        <v>9</v>
      </c>
      <c r="J46" s="129">
        <f>'7A'!O46-'7K'!O46</f>
        <v>-143.30000000000001</v>
      </c>
      <c r="K46" s="129" t="s">
        <v>9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'7A'!G47-'7K'!G47</f>
        <v>3340.8999999999978</v>
      </c>
      <c r="C47" s="129" t="s">
        <v>9</v>
      </c>
      <c r="D47" s="129" t="s">
        <v>9</v>
      </c>
      <c r="E47" s="129">
        <f>'7A'!J47-'7K'!J47</f>
        <v>-79.200000000000017</v>
      </c>
      <c r="F47" s="129" t="s">
        <v>9</v>
      </c>
      <c r="G47" s="129">
        <f>'7A'!L47-'7K'!L47</f>
        <v>2979.8000000000029</v>
      </c>
      <c r="H47" s="129" t="s">
        <v>9</v>
      </c>
      <c r="I47" s="129" t="s">
        <v>9</v>
      </c>
      <c r="J47" s="129">
        <f>'7A'!O47-'7K'!O47</f>
        <v>-82.4</v>
      </c>
      <c r="K47" s="129" t="s">
        <v>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'7A'!G48-'7K'!G48</f>
        <v>5388.7999999999956</v>
      </c>
      <c r="C48" s="129" t="s">
        <v>9</v>
      </c>
      <c r="D48" s="129" t="s">
        <v>9</v>
      </c>
      <c r="E48" s="129">
        <f>'7A'!J48-'7K'!J48</f>
        <v>14.899999999999977</v>
      </c>
      <c r="F48" s="129" t="s">
        <v>9</v>
      </c>
      <c r="G48" s="129">
        <f>'7A'!L48-'7K'!L48</f>
        <v>5201.5</v>
      </c>
      <c r="H48" s="129" t="s">
        <v>9</v>
      </c>
      <c r="I48" s="129" t="s">
        <v>9</v>
      </c>
      <c r="J48" s="129">
        <f>'7A'!O48-'7K'!O48</f>
        <v>18.600000000000023</v>
      </c>
      <c r="K48" s="129" t="s">
        <v>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'7A'!G49-'7K'!G49</f>
        <v>4903.8000000000029</v>
      </c>
      <c r="C49" s="129" t="s">
        <v>9</v>
      </c>
      <c r="D49" s="129" t="s">
        <v>9</v>
      </c>
      <c r="E49" s="129">
        <f>'7A'!J49-'7K'!J49</f>
        <v>19.800000000000011</v>
      </c>
      <c r="F49" s="129" t="s">
        <v>9</v>
      </c>
      <c r="G49" s="129">
        <f>'7A'!L49-'7K'!L49</f>
        <v>4931.3999999999942</v>
      </c>
      <c r="H49" s="129" t="s">
        <v>9</v>
      </c>
      <c r="I49" s="129" t="s">
        <v>9</v>
      </c>
      <c r="J49" s="129">
        <f>'7A'!O49-'7K'!O49</f>
        <v>18.600000000000023</v>
      </c>
      <c r="K49" s="129" t="s">
        <v>9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'7A'!G50-'7K'!G50</f>
        <v>5091.3000000000029</v>
      </c>
      <c r="C50" s="129" t="s">
        <v>9</v>
      </c>
      <c r="D50" s="129" t="s">
        <v>9</v>
      </c>
      <c r="E50" s="129">
        <f>'7A'!J50-'7K'!J50</f>
        <v>42.399999999999977</v>
      </c>
      <c r="F50" s="129" t="s">
        <v>9</v>
      </c>
      <c r="G50" s="129">
        <f>'7A'!L50-'7K'!L50</f>
        <v>5115.3000000000029</v>
      </c>
      <c r="H50" s="129" t="s">
        <v>9</v>
      </c>
      <c r="I50" s="129" t="s">
        <v>9</v>
      </c>
      <c r="J50" s="129">
        <f>'7A'!O50-'7K'!O50</f>
        <v>43.5</v>
      </c>
      <c r="K50" s="129" t="s">
        <v>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'7A'!G51-'7K'!G51</f>
        <v>6524.2000000000044</v>
      </c>
      <c r="C51" s="129" t="s">
        <v>9</v>
      </c>
      <c r="D51" s="129" t="s">
        <v>9</v>
      </c>
      <c r="E51" s="129">
        <f>'7A'!J51-'7K'!J51</f>
        <v>64.199999999999989</v>
      </c>
      <c r="F51" s="129" t="s">
        <v>9</v>
      </c>
      <c r="G51" s="129">
        <f>'7A'!L51-'7K'!L51</f>
        <v>6524.2000000000044</v>
      </c>
      <c r="H51" s="129" t="s">
        <v>9</v>
      </c>
      <c r="I51" s="129" t="s">
        <v>9</v>
      </c>
      <c r="J51" s="129">
        <f>'7A'!O51-'7K'!O51</f>
        <v>64.199999999999989</v>
      </c>
      <c r="K51" s="129" t="s">
        <v>9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'7A'!G52-'7K'!G52</f>
        <v>7342.7000000000044</v>
      </c>
      <c r="C52" s="129" t="s">
        <v>9</v>
      </c>
      <c r="D52" s="129" t="s">
        <v>9</v>
      </c>
      <c r="E52" s="129">
        <f>'7A'!J52-'7K'!J52</f>
        <v>-102.79999999999998</v>
      </c>
      <c r="F52" s="129" t="s">
        <v>9</v>
      </c>
      <c r="G52" s="129">
        <f>'7A'!L52-'7K'!L52</f>
        <v>7361.7000000000044</v>
      </c>
      <c r="H52" s="129" t="s">
        <v>9</v>
      </c>
      <c r="I52" s="129" t="s">
        <v>9</v>
      </c>
      <c r="J52" s="129">
        <f>'7A'!O52-'7K'!O52</f>
        <v>-103.70000000000002</v>
      </c>
      <c r="K52" s="129" t="s">
        <v>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'7A'!G53-'7K'!G53</f>
        <v>3836.9000000000015</v>
      </c>
      <c r="C53" s="129" t="s">
        <v>9</v>
      </c>
      <c r="D53" s="129" t="s">
        <v>9</v>
      </c>
      <c r="E53" s="129">
        <f>'7A'!J53-'7K'!J53</f>
        <v>-108.09999999999997</v>
      </c>
      <c r="F53" s="129" t="s">
        <v>9</v>
      </c>
      <c r="G53" s="129">
        <f>'7A'!L53-'7K'!L53</f>
        <v>3944.2999999999956</v>
      </c>
      <c r="H53" s="129" t="s">
        <v>9</v>
      </c>
      <c r="I53" s="129" t="s">
        <v>9</v>
      </c>
      <c r="J53" s="129">
        <f>'7A'!O53-'7K'!O53</f>
        <v>-107.10000000000002</v>
      </c>
      <c r="K53" s="129" t="s">
        <v>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'7A'!G54-'7K'!G54</f>
        <v>4846.8000000000029</v>
      </c>
      <c r="C54" s="129" t="s">
        <v>9</v>
      </c>
      <c r="D54" s="129" t="s">
        <v>9</v>
      </c>
      <c r="E54" s="129">
        <f>'7A'!J54-'7K'!J54</f>
        <v>-26.5</v>
      </c>
      <c r="F54" s="129" t="s">
        <v>9</v>
      </c>
      <c r="G54" s="129">
        <f>'7A'!L54-'7K'!L54</f>
        <v>4830.5999999999985</v>
      </c>
      <c r="H54" s="129" t="s">
        <v>9</v>
      </c>
      <c r="I54" s="129" t="s">
        <v>9</v>
      </c>
      <c r="J54" s="129">
        <f>'7A'!O54-'7K'!O54</f>
        <v>-28.199999999999989</v>
      </c>
      <c r="K54" s="129" t="s">
        <v>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'7A'!G55-'7K'!G55</f>
        <v>5894.8000000000029</v>
      </c>
      <c r="C55" s="129" t="s">
        <v>9</v>
      </c>
      <c r="D55" s="129" t="s">
        <v>9</v>
      </c>
      <c r="E55" s="129">
        <f>'7A'!J55-'7K'!J55</f>
        <v>-62.299999999999983</v>
      </c>
      <c r="F55" s="129" t="s">
        <v>9</v>
      </c>
      <c r="G55" s="129">
        <f>'7A'!L55-'7K'!L55</f>
        <v>5930.5999999999985</v>
      </c>
      <c r="H55" s="129" t="s">
        <v>9</v>
      </c>
      <c r="I55" s="129" t="s">
        <v>9</v>
      </c>
      <c r="J55" s="129">
        <f>'7A'!O55-'7K'!O55</f>
        <v>-64.900000000000006</v>
      </c>
      <c r="K55" s="129" t="s">
        <v>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'7A'!G56-'7K'!G56</f>
        <v>9040.7000000000044</v>
      </c>
      <c r="C56" s="129" t="s">
        <v>9</v>
      </c>
      <c r="D56" s="129" t="s">
        <v>9</v>
      </c>
      <c r="E56" s="129">
        <f>'7A'!J56-'7K'!J56</f>
        <v>-61.000000000000028</v>
      </c>
      <c r="F56" s="129" t="s">
        <v>9</v>
      </c>
      <c r="G56" s="129">
        <f>'7A'!L56-'7K'!L56</f>
        <v>9159.4000000000015</v>
      </c>
      <c r="H56" s="129" t="s">
        <v>9</v>
      </c>
      <c r="I56" s="129" t="s">
        <v>9</v>
      </c>
      <c r="J56" s="129">
        <f>'7A'!O56-'7K'!O56</f>
        <v>-58.600000000000023</v>
      </c>
      <c r="K56" s="129" t="s">
        <v>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'7A'!G57-'7K'!G57</f>
        <v>7635.1999999999971</v>
      </c>
      <c r="C57" s="129" t="s">
        <v>9</v>
      </c>
      <c r="D57" s="129" t="s">
        <v>9</v>
      </c>
      <c r="E57" s="129">
        <f>'7A'!J57-'7K'!J57</f>
        <v>-57.799999999999983</v>
      </c>
      <c r="F57" s="129" t="s">
        <v>9</v>
      </c>
      <c r="G57" s="129">
        <f>'7A'!L57-'7K'!L57</f>
        <v>7648.3000000000029</v>
      </c>
      <c r="H57" s="129" t="s">
        <v>9</v>
      </c>
      <c r="I57" s="129" t="s">
        <v>9</v>
      </c>
      <c r="J57" s="129">
        <f>'7A'!O57-'7K'!O57</f>
        <v>-61.199999999999989</v>
      </c>
      <c r="K57" s="129" t="s">
        <v>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 ht="15" customHeight="1">
      <c r="A59" s="248" t="s">
        <v>11</v>
      </c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G60" si="0">((B57/B28)^(1/29)-1)*100</f>
        <v>5.4428770035807927</v>
      </c>
      <c r="C60" s="11" t="s">
        <v>10</v>
      </c>
      <c r="D60" s="11" t="s">
        <v>10</v>
      </c>
      <c r="E60" s="11">
        <f t="shared" si="0"/>
        <v>2.6857323868970218</v>
      </c>
      <c r="F60" s="11" t="s">
        <v>10</v>
      </c>
      <c r="G60" s="11">
        <f t="shared" si="0"/>
        <v>7.7476221895728337</v>
      </c>
      <c r="H60" s="11" t="s">
        <v>10</v>
      </c>
      <c r="I60" s="11" t="s">
        <v>10</v>
      </c>
      <c r="J60" s="11">
        <f>((J57/J28)^(1/29)-1)*100</f>
        <v>2.9551620894478381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I61" si="1">((B33/B28)^(1/5)-1)*100</f>
        <v>33.714917329389138</v>
      </c>
      <c r="C61" s="11" t="s">
        <v>10</v>
      </c>
      <c r="D61" s="11">
        <f t="shared" si="1"/>
        <v>-26.764919257112531</v>
      </c>
      <c r="E61" s="11">
        <f t="shared" si="1"/>
        <v>-221.95530611795081</v>
      </c>
      <c r="F61" s="11" t="s">
        <v>10</v>
      </c>
      <c r="G61" s="11">
        <f t="shared" si="1"/>
        <v>43.938314939034925</v>
      </c>
      <c r="H61" s="11" t="s">
        <v>10</v>
      </c>
      <c r="I61" s="11">
        <f t="shared" si="1"/>
        <v>-29.00339941307951</v>
      </c>
      <c r="J61" s="11">
        <f>((J33/J28)^(1/5)-1)*100</f>
        <v>-220.99452675225396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G62" si="2">((B44/B33)^(1/11)-1)*100</f>
        <v>-6.1382186047553517</v>
      </c>
      <c r="C62" s="11" t="s">
        <v>10</v>
      </c>
      <c r="D62" s="11" t="s">
        <v>10</v>
      </c>
      <c r="E62" s="11">
        <f t="shared" si="2"/>
        <v>7.0839920027717218</v>
      </c>
      <c r="F62" s="11" t="s">
        <v>10</v>
      </c>
      <c r="G62" s="11">
        <f t="shared" si="2"/>
        <v>-2.7899559533385965</v>
      </c>
      <c r="H62" s="11" t="s">
        <v>10</v>
      </c>
      <c r="I62" s="11" t="s">
        <v>10</v>
      </c>
      <c r="J62" s="11">
        <f>((J44/J33)^(1/11)-1)*100</f>
        <v>8.6692912697745363</v>
      </c>
      <c r="K62" s="11" t="s">
        <v>10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9.3212095611327594</v>
      </c>
      <c r="C63" s="11" t="s">
        <v>10</v>
      </c>
      <c r="D63" s="11" t="s">
        <v>10</v>
      </c>
      <c r="E63" s="11">
        <f t="shared" ref="E63:J63" si="3">((E51/E44)^(1/7)-1)*100</f>
        <v>-11.708663163356226</v>
      </c>
      <c r="F63" s="11" t="s">
        <v>10</v>
      </c>
      <c r="G63" s="11">
        <f t="shared" si="3"/>
        <v>7.3311645367624356</v>
      </c>
      <c r="H63" s="11" t="s">
        <v>10</v>
      </c>
      <c r="I63" s="11" t="s">
        <v>10</v>
      </c>
      <c r="J63" s="11">
        <f t="shared" si="3"/>
        <v>-13.001696907374683</v>
      </c>
      <c r="K63" s="11" t="s">
        <v>10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2.6554927481504675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4">((G57/G51)^(1/6)-1)*100</f>
        <v>2.6848267666027992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G65" si="5">((B57/B44)^(1/13)-1)*100</f>
        <v>6.1925782879610258</v>
      </c>
      <c r="C65" s="11" t="s">
        <v>10</v>
      </c>
      <c r="D65" s="11" t="s">
        <v>10</v>
      </c>
      <c r="E65" s="11">
        <f t="shared" si="5"/>
        <v>-192.76213325808024</v>
      </c>
      <c r="F65" s="11" t="s">
        <v>10</v>
      </c>
      <c r="G65" s="11">
        <f t="shared" si="5"/>
        <v>5.1611368000641811</v>
      </c>
      <c r="H65" s="11" t="s">
        <v>10</v>
      </c>
      <c r="I65" s="11" t="s">
        <v>10</v>
      </c>
      <c r="J65" s="11">
        <f>((J57/J44)^(1/13)-1)*100</f>
        <v>-192.43365869800994</v>
      </c>
      <c r="K65" s="11" t="s">
        <v>10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</row>
    <row r="69" spans="1:20">
      <c r="A69" s="229" t="s">
        <v>41</v>
      </c>
    </row>
    <row r="70" spans="1:20">
      <c r="A70" s="229" t="s">
        <v>62</v>
      </c>
    </row>
  </sheetData>
  <mergeCells count="3">
    <mergeCell ref="A1:K1"/>
    <mergeCell ref="B2:F2"/>
    <mergeCell ref="G2:K2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3" zoomScaleNormal="100" zoomScaleSheetLayoutView="100" workbookViewId="0">
      <selection activeCell="C24" sqref="C24"/>
    </sheetView>
  </sheetViews>
  <sheetFormatPr defaultRowHeight="15"/>
  <cols>
    <col min="1" max="6" width="9.140625" style="239"/>
    <col min="7" max="7" width="16.140625" style="239" customWidth="1"/>
    <col min="8" max="16384" width="9.140625" style="239"/>
  </cols>
  <sheetData>
    <row r="1" spans="1:20" ht="36" customHeight="1">
      <c r="A1" s="454" t="s">
        <v>331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83">
        <f>'7B'!G5-'7L'!G5</f>
        <v>6033.6</v>
      </c>
      <c r="C5" s="83" t="s">
        <v>9</v>
      </c>
      <c r="D5" s="83" t="s">
        <v>9</v>
      </c>
      <c r="E5" s="83">
        <f>'7B'!J5-'7L'!J5</f>
        <v>-5.1999999999999957</v>
      </c>
      <c r="F5" s="83">
        <f>'7B'!K5-'7L'!K5</f>
        <v>-43.099999999999966</v>
      </c>
      <c r="G5" s="83">
        <f>'7B'!L5-'7L'!L5</f>
        <v>2549.0999999999995</v>
      </c>
      <c r="H5" s="83" t="s">
        <v>9</v>
      </c>
      <c r="I5" s="83" t="s">
        <v>9</v>
      </c>
      <c r="J5" s="83">
        <f>'7B'!O5-'7L'!O5</f>
        <v>-8</v>
      </c>
      <c r="K5" s="83">
        <f>'7B'!P5-'7L'!P5</f>
        <v>-60.699999999999989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83">
        <f>'7B'!G6-'7L'!G6</f>
        <v>6961.1999999999989</v>
      </c>
      <c r="C6" s="83" t="s">
        <v>9</v>
      </c>
      <c r="D6" s="83" t="s">
        <v>9</v>
      </c>
      <c r="E6" s="83">
        <f>'7B'!J6-'7L'!J6</f>
        <v>7.6999999999999957</v>
      </c>
      <c r="F6" s="83">
        <f>'7B'!K6-'7L'!K6</f>
        <v>13.900000000000034</v>
      </c>
      <c r="G6" s="83">
        <f>'7B'!L6-'7L'!L6</f>
        <v>3025.3000000000011</v>
      </c>
      <c r="H6" s="83" t="s">
        <v>9</v>
      </c>
      <c r="I6" s="83" t="s">
        <v>9</v>
      </c>
      <c r="J6" s="83">
        <f>'7B'!O6-'7L'!O6</f>
        <v>1.1000000000000014</v>
      </c>
      <c r="K6" s="83">
        <f>'7B'!P6-'7L'!P6</f>
        <v>-15.700000000000017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83">
        <f>'7B'!G7-'7L'!G7</f>
        <v>7055.2999999999993</v>
      </c>
      <c r="C7" s="83" t="s">
        <v>9</v>
      </c>
      <c r="D7" s="83" t="s">
        <v>9</v>
      </c>
      <c r="E7" s="83">
        <f>'7B'!J7-'7L'!J7</f>
        <v>2.3999999999999986</v>
      </c>
      <c r="F7" s="83">
        <f>'7B'!K7-'7L'!K7</f>
        <v>30.699999999999989</v>
      </c>
      <c r="G7" s="83">
        <f>'7B'!L7-'7L'!L7</f>
        <v>3014.3999999999996</v>
      </c>
      <c r="H7" s="83" t="s">
        <v>9</v>
      </c>
      <c r="I7" s="83" t="s">
        <v>9</v>
      </c>
      <c r="J7" s="83">
        <f>'7B'!O7-'7L'!O7</f>
        <v>-1.5</v>
      </c>
      <c r="K7" s="83">
        <f>'7B'!P7-'7L'!P7</f>
        <v>-4.6999999999999886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83">
        <f>'7B'!G8-'7L'!G8</f>
        <v>7593.5999999999985</v>
      </c>
      <c r="C8" s="83" t="s">
        <v>9</v>
      </c>
      <c r="D8" s="83" t="s">
        <v>9</v>
      </c>
      <c r="E8" s="83">
        <f>'7B'!J8-'7L'!J8</f>
        <v>23.399999999999991</v>
      </c>
      <c r="F8" s="83">
        <f>'7B'!K8-'7L'!K8</f>
        <v>147.69999999999999</v>
      </c>
      <c r="G8" s="83">
        <f>'7B'!L8-'7L'!L8</f>
        <v>3484.8999999999996</v>
      </c>
      <c r="H8" s="83" t="s">
        <v>9</v>
      </c>
      <c r="I8" s="83" t="s">
        <v>9</v>
      </c>
      <c r="J8" s="83">
        <f>'7B'!O8-'7L'!O8</f>
        <v>15.5</v>
      </c>
      <c r="K8" s="83">
        <f>'7B'!P8-'7L'!P8</f>
        <v>93.199999999999989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83">
        <f>'7B'!G9-'7L'!G9</f>
        <v>9513.6999999999989</v>
      </c>
      <c r="C9" s="83" t="s">
        <v>9</v>
      </c>
      <c r="D9" s="83" t="s">
        <v>9</v>
      </c>
      <c r="E9" s="83">
        <f>'7B'!J9-'7L'!J9</f>
        <v>42.099999999999994</v>
      </c>
      <c r="F9" s="83">
        <f>'7B'!K9-'7L'!K9</f>
        <v>339.4</v>
      </c>
      <c r="G9" s="83">
        <f>'7B'!L9-'7L'!L9</f>
        <v>4518.2999999999993</v>
      </c>
      <c r="H9" s="83" t="s">
        <v>9</v>
      </c>
      <c r="I9" s="83" t="s">
        <v>9</v>
      </c>
      <c r="J9" s="83">
        <f>'7B'!O9-'7L'!O9</f>
        <v>27</v>
      </c>
      <c r="K9" s="83">
        <f>'7B'!P9-'7L'!P9</f>
        <v>227.39999999999998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83">
        <f>'7B'!G10-'7L'!G10</f>
        <v>12297.499999999998</v>
      </c>
      <c r="C10" s="83" t="s">
        <v>9</v>
      </c>
      <c r="D10" s="83" t="s">
        <v>9</v>
      </c>
      <c r="E10" s="83">
        <f>'7B'!J10-'7L'!J10</f>
        <v>30.900000000000006</v>
      </c>
      <c r="F10" s="83">
        <f>'7B'!K10-'7L'!K10</f>
        <v>190</v>
      </c>
      <c r="G10" s="83">
        <f>'7B'!L10-'7L'!L10</f>
        <v>5978.7999999999993</v>
      </c>
      <c r="H10" s="83" t="s">
        <v>9</v>
      </c>
      <c r="I10" s="83" t="s">
        <v>9</v>
      </c>
      <c r="J10" s="83">
        <f>'7B'!O10-'7L'!O10</f>
        <v>19.599999999999994</v>
      </c>
      <c r="K10" s="83">
        <f>'7B'!P10-'7L'!P10</f>
        <v>109.60000000000002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83">
        <f>'7B'!G11-'7L'!G11</f>
        <v>10829.6</v>
      </c>
      <c r="C11" s="83" t="s">
        <v>9</v>
      </c>
      <c r="D11" s="83" t="s">
        <v>9</v>
      </c>
      <c r="E11" s="83">
        <f>'7B'!J11-'7L'!J11</f>
        <v>3.5999999999999943</v>
      </c>
      <c r="F11" s="83">
        <f>'7B'!K11-'7L'!K11</f>
        <v>91</v>
      </c>
      <c r="G11" s="83">
        <f>'7B'!L11-'7L'!L11</f>
        <v>5198.2999999999993</v>
      </c>
      <c r="H11" s="83" t="s">
        <v>9</v>
      </c>
      <c r="I11" s="83" t="s">
        <v>9</v>
      </c>
      <c r="J11" s="83">
        <f>'7B'!O11-'7L'!O11</f>
        <v>-1.6999999999999957</v>
      </c>
      <c r="K11" s="83">
        <f>'7B'!P11-'7L'!P11</f>
        <v>39.099999999999966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83">
        <f>'7B'!G12-'7L'!G12</f>
        <v>9517.7000000000007</v>
      </c>
      <c r="C12" s="83" t="s">
        <v>9</v>
      </c>
      <c r="D12" s="83" t="s">
        <v>9</v>
      </c>
      <c r="E12" s="83">
        <f>'7B'!J12-'7L'!J12</f>
        <v>-0.29999999999999716</v>
      </c>
      <c r="F12" s="83">
        <f>'7B'!K12-'7L'!K12</f>
        <v>-55</v>
      </c>
      <c r="G12" s="83">
        <f>'7B'!L12-'7L'!L12</f>
        <v>4336.5</v>
      </c>
      <c r="H12" s="83" t="s">
        <v>9</v>
      </c>
      <c r="I12" s="83" t="s">
        <v>9</v>
      </c>
      <c r="J12" s="83">
        <f>'7B'!O12-'7L'!O12</f>
        <v>-4.1000000000000014</v>
      </c>
      <c r="K12" s="83">
        <f>'7B'!P12-'7L'!P12</f>
        <v>-85.699999999999989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83">
        <f>'7B'!G13-'7L'!G13</f>
        <v>9655</v>
      </c>
      <c r="C13" s="83" t="s">
        <v>9</v>
      </c>
      <c r="D13" s="83" t="s">
        <v>9</v>
      </c>
      <c r="E13" s="83">
        <f>'7B'!J13-'7L'!J13</f>
        <v>52.5</v>
      </c>
      <c r="F13" s="83">
        <f>'7B'!K13-'7L'!K13</f>
        <v>-4</v>
      </c>
      <c r="G13" s="83">
        <f>'7B'!L13-'7L'!L13</f>
        <v>4653.2999999999993</v>
      </c>
      <c r="H13" s="83" t="s">
        <v>9</v>
      </c>
      <c r="I13" s="83" t="s">
        <v>9</v>
      </c>
      <c r="J13" s="83">
        <f>'7B'!O13-'7L'!O13</f>
        <v>36.1</v>
      </c>
      <c r="K13" s="83">
        <f>'7B'!P13-'7L'!P13</f>
        <v>-43.699999999999989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83">
        <f>'7B'!G14-'7L'!G14</f>
        <v>11677.600000000002</v>
      </c>
      <c r="C14" s="83" t="s">
        <v>9</v>
      </c>
      <c r="D14" s="83" t="s">
        <v>9</v>
      </c>
      <c r="E14" s="83">
        <f>'7B'!J14-'7L'!J14</f>
        <v>18.599999999999994</v>
      </c>
      <c r="F14" s="83">
        <f>'7B'!K14-'7L'!K14</f>
        <v>126.5</v>
      </c>
      <c r="G14" s="83">
        <f>'7B'!L14-'7L'!L14</f>
        <v>5495.9000000000015</v>
      </c>
      <c r="H14" s="83" t="s">
        <v>9</v>
      </c>
      <c r="I14" s="83" t="s">
        <v>9</v>
      </c>
      <c r="J14" s="83">
        <f>'7B'!O14-'7L'!O14</f>
        <v>13</v>
      </c>
      <c r="K14" s="83">
        <f>'7B'!P14-'7L'!P14</f>
        <v>61.300000000000011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83">
        <f>'7B'!G15-'7L'!G15</f>
        <v>10335.799999999999</v>
      </c>
      <c r="C15" s="83" t="s">
        <v>9</v>
      </c>
      <c r="D15" s="83" t="s">
        <v>9</v>
      </c>
      <c r="E15" s="83">
        <f>'7B'!J15-'7L'!J15</f>
        <v>1</v>
      </c>
      <c r="F15" s="83">
        <f>'7B'!K15-'7L'!K15</f>
        <v>97.300000000000011</v>
      </c>
      <c r="G15" s="83">
        <f>'7B'!L15-'7L'!L15</f>
        <v>4680.1999999999989</v>
      </c>
      <c r="H15" s="83" t="s">
        <v>9</v>
      </c>
      <c r="I15" s="83" t="s">
        <v>9</v>
      </c>
      <c r="J15" s="83">
        <f>'7B'!O15-'7L'!O15</f>
        <v>-3.9000000000000057</v>
      </c>
      <c r="K15" s="83">
        <f>'7B'!P15-'7L'!P15</f>
        <v>34.100000000000023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83">
        <f>'7B'!G16-'7L'!G16</f>
        <v>9667.5999999999985</v>
      </c>
      <c r="C16" s="83" t="s">
        <v>9</v>
      </c>
      <c r="D16" s="83" t="s">
        <v>9</v>
      </c>
      <c r="E16" s="83">
        <f>'7B'!J16-'7L'!J16</f>
        <v>49.5</v>
      </c>
      <c r="F16" s="83">
        <f>'7B'!K16-'7L'!K16</f>
        <v>-71.699999999999989</v>
      </c>
      <c r="G16" s="83">
        <f>'7B'!L16-'7L'!L16</f>
        <v>4330.2999999999993</v>
      </c>
      <c r="H16" s="83" t="s">
        <v>9</v>
      </c>
      <c r="I16" s="83" t="s">
        <v>9</v>
      </c>
      <c r="J16" s="83">
        <f>'7B'!O16-'7L'!O16</f>
        <v>35.299999999999997</v>
      </c>
      <c r="K16" s="83">
        <f>'7B'!P16-'7L'!P16</f>
        <v>-99.699999999999989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83">
        <f>'7B'!G17-'7L'!G17</f>
        <v>10044.099999999999</v>
      </c>
      <c r="C17" s="83" t="s">
        <v>9</v>
      </c>
      <c r="D17" s="83" t="s">
        <v>9</v>
      </c>
      <c r="E17" s="83">
        <f>'7B'!J17-'7L'!J17</f>
        <v>133.19999999999999</v>
      </c>
      <c r="F17" s="83">
        <f>'7B'!K17-'7L'!K17</f>
        <v>-25.300000000000011</v>
      </c>
      <c r="G17" s="83">
        <f>'7B'!L17-'7L'!L17</f>
        <v>4740.2000000000007</v>
      </c>
      <c r="H17" s="83" t="s">
        <v>9</v>
      </c>
      <c r="I17" s="83" t="s">
        <v>9</v>
      </c>
      <c r="J17" s="83">
        <f>'7B'!O17-'7L'!O17</f>
        <v>99.199999999999989</v>
      </c>
      <c r="K17" s="83">
        <f>'7B'!P17-'7L'!P17</f>
        <v>-59.100000000000023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83">
        <f>'7B'!G18-'7L'!G18</f>
        <v>10658</v>
      </c>
      <c r="C18" s="83" t="s">
        <v>9</v>
      </c>
      <c r="D18" s="83" t="s">
        <v>9</v>
      </c>
      <c r="E18" s="83">
        <f>'7B'!J18-'7L'!J18</f>
        <v>167.4</v>
      </c>
      <c r="F18" s="83">
        <f>'7B'!K18-'7L'!K18</f>
        <v>156.19999999999999</v>
      </c>
      <c r="G18" s="83">
        <f>'7B'!L18-'7L'!L18</f>
        <v>5303</v>
      </c>
      <c r="H18" s="83" t="s">
        <v>9</v>
      </c>
      <c r="I18" s="83" t="s">
        <v>9</v>
      </c>
      <c r="J18" s="83">
        <f>'7B'!O18-'7L'!O18</f>
        <v>128.69999999999999</v>
      </c>
      <c r="K18" s="83">
        <f>'7B'!P18-'7L'!P18</f>
        <v>88.400000000000034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83">
        <f>'7B'!G19-'7L'!G19</f>
        <v>10448.199999999997</v>
      </c>
      <c r="C19" s="83" t="s">
        <v>9</v>
      </c>
      <c r="D19" s="83" t="s">
        <v>9</v>
      </c>
      <c r="E19" s="83">
        <f>'7B'!J19-'7L'!J19</f>
        <v>93.799999999999983</v>
      </c>
      <c r="F19" s="83">
        <f>'7B'!K19-'7L'!K19</f>
        <v>230.10000000000002</v>
      </c>
      <c r="G19" s="83">
        <f>'7B'!L19-'7L'!L19</f>
        <v>4968.1000000000022</v>
      </c>
      <c r="H19" s="83" t="s">
        <v>9</v>
      </c>
      <c r="I19" s="83" t="s">
        <v>9</v>
      </c>
      <c r="J19" s="83">
        <f>'7B'!O19-'7L'!O19</f>
        <v>62.5</v>
      </c>
      <c r="K19" s="83">
        <f>'7B'!P19-'7L'!P19</f>
        <v>141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83">
        <f>'7B'!G20-'7L'!G20</f>
        <v>7459.2999999999993</v>
      </c>
      <c r="C20" s="83" t="s">
        <v>9</v>
      </c>
      <c r="D20" s="83" t="s">
        <v>9</v>
      </c>
      <c r="E20" s="83">
        <f>'7B'!J20-'7L'!J20</f>
        <v>-9.5</v>
      </c>
      <c r="F20" s="83">
        <f>'7B'!K20-'7L'!K20</f>
        <v>375.9</v>
      </c>
      <c r="G20" s="83">
        <f>'7B'!L20-'7L'!L20</f>
        <v>3117.5</v>
      </c>
      <c r="H20" s="83" t="s">
        <v>9</v>
      </c>
      <c r="I20" s="83" t="s">
        <v>9</v>
      </c>
      <c r="J20" s="83">
        <f>'7B'!O20-'7L'!O20</f>
        <v>-16.099999999999994</v>
      </c>
      <c r="K20" s="83">
        <f>'7B'!P20-'7L'!P20</f>
        <v>248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83">
        <f>'7B'!G21-'7L'!G21</f>
        <v>6660.5999999999985</v>
      </c>
      <c r="C21" s="83" t="s">
        <v>9</v>
      </c>
      <c r="D21" s="83" t="s">
        <v>9</v>
      </c>
      <c r="E21" s="83">
        <f>'7B'!J21-'7L'!J21</f>
        <v>-16.399999999999991</v>
      </c>
      <c r="F21" s="83">
        <f>'7B'!K21-'7L'!K21</f>
        <v>180.10000000000002</v>
      </c>
      <c r="G21" s="83">
        <f>'7B'!L21-'7L'!L21</f>
        <v>2620.4000000000015</v>
      </c>
      <c r="H21" s="83" t="s">
        <v>9</v>
      </c>
      <c r="I21" s="83" t="s">
        <v>9</v>
      </c>
      <c r="J21" s="83">
        <f>'7B'!O21-'7L'!O21</f>
        <v>-26.599999999999994</v>
      </c>
      <c r="K21" s="83">
        <f>'7B'!P21-'7L'!P21</f>
        <v>78.199999999999932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83">
        <f>'7B'!G22-'7L'!G22</f>
        <v>5615.5999999999985</v>
      </c>
      <c r="C22" s="83" t="s">
        <v>9</v>
      </c>
      <c r="D22" s="83" t="s">
        <v>9</v>
      </c>
      <c r="E22" s="83">
        <f>'7B'!J22-'7L'!J22</f>
        <v>-25.399999999999991</v>
      </c>
      <c r="F22" s="83">
        <f>'7B'!K22-'7L'!K22</f>
        <v>-201.60000000000002</v>
      </c>
      <c r="G22" s="83">
        <f>'7B'!L22-'7L'!L22</f>
        <v>2263.5</v>
      </c>
      <c r="H22" s="83" t="s">
        <v>9</v>
      </c>
      <c r="I22" s="83" t="s">
        <v>9</v>
      </c>
      <c r="J22" s="83">
        <f>'7B'!O22-'7L'!O22</f>
        <v>-30.5</v>
      </c>
      <c r="K22" s="83">
        <f>'7B'!P22-'7L'!P22</f>
        <v>-210.8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83">
        <f>'7B'!G23-'7L'!G23</f>
        <v>6264.9000000000015</v>
      </c>
      <c r="C23" s="83" t="s">
        <v>9</v>
      </c>
      <c r="D23" s="83" t="s">
        <v>9</v>
      </c>
      <c r="E23" s="83">
        <f>'7B'!J23-'7L'!J23</f>
        <v>-16.800000000000011</v>
      </c>
      <c r="F23" s="83">
        <f>'7B'!K23-'7L'!K23</f>
        <v>-67.399999999999977</v>
      </c>
      <c r="G23" s="83">
        <f>'7B'!L23-'7L'!L23</f>
        <v>2533.5999999999985</v>
      </c>
      <c r="H23" s="83" t="s">
        <v>9</v>
      </c>
      <c r="I23" s="83" t="s">
        <v>9</v>
      </c>
      <c r="J23" s="83">
        <f>'7B'!O23-'7L'!O23</f>
        <v>-18.700000000000003</v>
      </c>
      <c r="K23" s="83">
        <f>'7B'!P23-'7L'!P23</f>
        <v>-85.199999999999989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83">
        <f>'7B'!G24-'7L'!G24</f>
        <v>8049.5</v>
      </c>
      <c r="C24" s="83" t="s">
        <v>9</v>
      </c>
      <c r="D24" s="83" t="s">
        <v>9</v>
      </c>
      <c r="E24" s="83">
        <f>'7B'!J24-'7L'!J24</f>
        <v>7.6999999999999886</v>
      </c>
      <c r="F24" s="83">
        <f>'7B'!K24-'7L'!K24</f>
        <v>113.00000000000006</v>
      </c>
      <c r="G24" s="83">
        <f>'7B'!L24-'7L'!L24</f>
        <v>3856.5999999999985</v>
      </c>
      <c r="H24" s="83" t="s">
        <v>9</v>
      </c>
      <c r="I24" s="83" t="s">
        <v>9</v>
      </c>
      <c r="J24" s="83">
        <f>'7B'!O24-'7L'!O24</f>
        <v>5.9000000000000057</v>
      </c>
      <c r="K24" s="83">
        <f>'7B'!P24-'7L'!P24</f>
        <v>46.700000000000045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83">
        <f>'7B'!G25-'7L'!G25</f>
        <v>8708.5</v>
      </c>
      <c r="C25" s="83" t="s">
        <v>9</v>
      </c>
      <c r="D25" s="83" t="s">
        <v>9</v>
      </c>
      <c r="E25" s="83">
        <f>'7B'!J25-'7L'!J25</f>
        <v>17.899999999999977</v>
      </c>
      <c r="F25" s="83">
        <f>'7B'!K25-'7L'!K25</f>
        <v>610.5</v>
      </c>
      <c r="G25" s="83">
        <f>'7B'!L25-'7L'!L25</f>
        <v>4997.8999999999978</v>
      </c>
      <c r="H25" s="83" t="s">
        <v>9</v>
      </c>
      <c r="I25" s="83" t="s">
        <v>9</v>
      </c>
      <c r="J25" s="83">
        <f>'7B'!O25-'7L'!O25</f>
        <v>3.9000000000000057</v>
      </c>
      <c r="K25" s="83">
        <f>'7B'!P25-'7L'!P25</f>
        <v>425.40000000000003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83">
        <f>'7B'!G26-'7L'!G26</f>
        <v>5056.9000000000015</v>
      </c>
      <c r="C26" s="83" t="s">
        <v>9</v>
      </c>
      <c r="D26" s="83" t="s">
        <v>9</v>
      </c>
      <c r="E26" s="83">
        <f>'7B'!J26-'7L'!J26</f>
        <v>-29.100000000000009</v>
      </c>
      <c r="F26" s="83">
        <f>'7B'!K26-'7L'!K26</f>
        <v>287.29999999999995</v>
      </c>
      <c r="G26" s="83">
        <f>'7B'!L26-'7L'!L26</f>
        <v>2363.2999999999993</v>
      </c>
      <c r="H26" s="83" t="s">
        <v>9</v>
      </c>
      <c r="I26" s="83" t="s">
        <v>9</v>
      </c>
      <c r="J26" s="83">
        <f>'7B'!O26-'7L'!O26</f>
        <v>-27.599999999999994</v>
      </c>
      <c r="K26" s="83">
        <f>'7B'!P26-'7L'!P26</f>
        <v>182.10000000000002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83">
        <f>'7B'!G27-'7L'!G27</f>
        <v>3003.5</v>
      </c>
      <c r="C27" s="83" t="s">
        <v>9</v>
      </c>
      <c r="D27" s="83" t="s">
        <v>9</v>
      </c>
      <c r="E27" s="83">
        <f>'7B'!J27-'7L'!J27</f>
        <v>-47</v>
      </c>
      <c r="F27" s="83">
        <f>'7B'!K27-'7L'!K27</f>
        <v>-218.29999999999995</v>
      </c>
      <c r="G27" s="83">
        <f>'7B'!L27-'7L'!L27</f>
        <v>1681.7000000000007</v>
      </c>
      <c r="H27" s="83" t="s">
        <v>9</v>
      </c>
      <c r="I27" s="83" t="s">
        <v>9</v>
      </c>
      <c r="J27" s="83">
        <f>'7B'!O27-'7L'!O27</f>
        <v>-42.399999999999991</v>
      </c>
      <c r="K27" s="83">
        <f>'7B'!P27-'7L'!P27</f>
        <v>-240.39999999999998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83">
        <f>'7B'!G28-'7L'!G28</f>
        <v>4797.6999999999971</v>
      </c>
      <c r="C28" s="83" t="s">
        <v>9</v>
      </c>
      <c r="D28" s="83" t="s">
        <v>9</v>
      </c>
      <c r="E28" s="83">
        <f>'7B'!J28-'7L'!J28</f>
        <v>-10.099999999999994</v>
      </c>
      <c r="F28" s="83">
        <f>'7B'!K28-'7L'!K28</f>
        <v>-113.30000000000001</v>
      </c>
      <c r="G28" s="83">
        <f>'7B'!L28-'7L'!L28</f>
        <v>2818.5</v>
      </c>
      <c r="H28" s="83" t="s">
        <v>9</v>
      </c>
      <c r="I28" s="83" t="s">
        <v>9</v>
      </c>
      <c r="J28" s="83">
        <f>'7B'!O28-'7L'!O28</f>
        <v>-14.599999999999994</v>
      </c>
      <c r="K28" s="83">
        <f>'7B'!P28-'7L'!P28</f>
        <v>-146.70000000000005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83">
        <f>'7B'!G29-'7L'!G29</f>
        <v>7378.7000000000007</v>
      </c>
      <c r="C29" s="83" t="s">
        <v>9</v>
      </c>
      <c r="D29" s="83" t="s">
        <v>9</v>
      </c>
      <c r="E29" s="83">
        <f>'7B'!J29-'7L'!J29</f>
        <v>-35.400000000000006</v>
      </c>
      <c r="F29" s="83">
        <f>'7B'!K29-'7L'!K29</f>
        <v>200.90000000000009</v>
      </c>
      <c r="G29" s="83">
        <f>'7B'!L29-'7L'!L29</f>
        <v>4860.2999999999993</v>
      </c>
      <c r="H29" s="83" t="s">
        <v>9</v>
      </c>
      <c r="I29" s="83" t="s">
        <v>9</v>
      </c>
      <c r="J29" s="83">
        <f>'7B'!O29-'7L'!O29</f>
        <v>-35.200000000000003</v>
      </c>
      <c r="K29" s="83">
        <f>'7B'!P29-'7L'!P29</f>
        <v>117.89999999999998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83">
        <f>'7B'!G30-'7L'!G30</f>
        <v>10465.899999999998</v>
      </c>
      <c r="C30" s="83" t="s">
        <v>9</v>
      </c>
      <c r="D30" s="83" t="s">
        <v>9</v>
      </c>
      <c r="E30" s="83">
        <f>'7B'!J30-'7L'!J30</f>
        <v>-28.799999999999997</v>
      </c>
      <c r="F30" s="83">
        <f>'7B'!K30-'7L'!K30</f>
        <v>-148.39999999999998</v>
      </c>
      <c r="G30" s="83">
        <f>'7B'!L30-'7L'!L30</f>
        <v>6967.7000000000007</v>
      </c>
      <c r="H30" s="83" t="s">
        <v>9</v>
      </c>
      <c r="I30" s="83" t="s">
        <v>9</v>
      </c>
      <c r="J30" s="83">
        <f>'7B'!O30-'7L'!O30</f>
        <v>-26.5</v>
      </c>
      <c r="K30" s="83">
        <f>'7B'!P30-'7L'!P30</f>
        <v>-166.39999999999998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83">
        <f>'7B'!G31-'7L'!G31</f>
        <v>12388.699999999997</v>
      </c>
      <c r="C31" s="83" t="s">
        <v>9</v>
      </c>
      <c r="D31" s="83" t="s">
        <v>9</v>
      </c>
      <c r="E31" s="83">
        <f>'7B'!J31-'7L'!J31</f>
        <v>58.2</v>
      </c>
      <c r="F31" s="83">
        <f>'7B'!K31-'7L'!K31</f>
        <v>-81.999999999999943</v>
      </c>
      <c r="G31" s="83">
        <f>'7B'!L31-'7L'!L31</f>
        <v>8749.5999999999985</v>
      </c>
      <c r="H31" s="83" t="s">
        <v>9</v>
      </c>
      <c r="I31" s="83" t="s">
        <v>9</v>
      </c>
      <c r="J31" s="83">
        <f>'7B'!O31-'7L'!O31</f>
        <v>53.900000000000006</v>
      </c>
      <c r="K31" s="83">
        <f>'7B'!P31-'7L'!P31</f>
        <v>-91.600000000000023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83">
        <f>'7B'!G32-'7L'!G32</f>
        <v>16135.099999999999</v>
      </c>
      <c r="C32" s="83" t="s">
        <v>9</v>
      </c>
      <c r="D32" s="83" t="s">
        <v>9</v>
      </c>
      <c r="E32" s="83">
        <f>'7B'!J32-'7L'!J32</f>
        <v>122.90000000000003</v>
      </c>
      <c r="F32" s="83">
        <f>'7B'!K32-'7L'!K32</f>
        <v>162.20000000000005</v>
      </c>
      <c r="G32" s="83">
        <f>'7B'!L32-'7L'!L32</f>
        <v>11409.100000000002</v>
      </c>
      <c r="H32" s="83" t="s">
        <v>9</v>
      </c>
      <c r="I32" s="83" t="s">
        <v>9</v>
      </c>
      <c r="J32" s="83">
        <f>'7B'!O32-'7L'!O32</f>
        <v>110.1</v>
      </c>
      <c r="K32" s="83">
        <f>'7B'!P32-'7L'!P32</f>
        <v>126.09999999999991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83">
        <f>'7B'!G33-'7L'!G33</f>
        <v>15660.599999999999</v>
      </c>
      <c r="C33" s="83" t="s">
        <v>9</v>
      </c>
      <c r="D33" s="83" t="s">
        <v>9</v>
      </c>
      <c r="E33" s="83">
        <f>'7B'!J33-'7L'!J33</f>
        <v>58.800000000000011</v>
      </c>
      <c r="F33" s="83">
        <f>'7B'!K33-'7L'!K33</f>
        <v>555</v>
      </c>
      <c r="G33" s="83">
        <f>'7B'!L33-'7L'!L33</f>
        <v>11404.100000000002</v>
      </c>
      <c r="H33" s="83" t="s">
        <v>9</v>
      </c>
      <c r="I33" s="83" t="s">
        <v>9</v>
      </c>
      <c r="J33" s="83">
        <f>'7B'!O33-'7L'!O33</f>
        <v>47.099999999999994</v>
      </c>
      <c r="K33" s="83">
        <f>'7B'!P33-'7L'!P33</f>
        <v>475.09999999999991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83">
        <f>'7B'!G34-'7L'!G34</f>
        <v>12332.399999999994</v>
      </c>
      <c r="C34" s="83" t="s">
        <v>9</v>
      </c>
      <c r="D34" s="83" t="s">
        <v>9</v>
      </c>
      <c r="E34" s="83">
        <f>'7B'!J34-'7L'!J34</f>
        <v>-37</v>
      </c>
      <c r="F34" s="83">
        <f>'7B'!K34-'7L'!K34</f>
        <v>170.70000000000005</v>
      </c>
      <c r="G34" s="83">
        <f>'7B'!L34-'7L'!L34</f>
        <v>8698.5999999999985</v>
      </c>
      <c r="H34" s="83" t="s">
        <v>9</v>
      </c>
      <c r="I34" s="83" t="s">
        <v>9</v>
      </c>
      <c r="J34" s="83">
        <f>'7B'!O34-'7L'!O34</f>
        <v>-36.5</v>
      </c>
      <c r="K34" s="83">
        <f>'7B'!P34-'7L'!P34</f>
        <v>120.10000000000002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83">
        <f>'7B'!G35-'7L'!G35</f>
        <v>10831.699999999997</v>
      </c>
      <c r="C35" s="83" t="s">
        <v>9</v>
      </c>
      <c r="D35" s="83" t="s">
        <v>9</v>
      </c>
      <c r="E35" s="83">
        <f>'7B'!J35-'7L'!J35</f>
        <v>-67.399999999999991</v>
      </c>
      <c r="F35" s="83">
        <f>'7B'!K35-'7L'!K35</f>
        <v>-155.89999999999998</v>
      </c>
      <c r="G35" s="83">
        <f>'7B'!L35-'7L'!L35</f>
        <v>7774.8000000000029</v>
      </c>
      <c r="H35" s="83" t="s">
        <v>9</v>
      </c>
      <c r="I35" s="83" t="s">
        <v>9</v>
      </c>
      <c r="J35" s="83">
        <f>'7B'!O35-'7L'!O35</f>
        <v>-61.699999999999989</v>
      </c>
      <c r="K35" s="83">
        <f>'7B'!P35-'7L'!P35</f>
        <v>-178.10000000000002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83">
        <f>'7B'!G36-'7L'!G36</f>
        <v>5301.4000000000015</v>
      </c>
      <c r="C36" s="83" t="s">
        <v>9</v>
      </c>
      <c r="D36" s="83" t="s">
        <v>9</v>
      </c>
      <c r="E36" s="83">
        <f>'7B'!J36-'7L'!J36</f>
        <v>-75.399999999999991</v>
      </c>
      <c r="F36" s="83">
        <f>'7B'!K36-'7L'!K36</f>
        <v>-187</v>
      </c>
      <c r="G36" s="83">
        <f>'7B'!L36-'7L'!L36</f>
        <v>4088.5999999999985</v>
      </c>
      <c r="H36" s="83" t="s">
        <v>9</v>
      </c>
      <c r="I36" s="83" t="s">
        <v>9</v>
      </c>
      <c r="J36" s="83">
        <f>'7B'!O36-'7L'!O36</f>
        <v>-66.800000000000011</v>
      </c>
      <c r="K36" s="83">
        <f>'7B'!P36-'7L'!P36</f>
        <v>-212.70000000000005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83">
        <f>'7B'!G37-'7L'!G37</f>
        <v>854.89999999999418</v>
      </c>
      <c r="C37" s="83" t="s">
        <v>9</v>
      </c>
      <c r="D37" s="83" t="s">
        <v>9</v>
      </c>
      <c r="E37" s="83">
        <f>'7B'!J37-'7L'!J37</f>
        <v>-51.7</v>
      </c>
      <c r="F37" s="83">
        <f>'7B'!K37-'7L'!K37</f>
        <v>-181.60000000000002</v>
      </c>
      <c r="G37" s="83">
        <f>'7B'!L37-'7L'!L37</f>
        <v>603.80000000000291</v>
      </c>
      <c r="H37" s="83" t="s">
        <v>9</v>
      </c>
      <c r="I37" s="83" t="s">
        <v>9</v>
      </c>
      <c r="J37" s="83">
        <f>'7B'!O37-'7L'!O37</f>
        <v>-43.7</v>
      </c>
      <c r="K37" s="83">
        <f>'7B'!P37-'7L'!P37</f>
        <v>-191.29999999999995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83">
        <f>'7B'!G38-'7L'!G38</f>
        <v>3225.8000000000029</v>
      </c>
      <c r="C38" s="83" t="s">
        <v>9</v>
      </c>
      <c r="D38" s="83" t="s">
        <v>9</v>
      </c>
      <c r="E38" s="83">
        <f>'7B'!J38-'7L'!J38</f>
        <v>39</v>
      </c>
      <c r="F38" s="83">
        <f>'7B'!K38-'7L'!K38</f>
        <v>-153.60000000000002</v>
      </c>
      <c r="G38" s="83">
        <f>'7B'!L38-'7L'!L38</f>
        <v>2563.0999999999985</v>
      </c>
      <c r="H38" s="83" t="s">
        <v>9</v>
      </c>
      <c r="I38" s="83" t="s">
        <v>9</v>
      </c>
      <c r="J38" s="83">
        <f>'7B'!O38-'7L'!O38</f>
        <v>27.699999999999989</v>
      </c>
      <c r="K38" s="83">
        <f>'7B'!P38-'7L'!P38</f>
        <v>-178.19999999999993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83">
        <f>'7B'!G39-'7L'!G39</f>
        <v>3709.9000000000015</v>
      </c>
      <c r="C39" s="83" t="s">
        <v>9</v>
      </c>
      <c r="D39" s="83" t="s">
        <v>9</v>
      </c>
      <c r="E39" s="83">
        <f>'7B'!J39-'7L'!J39</f>
        <v>136.89999999999998</v>
      </c>
      <c r="F39" s="83">
        <f>'7B'!K39-'7L'!K39</f>
        <v>619.1</v>
      </c>
      <c r="G39" s="83">
        <f>'7B'!L39-'7L'!L39</f>
        <v>3427.3999999999942</v>
      </c>
      <c r="H39" s="83" t="s">
        <v>9</v>
      </c>
      <c r="I39" s="83" t="s">
        <v>9</v>
      </c>
      <c r="J39" s="83">
        <f>'7B'!O39-'7L'!O39</f>
        <v>133.20000000000002</v>
      </c>
      <c r="K39" s="83">
        <f>'7B'!P39-'7L'!P39</f>
        <v>505.60000000000014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83">
        <f>'7B'!G40-'7L'!G40</f>
        <v>5284</v>
      </c>
      <c r="C40" s="83" t="s">
        <v>9</v>
      </c>
      <c r="D40" s="83" t="s">
        <v>9</v>
      </c>
      <c r="E40" s="83">
        <f>'7B'!J40-'7L'!J40</f>
        <v>9.7000000000000171</v>
      </c>
      <c r="F40" s="83">
        <f>'7B'!K40-'7L'!K40</f>
        <v>202.60000000000002</v>
      </c>
      <c r="G40" s="83">
        <f>'7B'!L40-'7L'!L40</f>
        <v>5008.0999999999985</v>
      </c>
      <c r="H40" s="83" t="s">
        <v>9</v>
      </c>
      <c r="I40" s="83" t="s">
        <v>9</v>
      </c>
      <c r="J40" s="83">
        <f>'7B'!O40-'7L'!O40</f>
        <v>5.5</v>
      </c>
      <c r="K40" s="83">
        <f>'7B'!P40-'7L'!P40</f>
        <v>168.20000000000005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83">
        <f>'7B'!G41-'7L'!G41</f>
        <v>7689.5</v>
      </c>
      <c r="C41" s="83" t="s">
        <v>9</v>
      </c>
      <c r="D41" s="83" t="s">
        <v>9</v>
      </c>
      <c r="E41" s="83">
        <f>'7B'!J41-'7L'!J41</f>
        <v>96.899999999999977</v>
      </c>
      <c r="F41" s="83">
        <f>'7B'!K41-'7L'!K41</f>
        <v>-208.70000000000005</v>
      </c>
      <c r="G41" s="83">
        <f>'7B'!L41-'7L'!L41</f>
        <v>7073.2999999999956</v>
      </c>
      <c r="H41" s="83" t="s">
        <v>9</v>
      </c>
      <c r="I41" s="83" t="s">
        <v>9</v>
      </c>
      <c r="J41" s="83">
        <f>'7B'!O41-'7L'!O41</f>
        <v>79.299999999999983</v>
      </c>
      <c r="K41" s="83">
        <f>'7B'!P41-'7L'!P41</f>
        <v>-249.69999999999993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83">
        <f>'7B'!G42-'7L'!G42</f>
        <v>7259.7999999999956</v>
      </c>
      <c r="C42" s="83" t="s">
        <v>9</v>
      </c>
      <c r="D42" s="83" t="s">
        <v>9</v>
      </c>
      <c r="E42" s="83">
        <f>'7B'!J42-'7L'!J42</f>
        <v>-9.9000000000000057</v>
      </c>
      <c r="F42" s="83">
        <f>'7B'!K42-'7L'!K42</f>
        <v>-234.10000000000002</v>
      </c>
      <c r="G42" s="83">
        <f>'7B'!L42-'7L'!L42</f>
        <v>6855.9000000000015</v>
      </c>
      <c r="H42" s="83" t="s">
        <v>9</v>
      </c>
      <c r="I42" s="83" t="s">
        <v>9</v>
      </c>
      <c r="J42" s="83">
        <f>'7B'!O42-'7L'!O42</f>
        <v>-5.7999999999999829</v>
      </c>
      <c r="K42" s="83">
        <f>'7B'!P42-'7L'!P42</f>
        <v>-244.70000000000005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83">
        <f>'7B'!G43-'7L'!G43</f>
        <v>8324.1999999999971</v>
      </c>
      <c r="C43" s="83" t="s">
        <v>9</v>
      </c>
      <c r="D43" s="83" t="s">
        <v>9</v>
      </c>
      <c r="E43" s="83">
        <f>'7B'!J43-'7L'!J43</f>
        <v>-11.099999999999994</v>
      </c>
      <c r="F43" s="83">
        <f>'7B'!K43-'7L'!K43</f>
        <v>-226.89999999999998</v>
      </c>
      <c r="G43" s="83">
        <f>'7B'!L43-'7L'!L43</f>
        <v>8398.7999999999956</v>
      </c>
      <c r="H43" s="83" t="s">
        <v>9</v>
      </c>
      <c r="I43" s="83" t="s">
        <v>9</v>
      </c>
      <c r="J43" s="83">
        <f>'7B'!O43-'7L'!O43</f>
        <v>-18.200000000000017</v>
      </c>
      <c r="K43" s="83">
        <f>'7B'!P43-'7L'!P43</f>
        <v>-251.5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83">
        <f>'7B'!G44-'7L'!G44</f>
        <v>6573.5999999999985</v>
      </c>
      <c r="C44" s="83" t="s">
        <v>9</v>
      </c>
      <c r="D44" s="83" t="s">
        <v>9</v>
      </c>
      <c r="E44" s="83">
        <f>'7B'!J44-'7L'!J44</f>
        <v>-2.0999999999999943</v>
      </c>
      <c r="F44" s="83">
        <f>'7B'!K44-'7L'!K44</f>
        <v>0.5</v>
      </c>
      <c r="G44" s="83">
        <f>'7B'!L44-'7L'!L44</f>
        <v>7269</v>
      </c>
      <c r="H44" s="83" t="s">
        <v>9</v>
      </c>
      <c r="I44" s="83" t="s">
        <v>9</v>
      </c>
      <c r="J44" s="83">
        <f>'7B'!O44-'7L'!O44</f>
        <v>-1.9000000000000057</v>
      </c>
      <c r="K44" s="83">
        <f>'7B'!P44-'7L'!P44</f>
        <v>-59.5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83">
        <f>'7B'!G45-'7L'!G45</f>
        <v>5500.3999999999942</v>
      </c>
      <c r="C45" s="83" t="s">
        <v>9</v>
      </c>
      <c r="D45" s="83" t="s">
        <v>9</v>
      </c>
      <c r="E45" s="83">
        <f>'7B'!J45-'7L'!J45</f>
        <v>-63.5</v>
      </c>
      <c r="F45" s="83">
        <f>'7B'!K45-'7L'!K45</f>
        <v>-139.79999999999995</v>
      </c>
      <c r="G45" s="83">
        <f>'7B'!L45-'7L'!L45</f>
        <v>5790.8000000000029</v>
      </c>
      <c r="H45" s="83" t="s">
        <v>9</v>
      </c>
      <c r="I45" s="83" t="s">
        <v>9</v>
      </c>
      <c r="J45" s="83">
        <f>'7B'!O45-'7L'!O45</f>
        <v>-58.800000000000011</v>
      </c>
      <c r="K45" s="83">
        <f>'7B'!P45-'7L'!P45</f>
        <v>-186.5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83">
        <f>'7B'!G46-'7L'!G46</f>
        <v>4272.2999999999956</v>
      </c>
      <c r="C46" s="83" t="s">
        <v>9</v>
      </c>
      <c r="D46" s="83" t="s">
        <v>9</v>
      </c>
      <c r="E46" s="83">
        <f>'7B'!J46-'7L'!J46</f>
        <v>-49.3</v>
      </c>
      <c r="F46" s="83">
        <f>'7B'!K46-'7L'!K46</f>
        <v>-277.59999999999997</v>
      </c>
      <c r="G46" s="83">
        <f>'7B'!L46-'7L'!L46</f>
        <v>3457.4000000000015</v>
      </c>
      <c r="H46" s="83" t="s">
        <v>9</v>
      </c>
      <c r="I46" s="83" t="s">
        <v>9</v>
      </c>
      <c r="J46" s="83">
        <f>'7B'!O46-'7L'!O46</f>
        <v>-46.199999999999989</v>
      </c>
      <c r="K46" s="83">
        <f>'7B'!P46-'7L'!P46</f>
        <v>-278.89999999999998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83">
        <f>'7B'!G47-'7L'!G47</f>
        <v>6761.5</v>
      </c>
      <c r="C47" s="83" t="s">
        <v>9</v>
      </c>
      <c r="D47" s="83" t="s">
        <v>9</v>
      </c>
      <c r="E47" s="83">
        <f>'7B'!J47-'7L'!J47</f>
        <v>-58.399999999999991</v>
      </c>
      <c r="F47" s="83">
        <f>'7B'!K47-'7L'!K47</f>
        <v>-150.90000000000003</v>
      </c>
      <c r="G47" s="83">
        <f>'7B'!L47-'7L'!L47</f>
        <v>6063.9000000000015</v>
      </c>
      <c r="H47" s="83" t="s">
        <v>9</v>
      </c>
      <c r="I47" s="83" t="s">
        <v>9</v>
      </c>
      <c r="J47" s="83">
        <f>'7B'!O47-'7L'!O47</f>
        <v>-48.600000000000009</v>
      </c>
      <c r="K47" s="83">
        <f>'7B'!P47-'7L'!P47</f>
        <v>-157.39999999999998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83">
        <f>'7B'!G48-'7L'!G48</f>
        <v>9096.6999999999971</v>
      </c>
      <c r="C48" s="83" t="s">
        <v>9</v>
      </c>
      <c r="D48" s="83" t="s">
        <v>9</v>
      </c>
      <c r="E48" s="83">
        <f>'7B'!J48-'7L'!J48</f>
        <v>16.400000000000006</v>
      </c>
      <c r="F48" s="83">
        <f>'7B'!K48-'7L'!K48</f>
        <v>-191.60000000000002</v>
      </c>
      <c r="G48" s="83">
        <f>'7B'!L48-'7L'!L48</f>
        <v>8759.2000000000044</v>
      </c>
      <c r="H48" s="83" t="s">
        <v>9</v>
      </c>
      <c r="I48" s="83" t="s">
        <v>9</v>
      </c>
      <c r="J48" s="83">
        <f>'7B'!O48-'7L'!O48</f>
        <v>22.099999999999994</v>
      </c>
      <c r="K48" s="83">
        <f>'7B'!P48-'7L'!P48</f>
        <v>-204.40000000000003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83">
        <f>'7B'!G49-'7L'!G49</f>
        <v>11646.100000000006</v>
      </c>
      <c r="C49" s="83" t="s">
        <v>9</v>
      </c>
      <c r="D49" s="83" t="s">
        <v>9</v>
      </c>
      <c r="E49" s="83">
        <f>'7B'!J49-'7L'!J49</f>
        <v>44.299999999999983</v>
      </c>
      <c r="F49" s="83">
        <f>'7B'!K49-'7L'!K49</f>
        <v>-231.3</v>
      </c>
      <c r="G49" s="83">
        <f>'7B'!L49-'7L'!L49</f>
        <v>11649</v>
      </c>
      <c r="H49" s="83" t="s">
        <v>9</v>
      </c>
      <c r="I49" s="83" t="s">
        <v>9</v>
      </c>
      <c r="J49" s="83">
        <f>'7B'!O49-'7L'!O49</f>
        <v>43.299999999999983</v>
      </c>
      <c r="K49" s="83">
        <f>'7B'!P49-'7L'!P49</f>
        <v>-231.89999999999998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83">
        <f>'7B'!G50-'7L'!G50</f>
        <v>13548.300000000003</v>
      </c>
      <c r="C50" s="83" t="s">
        <v>9</v>
      </c>
      <c r="D50" s="83" t="s">
        <v>9</v>
      </c>
      <c r="E50" s="83">
        <f>'7B'!J50-'7L'!J50</f>
        <v>24</v>
      </c>
      <c r="F50" s="83">
        <f>'7B'!K50-'7L'!K50</f>
        <v>-235.40000000000003</v>
      </c>
      <c r="G50" s="83">
        <f>'7B'!L50-'7L'!L50</f>
        <v>13582.5</v>
      </c>
      <c r="H50" s="83" t="s">
        <v>9</v>
      </c>
      <c r="I50" s="83" t="s">
        <v>9</v>
      </c>
      <c r="J50" s="83">
        <f>'7B'!O50-'7L'!O50</f>
        <v>21.800000000000011</v>
      </c>
      <c r="K50" s="83">
        <f>'7B'!P50-'7L'!P50</f>
        <v>-235.29999999999995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83">
        <f>'7B'!G51-'7L'!G51</f>
        <v>11091.100000000006</v>
      </c>
      <c r="C51" s="83" t="s">
        <v>9</v>
      </c>
      <c r="D51" s="83" t="s">
        <v>9</v>
      </c>
      <c r="E51" s="83">
        <f>'7B'!J51-'7L'!J51</f>
        <v>-22.299999999999983</v>
      </c>
      <c r="F51" s="83">
        <f>'7B'!K51-'7L'!K51</f>
        <v>-204.09999999999997</v>
      </c>
      <c r="G51" s="83">
        <f>'7B'!L51-'7L'!L51</f>
        <v>11091.100000000006</v>
      </c>
      <c r="H51" s="83" t="s">
        <v>9</v>
      </c>
      <c r="I51" s="83" t="s">
        <v>9</v>
      </c>
      <c r="J51" s="83">
        <f>'7B'!O51-'7L'!O51</f>
        <v>-22.299999999999983</v>
      </c>
      <c r="K51" s="83">
        <f>'7B'!P51-'7L'!P51</f>
        <v>-204.09999999999997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83">
        <f>'7B'!G52-'7L'!G52</f>
        <v>9545</v>
      </c>
      <c r="C52" s="83" t="s">
        <v>9</v>
      </c>
      <c r="D52" s="83" t="s">
        <v>9</v>
      </c>
      <c r="E52" s="83">
        <f>'7B'!J52-'7L'!J52</f>
        <v>-32.300000000000011</v>
      </c>
      <c r="F52" s="83">
        <f>'7B'!K52-'7L'!K52</f>
        <v>-186.00000000000006</v>
      </c>
      <c r="G52" s="83">
        <f>'7B'!L52-'7L'!L52</f>
        <v>9518.5</v>
      </c>
      <c r="H52" s="83" t="s">
        <v>9</v>
      </c>
      <c r="I52" s="83" t="s">
        <v>9</v>
      </c>
      <c r="J52" s="83">
        <f>'7B'!O52-'7L'!O52</f>
        <v>-32.099999999999994</v>
      </c>
      <c r="K52" s="83">
        <f>'7B'!P52-'7L'!P52</f>
        <v>-184.8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83">
        <f>'7B'!G53-'7L'!G53</f>
        <v>2044.2000000000116</v>
      </c>
      <c r="C53" s="83" t="s">
        <v>9</v>
      </c>
      <c r="D53" s="83" t="s">
        <v>9</v>
      </c>
      <c r="E53" s="83">
        <f>'7B'!J53-'7L'!J53</f>
        <v>-102.3</v>
      </c>
      <c r="F53" s="83">
        <f>'7B'!K53-'7L'!K53</f>
        <v>-286.89999999999998</v>
      </c>
      <c r="G53" s="83">
        <f>'7B'!L53-'7L'!L53</f>
        <v>2220.7000000000116</v>
      </c>
      <c r="H53" s="83" t="s">
        <v>9</v>
      </c>
      <c r="I53" s="83" t="s">
        <v>9</v>
      </c>
      <c r="J53" s="83">
        <f>'7B'!O53-'7L'!O53</f>
        <v>-102.89999999999999</v>
      </c>
      <c r="K53" s="83">
        <f>'7B'!P53-'7L'!P53</f>
        <v>-287.29999999999995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83">
        <f>'7B'!G54-'7L'!G54</f>
        <v>10460.399999999994</v>
      </c>
      <c r="C54" s="83" t="s">
        <v>9</v>
      </c>
      <c r="D54" s="83" t="s">
        <v>9</v>
      </c>
      <c r="E54" s="83" t="s">
        <v>9</v>
      </c>
      <c r="F54" s="83">
        <f>'7B'!K54-'7L'!K54</f>
        <v>-246.4</v>
      </c>
      <c r="G54" s="83">
        <f>'7B'!L54-'7L'!L54</f>
        <v>10658.899999999994</v>
      </c>
      <c r="H54" s="83" t="s">
        <v>9</v>
      </c>
      <c r="I54" s="83" t="s">
        <v>9</v>
      </c>
      <c r="J54" s="83" t="s">
        <v>9</v>
      </c>
      <c r="K54" s="83">
        <f>'7B'!P54-'7L'!P54</f>
        <v>-244.3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83">
        <f>'7B'!G55-'7L'!G55</f>
        <v>9966.1000000000058</v>
      </c>
      <c r="C55" s="83" t="s">
        <v>9</v>
      </c>
      <c r="D55" s="83" t="s">
        <v>9</v>
      </c>
      <c r="E55" s="83" t="s">
        <v>9</v>
      </c>
      <c r="F55" s="83">
        <f>'7B'!K55-'7L'!K55</f>
        <v>-189.10000000000002</v>
      </c>
      <c r="G55" s="83">
        <f>'7B'!L55-'7L'!L55</f>
        <v>9697.7999999999884</v>
      </c>
      <c r="H55" s="83" t="s">
        <v>9</v>
      </c>
      <c r="I55" s="83" t="s">
        <v>9</v>
      </c>
      <c r="J55" s="83" t="s">
        <v>9</v>
      </c>
      <c r="K55" s="83">
        <f>'7B'!P55-'7L'!P55</f>
        <v>-187.60000000000002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83">
        <f>'7B'!G56-'7L'!G56</f>
        <v>8041.1000000000058</v>
      </c>
      <c r="C56" s="83" t="s">
        <v>9</v>
      </c>
      <c r="D56" s="83" t="s">
        <v>9</v>
      </c>
      <c r="E56" s="83" t="s">
        <v>9</v>
      </c>
      <c r="F56" s="83">
        <f>'7B'!K56-'7L'!K56</f>
        <v>-113.89999999999998</v>
      </c>
      <c r="G56" s="83">
        <f>'7B'!L56-'7L'!L56</f>
        <v>7696.3999999999942</v>
      </c>
      <c r="H56" s="83" t="s">
        <v>9</v>
      </c>
      <c r="I56" s="83" t="s">
        <v>9</v>
      </c>
      <c r="J56" s="83" t="s">
        <v>9</v>
      </c>
      <c r="K56" s="83">
        <f>'7B'!P56-'7L'!P56</f>
        <v>-113.89999999999998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83">
        <f>'7B'!G57-'7L'!G57</f>
        <v>8412.3000000000029</v>
      </c>
      <c r="C57" s="83" t="s">
        <v>9</v>
      </c>
      <c r="D57" s="83" t="s">
        <v>9</v>
      </c>
      <c r="E57" s="83" t="s">
        <v>9</v>
      </c>
      <c r="F57" s="83">
        <f>'7B'!K57-'7L'!K57</f>
        <v>-53.300000000000011</v>
      </c>
      <c r="G57" s="83">
        <f>'7B'!L57-'7L'!L57</f>
        <v>8122.3000000000029</v>
      </c>
      <c r="H57" s="83" t="s">
        <v>9</v>
      </c>
      <c r="I57" s="83" t="s">
        <v>9</v>
      </c>
      <c r="J57" s="83" t="s">
        <v>9</v>
      </c>
      <c r="K57" s="83">
        <f>'7B'!P57-'7L'!P57</f>
        <v>-53.699999999999989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F60" si="0">((B57/B28)^(1/29)-1)*100</f>
        <v>1.955277856766835</v>
      </c>
      <c r="C60" s="11" t="s">
        <v>10</v>
      </c>
      <c r="D60" s="11" t="s">
        <v>10</v>
      </c>
      <c r="E60" s="11" t="s">
        <v>10</v>
      </c>
      <c r="F60" s="11">
        <f t="shared" si="0"/>
        <v>-2.5668365473514587</v>
      </c>
      <c r="G60" s="11">
        <f>((G57/G28)^(1/29)-1)*100</f>
        <v>3.7171032873776655</v>
      </c>
      <c r="H60" s="11" t="s">
        <v>10</v>
      </c>
      <c r="I60" s="11" t="s">
        <v>10</v>
      </c>
      <c r="J60" s="11" t="s">
        <v>10</v>
      </c>
      <c r="K60" s="11">
        <f t="shared" ref="K60" si="1">((K57/K28)^(1/29)-1)*100</f>
        <v>-3.4060782315742388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F61" si="2">((B33/B28)^(1/5)-1)*100</f>
        <v>26.693712311223795</v>
      </c>
      <c r="C61" s="11" t="s">
        <v>10</v>
      </c>
      <c r="D61" s="11" t="s">
        <v>10</v>
      </c>
      <c r="E61" s="11">
        <f t="shared" si="2"/>
        <v>-242.23654367172179</v>
      </c>
      <c r="F61" s="11">
        <f t="shared" si="2"/>
        <v>-237.40818864403721</v>
      </c>
      <c r="G61" s="11">
        <f>((G33/G28)^(1/5)-1)*100</f>
        <v>32.253932844806776</v>
      </c>
      <c r="H61" s="11" t="s">
        <v>10</v>
      </c>
      <c r="I61" s="11" t="s">
        <v>10</v>
      </c>
      <c r="J61" s="11">
        <f t="shared" ref="J61:K61" si="3">((J33/J28)^(1/5)-1)*100</f>
        <v>-226.39608150109007</v>
      </c>
      <c r="K61" s="11">
        <f t="shared" si="3"/>
        <v>-226.49430793537252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F62" si="4">((B44/B33)^(1/11)-1)*100</f>
        <v>-7.5883324666715097</v>
      </c>
      <c r="C62" s="11" t="s">
        <v>10</v>
      </c>
      <c r="D62" s="11" t="s">
        <v>10</v>
      </c>
      <c r="E62" s="11">
        <f t="shared" si="4"/>
        <v>-173.86525117624106</v>
      </c>
      <c r="F62" s="11">
        <f t="shared" si="4"/>
        <v>-47.136920812315793</v>
      </c>
      <c r="G62" s="11">
        <f>((G44/G33)^(1/11)-1)*100</f>
        <v>-4.0114518519367088</v>
      </c>
      <c r="H62" s="11" t="s">
        <v>10</v>
      </c>
      <c r="I62" s="11" t="s">
        <v>10</v>
      </c>
      <c r="J62" s="11">
        <f t="shared" ref="J62:K62" si="5">((J44/J33)^(1/11)-1)*100</f>
        <v>-174.68758668938955</v>
      </c>
      <c r="K62" s="11">
        <f t="shared" si="5"/>
        <v>-182.78957067904119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7.7588752142029982</v>
      </c>
      <c r="C63" s="11" t="s">
        <v>10</v>
      </c>
      <c r="D63" s="11" t="s">
        <v>10</v>
      </c>
      <c r="E63" s="11">
        <f t="shared" ref="E63:K63" si="6">((E51/E44)^(1/7)-1)*100</f>
        <v>40.146950616995071</v>
      </c>
      <c r="F63" s="11">
        <f t="shared" si="6"/>
        <v>-336.03796254420871</v>
      </c>
      <c r="G63" s="11">
        <f t="shared" si="6"/>
        <v>6.2219522103710068</v>
      </c>
      <c r="H63" s="11" t="s">
        <v>10</v>
      </c>
      <c r="I63" s="11" t="s">
        <v>10</v>
      </c>
      <c r="J63" s="11">
        <f t="shared" si="6"/>
        <v>42.165113938224621</v>
      </c>
      <c r="K63" s="11">
        <f t="shared" si="6"/>
        <v>19.25460230067948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-4.5029355190435609</v>
      </c>
      <c r="C64" s="11" t="s">
        <v>10</v>
      </c>
      <c r="D64" s="11" t="s">
        <v>10</v>
      </c>
      <c r="E64" s="11" t="s">
        <v>10</v>
      </c>
      <c r="F64" s="11">
        <f t="shared" ref="F64:K64" si="7">((F57/F51)^(1/6)-1)*100</f>
        <v>-20.050816263949521</v>
      </c>
      <c r="G64" s="11">
        <f t="shared" si="7"/>
        <v>-5.0596705958406822</v>
      </c>
      <c r="H64" s="11" t="s">
        <v>10</v>
      </c>
      <c r="I64" s="11" t="s">
        <v>10</v>
      </c>
      <c r="J64" s="11" t="s">
        <v>10</v>
      </c>
      <c r="K64" s="11">
        <f t="shared" si="7"/>
        <v>-19.951128550670294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F65" si="8">((B57/B44)^(1/13)-1)*100</f>
        <v>1.9152899704518056</v>
      </c>
      <c r="C65" s="11" t="s">
        <v>10</v>
      </c>
      <c r="D65" s="11" t="s">
        <v>10</v>
      </c>
      <c r="E65" s="11" t="s">
        <v>10</v>
      </c>
      <c r="F65" s="11">
        <f t="shared" si="8"/>
        <v>-243.21263102539933</v>
      </c>
      <c r="G65" s="11">
        <f>((G57/G44)^(1/13)-1)*100</f>
        <v>0.85746019259100859</v>
      </c>
      <c r="H65" s="11" t="s">
        <v>10</v>
      </c>
      <c r="I65" s="11" t="s">
        <v>10</v>
      </c>
      <c r="J65" s="11" t="s">
        <v>10</v>
      </c>
      <c r="K65" s="11">
        <f t="shared" ref="K65" si="9">((K57/K44)^(1/13)-1)*100</f>
        <v>-0.78584451582420778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20">
      <c r="A68" s="229" t="s">
        <v>56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62</v>
      </c>
      <c r="B70" s="229"/>
      <c r="C70" s="229"/>
      <c r="D70" s="229"/>
      <c r="E70" s="229"/>
      <c r="F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16" zoomScaleNormal="100" zoomScaleSheetLayoutView="100" workbookViewId="0">
      <selection activeCell="A44" sqref="A44:K57"/>
    </sheetView>
  </sheetViews>
  <sheetFormatPr defaultRowHeight="15"/>
  <cols>
    <col min="1" max="6" width="9.140625" style="239"/>
    <col min="7" max="7" width="15.140625" style="239" customWidth="1"/>
    <col min="8" max="16384" width="9.140625" style="239"/>
  </cols>
  <sheetData>
    <row r="1" spans="1:20" ht="29.25" customHeight="1">
      <c r="A1" s="454" t="s">
        <v>332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'7C'!G5-'7M'!G5</f>
        <v>1.8000000000001819</v>
      </c>
      <c r="C5" s="129" t="s">
        <v>9</v>
      </c>
      <c r="D5" s="129">
        <f>'7C'!I5-'7M'!I5</f>
        <v>-6.2000000000000028</v>
      </c>
      <c r="E5" s="129">
        <f>'7C'!J5-'7M'!J5</f>
        <v>7.7999999999999972</v>
      </c>
      <c r="F5" s="129" t="s">
        <v>9</v>
      </c>
      <c r="G5" s="129">
        <f>'7C'!L5-'7M'!L5</f>
        <v>-229</v>
      </c>
      <c r="H5" s="129" t="s">
        <v>9</v>
      </c>
      <c r="I5" s="129">
        <f>'7C'!N5-'7M'!N5</f>
        <v>-7.3000000000000007</v>
      </c>
      <c r="J5" s="129">
        <f>'7C'!O5-'7M'!O5</f>
        <v>7</v>
      </c>
      <c r="K5" s="129" t="s">
        <v>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'7C'!G6-'7M'!G6</f>
        <v>35.700000000000273</v>
      </c>
      <c r="C6" s="129" t="s">
        <v>9</v>
      </c>
      <c r="D6" s="129">
        <f>'7C'!I6-'7M'!I6</f>
        <v>-4.4000000000000021</v>
      </c>
      <c r="E6" s="129">
        <f>'7C'!J6-'7M'!J6</f>
        <v>1.3000000000000007</v>
      </c>
      <c r="F6" s="129" t="s">
        <v>9</v>
      </c>
      <c r="G6" s="129">
        <f>'7C'!L6-'7M'!L6</f>
        <v>-228.59999999999991</v>
      </c>
      <c r="H6" s="129" t="s">
        <v>9</v>
      </c>
      <c r="I6" s="129">
        <f>'7C'!N6-'7M'!N6</f>
        <v>-5.8999999999999986</v>
      </c>
      <c r="J6" s="129">
        <f>'7C'!O6-'7M'!O6</f>
        <v>1</v>
      </c>
      <c r="K6" s="129" t="s">
        <v>9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'7C'!G7-'7M'!G7</f>
        <v>221</v>
      </c>
      <c r="C7" s="129" t="s">
        <v>9</v>
      </c>
      <c r="D7" s="129">
        <f>'7C'!I7-'7M'!I7</f>
        <v>-4.6000000000000014</v>
      </c>
      <c r="E7" s="129">
        <f>'7C'!J7-'7M'!J7</f>
        <v>8.7999999999999972</v>
      </c>
      <c r="F7" s="129" t="s">
        <v>9</v>
      </c>
      <c r="G7" s="129">
        <f>'7C'!L7-'7M'!L7</f>
        <v>-162.40000000000009</v>
      </c>
      <c r="H7" s="129" t="s">
        <v>9</v>
      </c>
      <c r="I7" s="129">
        <f>'7C'!N7-'7M'!N7</f>
        <v>-6</v>
      </c>
      <c r="J7" s="129">
        <f>'7C'!O7-'7M'!O7</f>
        <v>7.8000000000000043</v>
      </c>
      <c r="K7" s="129" t="s">
        <v>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'7C'!G8-'7M'!G8</f>
        <v>556.60000000000036</v>
      </c>
      <c r="C8" s="129" t="s">
        <v>9</v>
      </c>
      <c r="D8" s="129">
        <f>'7C'!I8-'7M'!I8</f>
        <v>8.1999999999999993</v>
      </c>
      <c r="E8" s="129">
        <f>'7C'!J8-'7M'!J8</f>
        <v>17.600000000000001</v>
      </c>
      <c r="F8" s="129" t="s">
        <v>9</v>
      </c>
      <c r="G8" s="129">
        <f>'7C'!L8-'7M'!L8</f>
        <v>-32</v>
      </c>
      <c r="H8" s="129" t="s">
        <v>9</v>
      </c>
      <c r="I8" s="129">
        <f>'7C'!N8-'7M'!N8</f>
        <v>4.5</v>
      </c>
      <c r="J8" s="129">
        <f>'7C'!O8-'7M'!O8</f>
        <v>15.699999999999996</v>
      </c>
      <c r="K8" s="129" t="s">
        <v>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'7C'!G9-'7M'!G9</f>
        <v>949.69999999999982</v>
      </c>
      <c r="C9" s="129" t="s">
        <v>9</v>
      </c>
      <c r="D9" s="129">
        <f>'7C'!I9-'7M'!I9</f>
        <v>2.2999999999999972</v>
      </c>
      <c r="E9" s="129">
        <f>'7C'!J9-'7M'!J9</f>
        <v>8.6999999999999993</v>
      </c>
      <c r="F9" s="129" t="s">
        <v>9</v>
      </c>
      <c r="G9" s="129">
        <f>'7C'!L9-'7M'!L9</f>
        <v>101.20000000000005</v>
      </c>
      <c r="H9" s="129" t="s">
        <v>9</v>
      </c>
      <c r="I9" s="129">
        <f>'7C'!N9-'7M'!N9</f>
        <v>-0.39999999999999858</v>
      </c>
      <c r="J9" s="129">
        <f>'7C'!O9-'7M'!O9</f>
        <v>7.6999999999999993</v>
      </c>
      <c r="K9" s="129" t="s">
        <v>9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'7C'!G10-'7M'!G10</f>
        <v>1649.3000000000002</v>
      </c>
      <c r="C10" s="129" t="s">
        <v>9</v>
      </c>
      <c r="D10" s="129">
        <f>'7C'!I10-'7M'!I10</f>
        <v>6.1000000000000014</v>
      </c>
      <c r="E10" s="129">
        <f>'7C'!J10-'7M'!J10</f>
        <v>18.800000000000004</v>
      </c>
      <c r="F10" s="129" t="s">
        <v>9</v>
      </c>
      <c r="G10" s="129">
        <f>'7C'!L10-'7M'!L10</f>
        <v>377</v>
      </c>
      <c r="H10" s="129" t="s">
        <v>9</v>
      </c>
      <c r="I10" s="129">
        <f>'7C'!N10-'7M'!N10</f>
        <v>2.7999999999999972</v>
      </c>
      <c r="J10" s="129">
        <f>'7C'!O10-'7M'!O10</f>
        <v>16.8</v>
      </c>
      <c r="K10" s="129" t="s">
        <v>9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'7C'!G11-'7M'!G11</f>
        <v>1096.5000000000005</v>
      </c>
      <c r="C11" s="129" t="s">
        <v>9</v>
      </c>
      <c r="D11" s="129">
        <f>'7C'!I11-'7M'!I11</f>
        <v>16.799999999999997</v>
      </c>
      <c r="E11" s="129">
        <f>'7C'!J11-'7M'!J11</f>
        <v>20.700000000000003</v>
      </c>
      <c r="F11" s="129" t="s">
        <v>9</v>
      </c>
      <c r="G11" s="129">
        <f>'7C'!L11-'7M'!L11</f>
        <v>133</v>
      </c>
      <c r="H11" s="129" t="s">
        <v>9</v>
      </c>
      <c r="I11" s="129">
        <f>'7C'!N11-'7M'!N11</f>
        <v>10.600000000000001</v>
      </c>
      <c r="J11" s="129">
        <f>'7C'!O11-'7M'!O11</f>
        <v>18.600000000000001</v>
      </c>
      <c r="K11" s="129" t="s">
        <v>9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'7C'!G12-'7M'!G12</f>
        <v>777.19999999999982</v>
      </c>
      <c r="C12" s="129" t="s">
        <v>9</v>
      </c>
      <c r="D12" s="129">
        <f>'7C'!I12-'7M'!I12</f>
        <v>-2.1999999999999957</v>
      </c>
      <c r="E12" s="129">
        <f>'7C'!J12-'7M'!J12</f>
        <v>8.1000000000000014</v>
      </c>
      <c r="F12" s="129" t="s">
        <v>9</v>
      </c>
      <c r="G12" s="129">
        <f>'7C'!L12-'7M'!L12</f>
        <v>-50.300000000000182</v>
      </c>
      <c r="H12" s="129" t="s">
        <v>9</v>
      </c>
      <c r="I12" s="129">
        <f>'7C'!N12-'7M'!N12</f>
        <v>-4.2000000000000028</v>
      </c>
      <c r="J12" s="129">
        <f>'7C'!O12-'7M'!O12</f>
        <v>6.8999999999999986</v>
      </c>
      <c r="K12" s="129" t="s">
        <v>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'7C'!G13-'7M'!G13</f>
        <v>792.39999999999964</v>
      </c>
      <c r="C13" s="129" t="s">
        <v>9</v>
      </c>
      <c r="D13" s="129">
        <f>'7C'!I13-'7M'!I13</f>
        <v>-0.60000000000000142</v>
      </c>
      <c r="E13" s="129">
        <f>'7C'!J13-'7M'!J13</f>
        <v>24.1</v>
      </c>
      <c r="F13" s="129" t="s">
        <v>9</v>
      </c>
      <c r="G13" s="129">
        <f>'7C'!L13-'7M'!L13</f>
        <v>-41.099999999999909</v>
      </c>
      <c r="H13" s="129" t="s">
        <v>9</v>
      </c>
      <c r="I13" s="129">
        <f>'7C'!N13-'7M'!N13</f>
        <v>-4.6000000000000014</v>
      </c>
      <c r="J13" s="129">
        <f>'7C'!O13-'7M'!O13</f>
        <v>21</v>
      </c>
      <c r="K13" s="129" t="s">
        <v>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'7C'!G14-'7M'!G14</f>
        <v>155.40000000000009</v>
      </c>
      <c r="C14" s="129" t="s">
        <v>9</v>
      </c>
      <c r="D14" s="129">
        <f>'7C'!I14-'7M'!I14</f>
        <v>-17.299999999999997</v>
      </c>
      <c r="E14" s="129">
        <f>'7C'!J14-'7M'!J14</f>
        <v>9.5</v>
      </c>
      <c r="F14" s="129" t="s">
        <v>9</v>
      </c>
      <c r="G14" s="129">
        <f>'7C'!L14-'7M'!L14</f>
        <v>-325.5</v>
      </c>
      <c r="H14" s="129" t="s">
        <v>9</v>
      </c>
      <c r="I14" s="129">
        <f>'7C'!N14-'7M'!N14</f>
        <v>-17.8</v>
      </c>
      <c r="J14" s="129">
        <f>'7C'!O14-'7M'!O14</f>
        <v>8.6999999999999957</v>
      </c>
      <c r="K14" s="129" t="s">
        <v>9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'7C'!G15-'7M'!G15</f>
        <v>200.69999999999982</v>
      </c>
      <c r="C15" s="129" t="s">
        <v>9</v>
      </c>
      <c r="D15" s="129">
        <f>'7C'!I15-'7M'!I15</f>
        <v>-10.600000000000001</v>
      </c>
      <c r="E15" s="129">
        <f>'7C'!J15-'7M'!J15</f>
        <v>11.5</v>
      </c>
      <c r="F15" s="129" t="s">
        <v>9</v>
      </c>
      <c r="G15" s="129">
        <f>'7C'!L15-'7M'!L15</f>
        <v>-292.30000000000018</v>
      </c>
      <c r="H15" s="129" t="s">
        <v>9</v>
      </c>
      <c r="I15" s="129">
        <f>'7C'!N15-'7M'!N15</f>
        <v>-11.5</v>
      </c>
      <c r="J15" s="129">
        <f>'7C'!O15-'7M'!O15</f>
        <v>10.299999999999997</v>
      </c>
      <c r="K15" s="129" t="s">
        <v>9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'7C'!G16-'7M'!G16</f>
        <v>1163.5</v>
      </c>
      <c r="C16" s="129" t="s">
        <v>9</v>
      </c>
      <c r="D16" s="129">
        <f>'7C'!I16-'7M'!I16</f>
        <v>-4.1000000000000014</v>
      </c>
      <c r="E16" s="129">
        <f>'7C'!J16-'7M'!J16</f>
        <v>58.2</v>
      </c>
      <c r="F16" s="129" t="s">
        <v>9</v>
      </c>
      <c r="G16" s="129">
        <f>'7C'!L16-'7M'!L16</f>
        <v>70.900000000000091</v>
      </c>
      <c r="H16" s="129" t="s">
        <v>9</v>
      </c>
      <c r="I16" s="129">
        <f>'7C'!N16-'7M'!N16</f>
        <v>-6</v>
      </c>
      <c r="J16" s="129">
        <f>'7C'!O16-'7M'!O16</f>
        <v>53.099999999999994</v>
      </c>
      <c r="K16" s="129" t="s">
        <v>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'7C'!G17-'7M'!G17</f>
        <v>1959</v>
      </c>
      <c r="C17" s="129" t="s">
        <v>9</v>
      </c>
      <c r="D17" s="129">
        <f>'7C'!I17-'7M'!I17</f>
        <v>15.5</v>
      </c>
      <c r="E17" s="129">
        <f>'7C'!J17-'7M'!J17</f>
        <v>98.1</v>
      </c>
      <c r="F17" s="129" t="s">
        <v>9</v>
      </c>
      <c r="G17" s="129">
        <f>'7C'!L17-'7M'!L17</f>
        <v>353.29999999999973</v>
      </c>
      <c r="H17" s="129" t="s">
        <v>9</v>
      </c>
      <c r="I17" s="129">
        <f>'7C'!N17-'7M'!N17</f>
        <v>9.5</v>
      </c>
      <c r="J17" s="129">
        <f>'7C'!O17-'7M'!O17</f>
        <v>87.600000000000009</v>
      </c>
      <c r="K17" s="129" t="s">
        <v>9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'7C'!G18-'7M'!G18</f>
        <v>2224.1999999999998</v>
      </c>
      <c r="C18" s="129" t="s">
        <v>9</v>
      </c>
      <c r="D18" s="129">
        <f>'7C'!I18-'7M'!I18</f>
        <v>59.4</v>
      </c>
      <c r="E18" s="129">
        <f>'7C'!J18-'7M'!J18</f>
        <v>75.2</v>
      </c>
      <c r="F18" s="129" t="s">
        <v>9</v>
      </c>
      <c r="G18" s="129">
        <f>'7C'!L18-'7M'!L18</f>
        <v>484.29999999999973</v>
      </c>
      <c r="H18" s="129" t="s">
        <v>9</v>
      </c>
      <c r="I18" s="129">
        <f>'7C'!N18-'7M'!N18</f>
        <v>44.099999999999994</v>
      </c>
      <c r="J18" s="129">
        <f>'7C'!O18-'7M'!O18</f>
        <v>69.5</v>
      </c>
      <c r="K18" s="129" t="s">
        <v>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'7C'!G19-'7M'!G19</f>
        <v>1756.5</v>
      </c>
      <c r="C19" s="129" t="s">
        <v>9</v>
      </c>
      <c r="D19" s="129">
        <f>'7C'!I19-'7M'!I19</f>
        <v>21.199999999999996</v>
      </c>
      <c r="E19" s="129">
        <f>'7C'!J19-'7M'!J19</f>
        <v>39.600000000000009</v>
      </c>
      <c r="F19" s="129" t="s">
        <v>9</v>
      </c>
      <c r="G19" s="129">
        <f>'7C'!L19-'7M'!L19</f>
        <v>260.19999999999982</v>
      </c>
      <c r="H19" s="129" t="s">
        <v>9</v>
      </c>
      <c r="I19" s="129">
        <f>'7C'!N19-'7M'!N19</f>
        <v>12.599999999999994</v>
      </c>
      <c r="J19" s="129">
        <f>'7C'!O19-'7M'!O19</f>
        <v>37.299999999999997</v>
      </c>
      <c r="K19" s="129" t="s">
        <v>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'7C'!G20-'7M'!G20</f>
        <v>834.29999999999927</v>
      </c>
      <c r="C20" s="129" t="s">
        <v>9</v>
      </c>
      <c r="D20" s="129">
        <f>'7C'!I20-'7M'!I20</f>
        <v>-24</v>
      </c>
      <c r="E20" s="129">
        <f>'7C'!J20-'7M'!J20</f>
        <v>6.3999999999999915</v>
      </c>
      <c r="F20" s="129" t="s">
        <v>9</v>
      </c>
      <c r="G20" s="129">
        <f>'7C'!L20-'7M'!L20</f>
        <v>-192.90000000000009</v>
      </c>
      <c r="H20" s="129" t="s">
        <v>9</v>
      </c>
      <c r="I20" s="129">
        <f>'7C'!N20-'7M'!N20</f>
        <v>-24.6</v>
      </c>
      <c r="J20" s="129">
        <f>'7C'!O20-'7M'!O20</f>
        <v>5.7000000000000028</v>
      </c>
      <c r="K20" s="129" t="s">
        <v>9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'7C'!G21-'7M'!G21</f>
        <v>1173.8000000000002</v>
      </c>
      <c r="C21" s="129" t="s">
        <v>9</v>
      </c>
      <c r="D21" s="129">
        <f>'7C'!I21-'7M'!I21</f>
        <v>-28.9</v>
      </c>
      <c r="E21" s="129">
        <f>'7C'!J21-'7M'!J21</f>
        <v>-7.1000000000000085</v>
      </c>
      <c r="F21" s="129" t="s">
        <v>9</v>
      </c>
      <c r="G21" s="129">
        <f>'7C'!L21-'7M'!L21</f>
        <v>-112</v>
      </c>
      <c r="H21" s="129" t="s">
        <v>9</v>
      </c>
      <c r="I21" s="129">
        <f>'7C'!N21-'7M'!N21</f>
        <v>-28</v>
      </c>
      <c r="J21" s="129">
        <f>'7C'!O21-'7M'!O21</f>
        <v>-6.7999999999999972</v>
      </c>
      <c r="K21" s="129" t="s">
        <v>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'7C'!G22-'7M'!G22</f>
        <v>708.59999999999945</v>
      </c>
      <c r="C22" s="129" t="s">
        <v>9</v>
      </c>
      <c r="D22" s="129">
        <f>'7C'!I22-'7M'!I22</f>
        <v>-11.700000000000003</v>
      </c>
      <c r="E22" s="129">
        <f>'7C'!J22-'7M'!J22</f>
        <v>-20</v>
      </c>
      <c r="F22" s="129" t="s">
        <v>9</v>
      </c>
      <c r="G22" s="129">
        <f>'7C'!L22-'7M'!L22</f>
        <v>-193</v>
      </c>
      <c r="H22" s="129" t="s">
        <v>9</v>
      </c>
      <c r="I22" s="129">
        <f>'7C'!N22-'7M'!N22</f>
        <v>-13.399999999999999</v>
      </c>
      <c r="J22" s="129">
        <f>'7C'!O22-'7M'!O22</f>
        <v>-17.799999999999997</v>
      </c>
      <c r="K22" s="129" t="s">
        <v>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'7C'!G23-'7M'!G23</f>
        <v>966.90000000000055</v>
      </c>
      <c r="C23" s="129" t="s">
        <v>9</v>
      </c>
      <c r="D23" s="129">
        <f>'7C'!I23-'7M'!I23</f>
        <v>-2.6000000000000014</v>
      </c>
      <c r="E23" s="129">
        <f>'7C'!J23-'7M'!J23</f>
        <v>3.5999999999999943</v>
      </c>
      <c r="F23" s="129" t="s">
        <v>9</v>
      </c>
      <c r="G23" s="129">
        <f>'7C'!L23-'7M'!L23</f>
        <v>-53</v>
      </c>
      <c r="H23" s="129" t="s">
        <v>9</v>
      </c>
      <c r="I23" s="129">
        <f>'7C'!N23-'7M'!N23</f>
        <v>-5.6000000000000014</v>
      </c>
      <c r="J23" s="129">
        <f>'7C'!O23-'7M'!O23</f>
        <v>4</v>
      </c>
      <c r="K23" s="129" t="s">
        <v>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'7C'!G24-'7M'!G24</f>
        <v>1382.6000000000004</v>
      </c>
      <c r="C24" s="129" t="s">
        <v>9</v>
      </c>
      <c r="D24" s="129">
        <f>'7C'!I24-'7M'!I24</f>
        <v>-0.39999999999999858</v>
      </c>
      <c r="E24" s="129">
        <f>'7C'!J24-'7M'!J24</f>
        <v>2.4000000000000057</v>
      </c>
      <c r="F24" s="129" t="s">
        <v>9</v>
      </c>
      <c r="G24" s="129">
        <f>'7C'!L24-'7M'!L24</f>
        <v>252.59999999999991</v>
      </c>
      <c r="H24" s="129" t="s">
        <v>9</v>
      </c>
      <c r="I24" s="129">
        <f>'7C'!N24-'7M'!N24</f>
        <v>-4</v>
      </c>
      <c r="J24" s="129">
        <f>'7C'!O24-'7M'!O24</f>
        <v>4.0999999999999943</v>
      </c>
      <c r="K24" s="129" t="s">
        <v>9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'7C'!G25-'7M'!G25</f>
        <v>633</v>
      </c>
      <c r="C25" s="129" t="s">
        <v>9</v>
      </c>
      <c r="D25" s="129">
        <f>'7C'!I25-'7M'!I25</f>
        <v>-10.599999999999998</v>
      </c>
      <c r="E25" s="129">
        <f>'7C'!J25-'7M'!J25</f>
        <v>-13.700000000000003</v>
      </c>
      <c r="F25" s="129" t="s">
        <v>9</v>
      </c>
      <c r="G25" s="129">
        <f>'7C'!L25-'7M'!L25</f>
        <v>-24.199999999999818</v>
      </c>
      <c r="H25" s="129" t="s">
        <v>9</v>
      </c>
      <c r="I25" s="129">
        <f>'7C'!N25-'7M'!N25</f>
        <v>-12.2</v>
      </c>
      <c r="J25" s="129">
        <f>'7C'!O25-'7M'!O25</f>
        <v>-13</v>
      </c>
      <c r="K25" s="129" t="s">
        <v>9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'7C'!G26-'7M'!G26</f>
        <v>-483.89999999999964</v>
      </c>
      <c r="C26" s="129" t="s">
        <v>9</v>
      </c>
      <c r="D26" s="129">
        <f>'7C'!I26-'7M'!I26</f>
        <v>-25.699999999999996</v>
      </c>
      <c r="E26" s="129">
        <f>'7C'!J26-'7M'!J26</f>
        <v>32.600000000000009</v>
      </c>
      <c r="F26" s="129" t="s">
        <v>9</v>
      </c>
      <c r="G26" s="129">
        <f>'7C'!L26-'7M'!L26</f>
        <v>-733.59999999999945</v>
      </c>
      <c r="H26" s="129" t="s">
        <v>9</v>
      </c>
      <c r="I26" s="129">
        <f>'7C'!N26-'7M'!N26</f>
        <v>-24.4</v>
      </c>
      <c r="J26" s="129">
        <f>'7C'!O26-'7M'!O26</f>
        <v>31.900000000000006</v>
      </c>
      <c r="K26" s="129" t="s">
        <v>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'7C'!G27-'7M'!G27</f>
        <v>-182.29999999999927</v>
      </c>
      <c r="C27" s="129" t="s">
        <v>9</v>
      </c>
      <c r="D27" s="129">
        <f>'7C'!I27-'7M'!I27</f>
        <v>-20.3</v>
      </c>
      <c r="E27" s="129">
        <f>'7C'!J27-'7M'!J27</f>
        <v>-13.599999999999994</v>
      </c>
      <c r="F27" s="129" t="s">
        <v>9</v>
      </c>
      <c r="G27" s="129">
        <f>'7C'!L27-'7M'!L27</f>
        <v>-388.80000000000018</v>
      </c>
      <c r="H27" s="129" t="s">
        <v>9</v>
      </c>
      <c r="I27" s="129">
        <f>'7C'!N27-'7M'!N27</f>
        <v>-19.399999999999999</v>
      </c>
      <c r="J27" s="129">
        <f>'7C'!O27-'7M'!O27</f>
        <v>-11.799999999999997</v>
      </c>
      <c r="K27" s="129" t="s">
        <v>9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'7C'!G28-'7M'!G28</f>
        <v>640.69999999999982</v>
      </c>
      <c r="C28" s="129" t="s">
        <v>9</v>
      </c>
      <c r="D28" s="129">
        <f>'7C'!I28-'7M'!I28</f>
        <v>-10</v>
      </c>
      <c r="E28" s="129">
        <f>'7C'!J28-'7M'!J28</f>
        <v>-25.200000000000003</v>
      </c>
      <c r="F28" s="129" t="s">
        <v>9</v>
      </c>
      <c r="G28" s="129">
        <f>'7C'!L28-'7M'!L28</f>
        <v>91.400000000000546</v>
      </c>
      <c r="H28" s="129" t="s">
        <v>9</v>
      </c>
      <c r="I28" s="129">
        <f>'7C'!N28-'7M'!N28</f>
        <v>-10.5</v>
      </c>
      <c r="J28" s="129">
        <f>'7C'!O28-'7M'!O28</f>
        <v>-23.099999999999994</v>
      </c>
      <c r="K28" s="129" t="s">
        <v>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'7C'!G29-'7M'!G29</f>
        <v>685.39999999999964</v>
      </c>
      <c r="C29" s="129" t="s">
        <v>9</v>
      </c>
      <c r="D29" s="129">
        <f>'7C'!I29-'7M'!I29</f>
        <v>-12.099999999999998</v>
      </c>
      <c r="E29" s="129">
        <f>'7C'!J29-'7M'!J29</f>
        <v>6.7000000000000028</v>
      </c>
      <c r="F29" s="129" t="s">
        <v>9</v>
      </c>
      <c r="G29" s="129">
        <f>'7C'!L29-'7M'!L29</f>
        <v>249.39999999999964</v>
      </c>
      <c r="H29" s="129" t="s">
        <v>9</v>
      </c>
      <c r="I29" s="129">
        <f>'7C'!N29-'7M'!N29</f>
        <v>-11.799999999999999</v>
      </c>
      <c r="J29" s="129">
        <f>'7C'!O29-'7M'!O29</f>
        <v>8</v>
      </c>
      <c r="K29" s="129" t="s">
        <v>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'7C'!G30-'7M'!G30</f>
        <v>736.60000000000036</v>
      </c>
      <c r="C30" s="129" t="s">
        <v>9</v>
      </c>
      <c r="D30" s="129">
        <f>'7C'!I30-'7M'!I30</f>
        <v>-7.3000000000000007</v>
      </c>
      <c r="E30" s="129">
        <f>'7C'!J30-'7M'!J30</f>
        <v>4.8999999999999915</v>
      </c>
      <c r="F30" s="129" t="s">
        <v>9</v>
      </c>
      <c r="G30" s="129">
        <f>'7C'!L30-'7M'!L30</f>
        <v>254.29999999999927</v>
      </c>
      <c r="H30" s="129" t="s">
        <v>9</v>
      </c>
      <c r="I30" s="129">
        <f>'7C'!N30-'7M'!N30</f>
        <v>-7.9000000000000021</v>
      </c>
      <c r="J30" s="129">
        <f>'7C'!O30-'7M'!O30</f>
        <v>5.1000000000000085</v>
      </c>
      <c r="K30" s="129" t="s">
        <v>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'7C'!G31-'7M'!G31</f>
        <v>1406</v>
      </c>
      <c r="C31" s="129" t="s">
        <v>9</v>
      </c>
      <c r="D31" s="129">
        <f>'7C'!I31-'7M'!I31</f>
        <v>-3.6999999999999993</v>
      </c>
      <c r="E31" s="129">
        <f>'7C'!J31-'7M'!J31</f>
        <v>25.099999999999994</v>
      </c>
      <c r="F31" s="129" t="s">
        <v>9</v>
      </c>
      <c r="G31" s="129">
        <f>'7C'!L31-'7M'!L31</f>
        <v>892</v>
      </c>
      <c r="H31" s="129" t="s">
        <v>9</v>
      </c>
      <c r="I31" s="129">
        <f>'7C'!N31-'7M'!N31</f>
        <v>-5.0000000000000018</v>
      </c>
      <c r="J31" s="129">
        <f>'7C'!O31-'7M'!O31</f>
        <v>25.199999999999989</v>
      </c>
      <c r="K31" s="129" t="s">
        <v>9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'7C'!G32-'7M'!G32</f>
        <v>2106.6000000000004</v>
      </c>
      <c r="C32" s="129" t="s">
        <v>9</v>
      </c>
      <c r="D32" s="129">
        <f>'7C'!I32-'7M'!I32</f>
        <v>0.80000000000000071</v>
      </c>
      <c r="E32" s="129">
        <f>'7C'!J32-'7M'!J32</f>
        <v>84.5</v>
      </c>
      <c r="F32" s="129" t="s">
        <v>9</v>
      </c>
      <c r="G32" s="129">
        <f>'7C'!L32-'7M'!L32</f>
        <v>1256.1000000000004</v>
      </c>
      <c r="H32" s="129" t="s">
        <v>9</v>
      </c>
      <c r="I32" s="129">
        <f>'7C'!N32-'7M'!N32</f>
        <v>-0.89999999999999858</v>
      </c>
      <c r="J32" s="129">
        <f>'7C'!O32-'7M'!O32</f>
        <v>82</v>
      </c>
      <c r="K32" s="129" t="s">
        <v>9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'7C'!G33-'7M'!G33</f>
        <v>2430.2999999999993</v>
      </c>
      <c r="C33" s="129" t="s">
        <v>9</v>
      </c>
      <c r="D33" s="129">
        <f>'7C'!I33-'7M'!I33</f>
        <v>-0.5</v>
      </c>
      <c r="E33" s="129">
        <f>'7C'!J33-'7M'!J33</f>
        <v>43.3</v>
      </c>
      <c r="F33" s="129" t="s">
        <v>9</v>
      </c>
      <c r="G33" s="129">
        <f>'7C'!L33-'7M'!L33</f>
        <v>1378.6000000000004</v>
      </c>
      <c r="H33" s="129" t="s">
        <v>9</v>
      </c>
      <c r="I33" s="129">
        <f>'7C'!N33-'7M'!N33</f>
        <v>-1.4000000000000021</v>
      </c>
      <c r="J33" s="129">
        <f>'7C'!O33-'7M'!O33</f>
        <v>43.300000000000011</v>
      </c>
      <c r="K33" s="129" t="s">
        <v>9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'7C'!G34-'7M'!G34</f>
        <v>1444.6000000000004</v>
      </c>
      <c r="C34" s="129" t="s">
        <v>9</v>
      </c>
      <c r="D34" s="129">
        <f>'7C'!I34-'7M'!I34</f>
        <v>-4.4000000000000004</v>
      </c>
      <c r="E34" s="129">
        <f>'7C'!J34-'7M'!J34</f>
        <v>-9.7000000000000028</v>
      </c>
      <c r="F34" s="129" t="s">
        <v>9</v>
      </c>
      <c r="G34" s="129">
        <f>'7C'!L34-'7M'!L34</f>
        <v>530.89999999999964</v>
      </c>
      <c r="H34" s="129" t="s">
        <v>9</v>
      </c>
      <c r="I34" s="129">
        <f>'7C'!N34-'7M'!N34</f>
        <v>-4.5</v>
      </c>
      <c r="J34" s="129">
        <f>'7C'!O34-'7M'!O34</f>
        <v>-7.5</v>
      </c>
      <c r="K34" s="129" t="s">
        <v>9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'7C'!G35-'7M'!G35</f>
        <v>1181.7999999999993</v>
      </c>
      <c r="C35" s="129" t="s">
        <v>9</v>
      </c>
      <c r="D35" s="129">
        <f>'7C'!I35-'7M'!I35</f>
        <v>-9.2999999999999989</v>
      </c>
      <c r="E35" s="129">
        <f>'7C'!J35-'7M'!J35</f>
        <v>-10.5</v>
      </c>
      <c r="F35" s="129" t="s">
        <v>9</v>
      </c>
      <c r="G35" s="129">
        <f>'7C'!L35-'7M'!L35</f>
        <v>463.70000000000073</v>
      </c>
      <c r="H35" s="129" t="s">
        <v>9</v>
      </c>
      <c r="I35" s="129">
        <f>'7C'!N35-'7M'!N35</f>
        <v>-9.4000000000000021</v>
      </c>
      <c r="J35" s="129">
        <f>'7C'!O35-'7M'!O35</f>
        <v>-7.6999999999999886</v>
      </c>
      <c r="K35" s="129" t="s">
        <v>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'7C'!G36-'7M'!G36</f>
        <v>598.20000000000073</v>
      </c>
      <c r="C36" s="129" t="s">
        <v>9</v>
      </c>
      <c r="D36" s="129">
        <f>'7C'!I36-'7M'!I36</f>
        <v>-0.40000000000000036</v>
      </c>
      <c r="E36" s="129">
        <f>'7C'!J36-'7M'!J36</f>
        <v>-38.099999999999994</v>
      </c>
      <c r="F36" s="129" t="s">
        <v>9</v>
      </c>
      <c r="G36" s="129">
        <f>'7C'!L36-'7M'!L36</f>
        <v>74.300000000000182</v>
      </c>
      <c r="H36" s="129" t="s">
        <v>9</v>
      </c>
      <c r="I36" s="129">
        <f>'7C'!N36-'7M'!N36</f>
        <v>-1.6999999999999993</v>
      </c>
      <c r="J36" s="129">
        <f>'7C'!O36-'7M'!O36</f>
        <v>-34.800000000000011</v>
      </c>
      <c r="K36" s="129" t="s">
        <v>9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'7C'!G37-'7M'!G37</f>
        <v>-633.19999999999982</v>
      </c>
      <c r="C37" s="129" t="s">
        <v>9</v>
      </c>
      <c r="D37" s="129">
        <f>'7C'!I37-'7M'!I37</f>
        <v>7.9000000000000021</v>
      </c>
      <c r="E37" s="129">
        <f>'7C'!J37-'7M'!J37</f>
        <v>-21.900000000000006</v>
      </c>
      <c r="F37" s="129" t="s">
        <v>9</v>
      </c>
      <c r="G37" s="129">
        <f>'7C'!L37-'7M'!L37</f>
        <v>-840.39999999999964</v>
      </c>
      <c r="H37" s="129" t="s">
        <v>9</v>
      </c>
      <c r="I37" s="129">
        <f>'7C'!N37-'7M'!N37</f>
        <v>5.4</v>
      </c>
      <c r="J37" s="129">
        <f>'7C'!O37-'7M'!O37</f>
        <v>-16.100000000000009</v>
      </c>
      <c r="K37" s="129" t="s">
        <v>9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'7C'!G38-'7M'!G38</f>
        <v>135.80000000000109</v>
      </c>
      <c r="C38" s="129" t="s">
        <v>9</v>
      </c>
      <c r="D38" s="129">
        <f>'7C'!I38-'7M'!I38</f>
        <v>65.5</v>
      </c>
      <c r="E38" s="129">
        <f>'7C'!J38-'7M'!J38</f>
        <v>88.9</v>
      </c>
      <c r="F38" s="129" t="s">
        <v>9</v>
      </c>
      <c r="G38" s="129">
        <f>'7C'!L38-'7M'!L38</f>
        <v>-301.40000000000055</v>
      </c>
      <c r="H38" s="129" t="s">
        <v>9</v>
      </c>
      <c r="I38" s="129">
        <f>'7C'!N38-'7M'!N38</f>
        <v>52.500000000000007</v>
      </c>
      <c r="J38" s="129">
        <f>'7C'!O38-'7M'!O38</f>
        <v>87.8</v>
      </c>
      <c r="K38" s="129" t="s">
        <v>9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'7C'!G39-'7M'!G39</f>
        <v>34.900000000001455</v>
      </c>
      <c r="C39" s="129" t="s">
        <v>9</v>
      </c>
      <c r="D39" s="129">
        <f>'7C'!I39-'7M'!I39</f>
        <v>-2.6000000000000014</v>
      </c>
      <c r="E39" s="129">
        <f>'7C'!J39-'7M'!J39</f>
        <v>128.60000000000002</v>
      </c>
      <c r="F39" s="129" t="s">
        <v>9</v>
      </c>
      <c r="G39" s="129">
        <f>'7C'!L39-'7M'!L39</f>
        <v>-269.20000000000073</v>
      </c>
      <c r="H39" s="129" t="s">
        <v>9</v>
      </c>
      <c r="I39" s="129">
        <f>'7C'!N39-'7M'!N39</f>
        <v>-5.1999999999999957</v>
      </c>
      <c r="J39" s="129">
        <f>'7C'!O39-'7M'!O39</f>
        <v>129.39999999999998</v>
      </c>
      <c r="K39" s="129" t="s">
        <v>9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'7C'!G40-'7M'!G40</f>
        <v>297.69999999999891</v>
      </c>
      <c r="C40" s="129" t="s">
        <v>9</v>
      </c>
      <c r="D40" s="129">
        <f>'7C'!I40-'7M'!I40</f>
        <v>9.1999999999999957</v>
      </c>
      <c r="E40" s="129">
        <f>'7C'!J40-'7M'!J40</f>
        <v>103.29999999999998</v>
      </c>
      <c r="F40" s="129" t="s">
        <v>9</v>
      </c>
      <c r="G40" s="129">
        <f>'7C'!L40-'7M'!L40</f>
        <v>58</v>
      </c>
      <c r="H40" s="129" t="s">
        <v>9</v>
      </c>
      <c r="I40" s="129">
        <f>'7C'!N40-'7M'!N40</f>
        <v>4.1999999999999957</v>
      </c>
      <c r="J40" s="129">
        <f>'7C'!O40-'7M'!O40</f>
        <v>104.5</v>
      </c>
      <c r="K40" s="129" t="s">
        <v>9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'7C'!G41-'7M'!G41</f>
        <v>1113.7999999999993</v>
      </c>
      <c r="C41" s="129" t="s">
        <v>9</v>
      </c>
      <c r="D41" s="129">
        <f>'7C'!I41-'7M'!I41</f>
        <v>12.299999999999997</v>
      </c>
      <c r="E41" s="129">
        <f>'7C'!J41-'7M'!J41</f>
        <v>162.70000000000002</v>
      </c>
      <c r="F41" s="129" t="s">
        <v>9</v>
      </c>
      <c r="G41" s="129">
        <f>'7C'!L41-'7M'!L41</f>
        <v>799.89999999999964</v>
      </c>
      <c r="H41" s="129" t="s">
        <v>9</v>
      </c>
      <c r="I41" s="129">
        <f>'7C'!N41-'7M'!N41</f>
        <v>6.7000000000000028</v>
      </c>
      <c r="J41" s="129">
        <f>'7C'!O41-'7M'!O41</f>
        <v>165.6</v>
      </c>
      <c r="K41" s="129" t="s">
        <v>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'7C'!G42-'7M'!G42</f>
        <v>1502.6999999999989</v>
      </c>
      <c r="C42" s="129" t="s">
        <v>9</v>
      </c>
      <c r="D42" s="129">
        <f>'7C'!I42-'7M'!I42</f>
        <v>-7.1000000000000014</v>
      </c>
      <c r="E42" s="129">
        <f>'7C'!J42-'7M'!J42</f>
        <v>28.400000000000034</v>
      </c>
      <c r="F42" s="129" t="s">
        <v>9</v>
      </c>
      <c r="G42" s="129">
        <f>'7C'!L42-'7M'!L42</f>
        <v>1419.5</v>
      </c>
      <c r="H42" s="129" t="s">
        <v>9</v>
      </c>
      <c r="I42" s="129">
        <f>'7C'!N42-'7M'!N42</f>
        <v>-5.6999999999999957</v>
      </c>
      <c r="J42" s="129">
        <f>'7C'!O42-'7M'!O42</f>
        <v>40</v>
      </c>
      <c r="K42" s="129" t="s">
        <v>9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'7C'!G43-'7M'!G43</f>
        <v>1954.6999999999989</v>
      </c>
      <c r="C43" s="129" t="s">
        <v>9</v>
      </c>
      <c r="D43" s="129">
        <f>'7C'!I43-'7M'!I43</f>
        <v>13</v>
      </c>
      <c r="E43" s="129">
        <f>'7C'!J43-'7M'!J43</f>
        <v>25.199999999999989</v>
      </c>
      <c r="F43" s="129" t="s">
        <v>9</v>
      </c>
      <c r="G43" s="129">
        <f>'7C'!L43-'7M'!L43</f>
        <v>1737.3000000000011</v>
      </c>
      <c r="H43" s="129" t="s">
        <v>9</v>
      </c>
      <c r="I43" s="129">
        <f>'7C'!N43-'7M'!N43</f>
        <v>13.5</v>
      </c>
      <c r="J43" s="129">
        <f>'7C'!O43-'7M'!O43</f>
        <v>32.099999999999966</v>
      </c>
      <c r="K43" s="129" t="s">
        <v>9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'7C'!G44-'7M'!G44</f>
        <v>1385</v>
      </c>
      <c r="C44" s="129" t="s">
        <v>9</v>
      </c>
      <c r="D44" s="129" t="s">
        <v>9</v>
      </c>
      <c r="E44" s="129">
        <f>'7C'!J44-'7M'!J44</f>
        <v>132.30000000000001</v>
      </c>
      <c r="F44" s="129" t="s">
        <v>9</v>
      </c>
      <c r="G44" s="129">
        <f>'7C'!L44-'7M'!L44</f>
        <v>1429.6000000000004</v>
      </c>
      <c r="H44" s="129" t="s">
        <v>9</v>
      </c>
      <c r="I44" s="129" t="s">
        <v>9</v>
      </c>
      <c r="J44" s="129">
        <f>'7C'!O44-'7M'!O44</f>
        <v>140.39999999999998</v>
      </c>
      <c r="K44" s="129" t="s">
        <v>9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'7C'!G45-'7M'!G45</f>
        <v>-408.19999999999891</v>
      </c>
      <c r="C45" s="129" t="s">
        <v>9</v>
      </c>
      <c r="D45" s="129" t="s">
        <v>9</v>
      </c>
      <c r="E45" s="129">
        <f>'7C'!J45-'7M'!J45</f>
        <v>-117.70000000000002</v>
      </c>
      <c r="F45" s="129" t="s">
        <v>9</v>
      </c>
      <c r="G45" s="129">
        <f>'7C'!L45-'7M'!L45</f>
        <v>-434.90000000000146</v>
      </c>
      <c r="H45" s="129" t="s">
        <v>9</v>
      </c>
      <c r="I45" s="129" t="s">
        <v>9</v>
      </c>
      <c r="J45" s="129">
        <f>'7C'!O45-'7M'!O45</f>
        <v>-109.6</v>
      </c>
      <c r="K45" s="129" t="s">
        <v>9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'7C'!G46-'7M'!G46</f>
        <v>-996.79999999999927</v>
      </c>
      <c r="C46" s="129" t="s">
        <v>9</v>
      </c>
      <c r="D46" s="129" t="s">
        <v>9</v>
      </c>
      <c r="E46" s="129">
        <f>'7C'!J46-'7M'!J46</f>
        <v>-129.5</v>
      </c>
      <c r="F46" s="129" t="s">
        <v>9</v>
      </c>
      <c r="G46" s="129">
        <f>'7C'!L46-'7M'!L46</f>
        <v>-1040</v>
      </c>
      <c r="H46" s="129" t="s">
        <v>9</v>
      </c>
      <c r="I46" s="129" t="s">
        <v>9</v>
      </c>
      <c r="J46" s="129">
        <f>'7C'!O46-'7M'!O46</f>
        <v>-127.30000000000001</v>
      </c>
      <c r="K46" s="129" t="s">
        <v>9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'7C'!G47-'7M'!G47</f>
        <v>-374.5</v>
      </c>
      <c r="C47" s="129" t="s">
        <v>9</v>
      </c>
      <c r="D47" s="129" t="s">
        <v>9</v>
      </c>
      <c r="E47" s="129">
        <f>'7C'!J47-'7M'!J47</f>
        <v>-79.100000000000023</v>
      </c>
      <c r="F47" s="129" t="s">
        <v>9</v>
      </c>
      <c r="G47" s="129">
        <f>'7C'!L47-'7M'!L47</f>
        <v>-454.5</v>
      </c>
      <c r="H47" s="129" t="s">
        <v>9</v>
      </c>
      <c r="I47" s="129" t="s">
        <v>9</v>
      </c>
      <c r="J47" s="129">
        <f>'7C'!O47-'7M'!O47</f>
        <v>-77.899999999999977</v>
      </c>
      <c r="K47" s="129" t="s">
        <v>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'7C'!G48-'7M'!G48</f>
        <v>982.20000000000073</v>
      </c>
      <c r="C48" s="129" t="s">
        <v>9</v>
      </c>
      <c r="D48" s="129" t="s">
        <v>9</v>
      </c>
      <c r="E48" s="129">
        <f>'7C'!J48-'7M'!J48</f>
        <v>8.8000000000000114</v>
      </c>
      <c r="F48" s="129" t="s">
        <v>9</v>
      </c>
      <c r="G48" s="129">
        <f>'7C'!L48-'7M'!L48</f>
        <v>942.89999999999964</v>
      </c>
      <c r="H48" s="129" t="s">
        <v>9</v>
      </c>
      <c r="I48" s="129" t="s">
        <v>9</v>
      </c>
      <c r="J48" s="129">
        <f>'7C'!O48-'7M'!O48</f>
        <v>10.599999999999994</v>
      </c>
      <c r="K48" s="129" t="s">
        <v>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'7C'!G49-'7M'!G49</f>
        <v>1075.1999999999989</v>
      </c>
      <c r="C49" s="129" t="s">
        <v>9</v>
      </c>
      <c r="D49" s="129" t="s">
        <v>9</v>
      </c>
      <c r="E49" s="129">
        <f>'7C'!J49-'7M'!J49</f>
        <v>-13.099999999999994</v>
      </c>
      <c r="F49" s="129" t="s">
        <v>9</v>
      </c>
      <c r="G49" s="129">
        <f>'7C'!L49-'7M'!L49</f>
        <v>1111.3999999999996</v>
      </c>
      <c r="H49" s="129" t="s">
        <v>9</v>
      </c>
      <c r="I49" s="129" t="s">
        <v>9</v>
      </c>
      <c r="J49" s="129">
        <f>'7C'!O49-'7M'!O49</f>
        <v>-12.600000000000023</v>
      </c>
      <c r="K49" s="129" t="s">
        <v>9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'7C'!G50-'7M'!G50</f>
        <v>1592.6999999999989</v>
      </c>
      <c r="C50" s="129" t="s">
        <v>9</v>
      </c>
      <c r="D50" s="129" t="s">
        <v>9</v>
      </c>
      <c r="E50" s="129">
        <f>'7C'!J50-'7M'!J50</f>
        <v>43.299999999999983</v>
      </c>
      <c r="F50" s="129" t="s">
        <v>9</v>
      </c>
      <c r="G50" s="129">
        <f>'7C'!L50-'7M'!L50</f>
        <v>1603.6000000000004</v>
      </c>
      <c r="H50" s="129" t="s">
        <v>9</v>
      </c>
      <c r="I50" s="129" t="s">
        <v>9</v>
      </c>
      <c r="J50" s="129">
        <f>'7C'!O50-'7M'!O50</f>
        <v>43.200000000000017</v>
      </c>
      <c r="K50" s="129" t="s">
        <v>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'7C'!G51-'7M'!G51</f>
        <v>1750.3999999999996</v>
      </c>
      <c r="C51" s="129" t="s">
        <v>9</v>
      </c>
      <c r="D51" s="129" t="s">
        <v>9</v>
      </c>
      <c r="E51" s="129">
        <f>'7C'!J51-'7M'!J51</f>
        <v>40.200000000000017</v>
      </c>
      <c r="F51" s="129" t="s">
        <v>9</v>
      </c>
      <c r="G51" s="129">
        <f>'7C'!L51-'7M'!L51</f>
        <v>1750.3999999999996</v>
      </c>
      <c r="H51" s="129" t="s">
        <v>9</v>
      </c>
      <c r="I51" s="129" t="s">
        <v>9</v>
      </c>
      <c r="J51" s="129">
        <f>'7C'!O51-'7M'!O51</f>
        <v>40.200000000000017</v>
      </c>
      <c r="K51" s="129" t="s">
        <v>9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'7C'!G52-'7M'!G52</f>
        <v>1720.7000000000007</v>
      </c>
      <c r="C52" s="129" t="s">
        <v>9</v>
      </c>
      <c r="D52" s="129" t="s">
        <v>9</v>
      </c>
      <c r="E52" s="129">
        <f>'7C'!J52-'7M'!J52</f>
        <v>-87.699999999999989</v>
      </c>
      <c r="F52" s="129" t="s">
        <v>9</v>
      </c>
      <c r="G52" s="129">
        <f>'7C'!L52-'7M'!L52</f>
        <v>1720.0999999999985</v>
      </c>
      <c r="H52" s="129" t="s">
        <v>9</v>
      </c>
      <c r="I52" s="129" t="s">
        <v>9</v>
      </c>
      <c r="J52" s="129">
        <f>'7C'!O52-'7M'!O52</f>
        <v>-87.799999999999983</v>
      </c>
      <c r="K52" s="129" t="s">
        <v>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'7C'!G53-'7M'!G53</f>
        <v>-1237.0999999999985</v>
      </c>
      <c r="C53" s="129" t="s">
        <v>9</v>
      </c>
      <c r="D53" s="129" t="s">
        <v>9</v>
      </c>
      <c r="E53" s="129">
        <f>'7C'!J53-'7M'!J53</f>
        <v>-114.30000000000001</v>
      </c>
      <c r="F53" s="129" t="s">
        <v>9</v>
      </c>
      <c r="G53" s="129">
        <f>'7C'!L53-'7M'!L53</f>
        <v>-1231.3999999999996</v>
      </c>
      <c r="H53" s="129" t="s">
        <v>9</v>
      </c>
      <c r="I53" s="129" t="s">
        <v>9</v>
      </c>
      <c r="J53" s="129">
        <f>'7C'!O53-'7M'!O53</f>
        <v>-114.20000000000002</v>
      </c>
      <c r="K53" s="129" t="s">
        <v>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'7C'!G54-'7M'!G54</f>
        <v>-755.5</v>
      </c>
      <c r="C54" s="129" t="s">
        <v>9</v>
      </c>
      <c r="D54" s="129" t="s">
        <v>9</v>
      </c>
      <c r="E54" s="129">
        <f>'7C'!J54-'7M'!J54</f>
        <v>-23.299999999999983</v>
      </c>
      <c r="F54" s="129" t="s">
        <v>9</v>
      </c>
      <c r="G54" s="129">
        <f>'7C'!L54-'7M'!L54</f>
        <v>-835.29999999999927</v>
      </c>
      <c r="H54" s="129" t="s">
        <v>9</v>
      </c>
      <c r="I54" s="129" t="s">
        <v>9</v>
      </c>
      <c r="J54" s="129">
        <f>'7C'!O54-'7M'!O54</f>
        <v>-24.700000000000017</v>
      </c>
      <c r="K54" s="129" t="s">
        <v>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'7C'!G55-'7M'!G55</f>
        <v>-195</v>
      </c>
      <c r="C55" s="129" t="s">
        <v>9</v>
      </c>
      <c r="D55" s="129" t="s">
        <v>9</v>
      </c>
      <c r="E55" s="129">
        <f>'7C'!J55-'7M'!J55</f>
        <v>-35.5</v>
      </c>
      <c r="F55" s="129" t="s">
        <v>9</v>
      </c>
      <c r="G55" s="129">
        <f>'7C'!L55-'7M'!L55</f>
        <v>-147.70000000000073</v>
      </c>
      <c r="H55" s="129" t="s">
        <v>9</v>
      </c>
      <c r="I55" s="129" t="s">
        <v>9</v>
      </c>
      <c r="J55" s="129">
        <f>'7C'!O55-'7M'!O55</f>
        <v>-34.399999999999977</v>
      </c>
      <c r="K55" s="129" t="s">
        <v>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'7C'!G56-'7M'!G56</f>
        <v>1288.9999999999982</v>
      </c>
      <c r="C56" s="129" t="s">
        <v>9</v>
      </c>
      <c r="D56" s="129" t="s">
        <v>9</v>
      </c>
      <c r="E56" s="129">
        <f>'7C'!J56-'7M'!J56</f>
        <v>-53.8</v>
      </c>
      <c r="F56" s="129" t="s">
        <v>9</v>
      </c>
      <c r="G56" s="129">
        <f>'7C'!L56-'7M'!L56</f>
        <v>1427.5</v>
      </c>
      <c r="H56" s="129" t="s">
        <v>9</v>
      </c>
      <c r="I56" s="129" t="s">
        <v>9</v>
      </c>
      <c r="J56" s="129">
        <f>'7C'!O56-'7M'!O56</f>
        <v>-52.800000000000011</v>
      </c>
      <c r="K56" s="129" t="s">
        <v>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'7C'!G57-'7M'!G57</f>
        <v>1097</v>
      </c>
      <c r="C57" s="129" t="s">
        <v>9</v>
      </c>
      <c r="D57" s="129" t="s">
        <v>9</v>
      </c>
      <c r="E57" s="129">
        <f>'7C'!J57-'7M'!J57</f>
        <v>-24.199999999999989</v>
      </c>
      <c r="F57" s="129" t="s">
        <v>9</v>
      </c>
      <c r="G57" s="129">
        <f>'7C'!L57-'7M'!L57</f>
        <v>1260.6000000000004</v>
      </c>
      <c r="H57" s="129" t="s">
        <v>9</v>
      </c>
      <c r="I57" s="129" t="s">
        <v>9</v>
      </c>
      <c r="J57" s="129">
        <f>'7C'!O57-'7M'!O57</f>
        <v>-23</v>
      </c>
      <c r="K57" s="129" t="s">
        <v>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>((B57/B28)^(1/29)-1)*100</f>
        <v>1.8716906971228964</v>
      </c>
      <c r="C60" s="11" t="s">
        <v>10</v>
      </c>
      <c r="D60" s="11" t="s">
        <v>10</v>
      </c>
      <c r="E60" s="11">
        <f t="shared" ref="E60" si="0">((E57/E28)^(1/29)-1)*100</f>
        <v>-0.13952795309395416</v>
      </c>
      <c r="F60" s="11" t="s">
        <v>10</v>
      </c>
      <c r="G60" s="11">
        <f>((G57/G28)^(1/29)-1)*100</f>
        <v>9.4706317490256264</v>
      </c>
      <c r="H60" s="11" t="s">
        <v>10</v>
      </c>
      <c r="I60" s="11" t="s">
        <v>10</v>
      </c>
      <c r="J60" s="11">
        <f t="shared" ref="J60" si="1">((J57/J28)^(1/29)-1)*100</f>
        <v>-1.4958886559379714E-2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E61" si="2">((B33/B28)^(1/5)-1)*100</f>
        <v>30.557261682104752</v>
      </c>
      <c r="C61" s="11" t="s">
        <v>10</v>
      </c>
      <c r="D61" s="11">
        <f>((D33/D28)^(1/5)-1)*100</f>
        <v>-45.071972834694108</v>
      </c>
      <c r="E61" s="11">
        <f t="shared" si="2"/>
        <v>-211.43393611445407</v>
      </c>
      <c r="F61" s="11" t="s">
        <v>10</v>
      </c>
      <c r="G61" s="11">
        <f>((G33/G28)^(1/5)-1)*100</f>
        <v>72.067328396759606</v>
      </c>
      <c r="H61" s="11" t="s">
        <v>10</v>
      </c>
      <c r="I61" s="11">
        <f t="shared" ref="I61:J61" si="3">((I33/I28)^(1/5)-1)*100</f>
        <v>-33.167493804173098</v>
      </c>
      <c r="J61" s="11">
        <f t="shared" si="3"/>
        <v>-213.39011174595475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E62" si="4">((B44/B33)^(1/11)-1)*100</f>
        <v>-4.983488676113657</v>
      </c>
      <c r="C62" s="11" t="s">
        <v>10</v>
      </c>
      <c r="D62" s="11" t="s">
        <v>10</v>
      </c>
      <c r="E62" s="11">
        <f t="shared" si="4"/>
        <v>10.687212323640782</v>
      </c>
      <c r="F62" s="11" t="s">
        <v>10</v>
      </c>
      <c r="G62" s="11">
        <f>((G44/G33)^(1/11)-1)*100</f>
        <v>0.33078400858932433</v>
      </c>
      <c r="H62" s="11" t="s">
        <v>10</v>
      </c>
      <c r="I62" s="11" t="s">
        <v>10</v>
      </c>
      <c r="J62" s="11">
        <f t="shared" ref="J62" si="5">((J44/J33)^(1/11)-1)*100</f>
        <v>11.286776942721065</v>
      </c>
      <c r="K62" s="11" t="s">
        <v>10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3.401488394664387</v>
      </c>
      <c r="C63" s="11" t="s">
        <v>10</v>
      </c>
      <c r="D63" s="11" t="s">
        <v>10</v>
      </c>
      <c r="E63" s="11">
        <f t="shared" ref="E63:J63" si="6">((E51/E44)^(1/7)-1)*100</f>
        <v>-15.648041087357612</v>
      </c>
      <c r="F63" s="11" t="s">
        <v>10</v>
      </c>
      <c r="G63" s="11">
        <f t="shared" si="6"/>
        <v>2.9343662586569064</v>
      </c>
      <c r="H63" s="11" t="s">
        <v>10</v>
      </c>
      <c r="I63" s="11" t="s">
        <v>10</v>
      </c>
      <c r="J63" s="11">
        <f t="shared" si="6"/>
        <v>-16.361079139894329</v>
      </c>
      <c r="K63" s="11" t="s">
        <v>10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-7.4922281801770403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7">((G57/G51)^(1/6)-1)*100</f>
        <v>-5.3239784819651419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E65" si="8">((B57/B44)^(1/13)-1)*100</f>
        <v>-1.7772553053357787</v>
      </c>
      <c r="C65" s="11" t="s">
        <v>10</v>
      </c>
      <c r="D65" s="11" t="s">
        <v>10</v>
      </c>
      <c r="E65" s="11">
        <f t="shared" si="8"/>
        <v>-187.75066669591004</v>
      </c>
      <c r="F65" s="11" t="s">
        <v>10</v>
      </c>
      <c r="G65" s="11">
        <f>((G57/G44)^(1/13)-1)*100</f>
        <v>-0.96307769706998059</v>
      </c>
      <c r="H65" s="11" t="s">
        <v>10</v>
      </c>
      <c r="I65" s="11" t="s">
        <v>10</v>
      </c>
      <c r="J65" s="11">
        <f t="shared" ref="J65" si="9">((J57/J44)^(1/13)-1)*100</f>
        <v>-187.00940721406337</v>
      </c>
      <c r="K65" s="11" t="s">
        <v>10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0" zoomScaleNormal="100" zoomScaleSheetLayoutView="100" workbookViewId="0">
      <selection activeCell="A44" sqref="A44:K57"/>
    </sheetView>
  </sheetViews>
  <sheetFormatPr defaultRowHeight="15"/>
  <cols>
    <col min="1" max="6" width="9.140625" style="239"/>
    <col min="7" max="7" width="16.140625" style="239" customWidth="1"/>
    <col min="8" max="16384" width="9.140625" style="239"/>
  </cols>
  <sheetData>
    <row r="1" spans="1:20" ht="34.5" customHeight="1">
      <c r="A1" s="454" t="s">
        <v>333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'7D'!G5-'7N'!G5</f>
        <v>184.19999999999982</v>
      </c>
      <c r="C5" s="129" t="s">
        <v>9</v>
      </c>
      <c r="D5" s="129" t="s">
        <v>9</v>
      </c>
      <c r="E5" s="129">
        <f>'7D'!J5-'7N'!J5</f>
        <v>-3.8000000000000007</v>
      </c>
      <c r="F5" s="129">
        <f>'7D'!K5-'7N'!K5</f>
        <v>-30.599999999999994</v>
      </c>
      <c r="G5" s="129">
        <f>'7D'!L5-'7N'!L5</f>
        <v>-366.10000000000014</v>
      </c>
      <c r="H5" s="129" t="s">
        <v>9</v>
      </c>
      <c r="I5" s="129" t="s">
        <v>9</v>
      </c>
      <c r="J5" s="129">
        <f>'7D'!O5-'7N'!O5</f>
        <v>-5.5999999999999979</v>
      </c>
      <c r="K5" s="129">
        <f>'7D'!P5-'7N'!P5</f>
        <v>-39.099999999999994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'7D'!G6-'7N'!G6</f>
        <v>558.09999999999945</v>
      </c>
      <c r="C6" s="129" t="s">
        <v>9</v>
      </c>
      <c r="D6" s="129" t="s">
        <v>9</v>
      </c>
      <c r="E6" s="129">
        <f>'7D'!J6-'7N'!J6</f>
        <v>0.10000000000000142</v>
      </c>
      <c r="F6" s="129">
        <f>'7D'!K6-'7N'!K6</f>
        <v>6.9000000000000057</v>
      </c>
      <c r="G6" s="129">
        <f>'7D'!L6-'7N'!L6</f>
        <v>-220.30000000000018</v>
      </c>
      <c r="H6" s="129" t="s">
        <v>9</v>
      </c>
      <c r="I6" s="129" t="s">
        <v>9</v>
      </c>
      <c r="J6" s="129">
        <f>'7D'!O6-'7N'!O6</f>
        <v>-2.2000000000000028</v>
      </c>
      <c r="K6" s="129">
        <f>'7D'!P6-'7N'!P6</f>
        <v>-6.3000000000000114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'7D'!G7-'7N'!G7</f>
        <v>640.19999999999982</v>
      </c>
      <c r="C7" s="129" t="s">
        <v>9</v>
      </c>
      <c r="D7" s="129" t="s">
        <v>9</v>
      </c>
      <c r="E7" s="129">
        <f>'7D'!J7-'7N'!J7</f>
        <v>1.0999999999999979</v>
      </c>
      <c r="F7" s="129">
        <f>'7D'!K7-'7N'!K7</f>
        <v>16.599999999999994</v>
      </c>
      <c r="G7" s="129">
        <f>'7D'!L7-'7N'!L7</f>
        <v>-218.30000000000018</v>
      </c>
      <c r="H7" s="129" t="s">
        <v>9</v>
      </c>
      <c r="I7" s="129" t="s">
        <v>9</v>
      </c>
      <c r="J7" s="129">
        <f>'7D'!O7-'7N'!O7</f>
        <v>-1.1000000000000014</v>
      </c>
      <c r="K7" s="129">
        <f>'7D'!P7-'7N'!P7</f>
        <v>1.3000000000000114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'7D'!G8-'7N'!G8</f>
        <v>1617.8999999999996</v>
      </c>
      <c r="C8" s="129" t="s">
        <v>9</v>
      </c>
      <c r="D8" s="129" t="s">
        <v>9</v>
      </c>
      <c r="E8" s="129">
        <f>'7D'!J8-'7N'!J8</f>
        <v>14.699999999999996</v>
      </c>
      <c r="F8" s="129">
        <f>'7D'!K8-'7N'!K8</f>
        <v>120.19999999999999</v>
      </c>
      <c r="G8" s="129">
        <f>'7D'!L8-'7N'!L8</f>
        <v>142.19999999999982</v>
      </c>
      <c r="H8" s="129" t="s">
        <v>9</v>
      </c>
      <c r="I8" s="129" t="s">
        <v>9</v>
      </c>
      <c r="J8" s="129">
        <f>'7D'!O8-'7N'!O8</f>
        <v>10.199999999999999</v>
      </c>
      <c r="K8" s="129">
        <f>'7D'!P8-'7N'!P8</f>
        <v>90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'7D'!G9-'7N'!G9</f>
        <v>2558.3999999999996</v>
      </c>
      <c r="C9" s="129" t="s">
        <v>9</v>
      </c>
      <c r="D9" s="129" t="s">
        <v>9</v>
      </c>
      <c r="E9" s="129">
        <f>'7D'!J9-'7N'!J9</f>
        <v>17.699999999999996</v>
      </c>
      <c r="F9" s="129">
        <f>'7D'!K9-'7N'!K9</f>
        <v>207.4</v>
      </c>
      <c r="G9" s="129">
        <f>'7D'!L9-'7N'!L9</f>
        <v>448.30000000000018</v>
      </c>
      <c r="H9" s="129" t="s">
        <v>9</v>
      </c>
      <c r="I9" s="129" t="s">
        <v>9</v>
      </c>
      <c r="J9" s="129">
        <f>'7D'!O9-'7N'!O9</f>
        <v>12.299999999999997</v>
      </c>
      <c r="K9" s="129">
        <f>'7D'!P9-'7N'!P9</f>
        <v>163.39999999999998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'7D'!G10-'7N'!G10</f>
        <v>3100.4000000000005</v>
      </c>
      <c r="C10" s="129" t="s">
        <v>9</v>
      </c>
      <c r="D10" s="129" t="s">
        <v>9</v>
      </c>
      <c r="E10" s="129">
        <f>'7D'!J10-'7N'!J10</f>
        <v>17.200000000000003</v>
      </c>
      <c r="F10" s="129">
        <f>'7D'!K10-'7N'!K10</f>
        <v>116</v>
      </c>
      <c r="G10" s="129">
        <f>'7D'!L10-'7N'!L10</f>
        <v>660.70000000000027</v>
      </c>
      <c r="H10" s="129" t="s">
        <v>9</v>
      </c>
      <c r="I10" s="129" t="s">
        <v>9</v>
      </c>
      <c r="J10" s="129">
        <f>'7D'!O10-'7N'!O10</f>
        <v>11.399999999999999</v>
      </c>
      <c r="K10" s="129">
        <f>'7D'!P10-'7N'!P10</f>
        <v>83.4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'7D'!G11-'7N'!G11</f>
        <v>2392.3000000000011</v>
      </c>
      <c r="C11" s="129" t="s">
        <v>9</v>
      </c>
      <c r="D11" s="129" t="s">
        <v>9</v>
      </c>
      <c r="E11" s="129">
        <f>'7D'!J11-'7N'!J11</f>
        <v>0.60000000000000142</v>
      </c>
      <c r="F11" s="129">
        <f>'7D'!K11-'7N'!K11</f>
        <v>75.300000000000011</v>
      </c>
      <c r="G11" s="129">
        <f>'7D'!L11-'7N'!L11</f>
        <v>369.39999999999964</v>
      </c>
      <c r="H11" s="129" t="s">
        <v>9</v>
      </c>
      <c r="I11" s="129" t="s">
        <v>9</v>
      </c>
      <c r="J11" s="129">
        <f>'7D'!O11-'7N'!O11</f>
        <v>-2.1000000000000014</v>
      </c>
      <c r="K11" s="129">
        <f>'7D'!P11-'7N'!P11</f>
        <v>49.800000000000011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'7D'!G12-'7N'!G12</f>
        <v>1404.5</v>
      </c>
      <c r="C12" s="129" t="s">
        <v>9</v>
      </c>
      <c r="D12" s="129" t="s">
        <v>9</v>
      </c>
      <c r="E12" s="129">
        <f>'7D'!J12-'7N'!J12</f>
        <v>0</v>
      </c>
      <c r="F12" s="129">
        <f>'7D'!K12-'7N'!K12</f>
        <v>-58</v>
      </c>
      <c r="G12" s="129">
        <f>'7D'!L12-'7N'!L12</f>
        <v>-77.100000000000364</v>
      </c>
      <c r="H12" s="129" t="s">
        <v>9</v>
      </c>
      <c r="I12" s="129" t="s">
        <v>9</v>
      </c>
      <c r="J12" s="129">
        <f>'7D'!O12-'7N'!O12</f>
        <v>-2.6999999999999957</v>
      </c>
      <c r="K12" s="129">
        <f>'7D'!P12-'7N'!P12</f>
        <v>-65.699999999999989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'7D'!G13-'7N'!G13</f>
        <v>2129.6999999999998</v>
      </c>
      <c r="C13" s="129" t="s">
        <v>9</v>
      </c>
      <c r="D13" s="129" t="s">
        <v>9</v>
      </c>
      <c r="E13" s="129">
        <f>'7D'!J13-'7N'!J13</f>
        <v>28.599999999999994</v>
      </c>
      <c r="F13" s="129">
        <f>'7D'!K13-'7N'!K13</f>
        <v>-14.699999999999989</v>
      </c>
      <c r="G13" s="129">
        <f>'7D'!L13-'7N'!L13</f>
        <v>227</v>
      </c>
      <c r="H13" s="129" t="s">
        <v>9</v>
      </c>
      <c r="I13" s="129" t="s">
        <v>9</v>
      </c>
      <c r="J13" s="129">
        <f>'7D'!O13-'7N'!O13</f>
        <v>20.400000000000006</v>
      </c>
      <c r="K13" s="129">
        <f>'7D'!P13-'7N'!P13</f>
        <v>-27.899999999999977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'7D'!G14-'7N'!G14</f>
        <v>2469.8999999999996</v>
      </c>
      <c r="C14" s="129" t="s">
        <v>9</v>
      </c>
      <c r="D14" s="129" t="s">
        <v>9</v>
      </c>
      <c r="E14" s="129">
        <f>'7D'!J14-'7N'!J14</f>
        <v>19.500000000000007</v>
      </c>
      <c r="F14" s="129">
        <f>'7D'!K14-'7N'!K14</f>
        <v>85.199999999999989</v>
      </c>
      <c r="G14" s="129">
        <f>'7D'!L14-'7N'!L14</f>
        <v>248.89999999999964</v>
      </c>
      <c r="H14" s="129" t="s">
        <v>9</v>
      </c>
      <c r="I14" s="129" t="s">
        <v>9</v>
      </c>
      <c r="J14" s="129">
        <f>'7D'!O14-'7N'!O14</f>
        <v>13.100000000000001</v>
      </c>
      <c r="K14" s="129">
        <f>'7D'!P14-'7N'!P14</f>
        <v>56.800000000000011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'7D'!G15-'7N'!G15</f>
        <v>1643.1999999999998</v>
      </c>
      <c r="C15" s="129" t="s">
        <v>9</v>
      </c>
      <c r="D15" s="129" t="s">
        <v>9</v>
      </c>
      <c r="E15" s="129">
        <f>'7D'!J15-'7N'!J15</f>
        <v>3.6000000000000014</v>
      </c>
      <c r="F15" s="129">
        <f>'7D'!K15-'7N'!K15</f>
        <v>64</v>
      </c>
      <c r="G15" s="129">
        <f>'7D'!L15-'7N'!L15</f>
        <v>-129</v>
      </c>
      <c r="H15" s="129" t="s">
        <v>9</v>
      </c>
      <c r="I15" s="129" t="s">
        <v>9</v>
      </c>
      <c r="J15" s="129">
        <f>'7D'!O15-'7N'!O15</f>
        <v>-1.1000000000000014</v>
      </c>
      <c r="K15" s="129">
        <f>'7D'!P15-'7N'!P15</f>
        <v>35.899999999999977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'7D'!G16-'7N'!G16</f>
        <v>1588.6000000000004</v>
      </c>
      <c r="C16" s="129" t="s">
        <v>9</v>
      </c>
      <c r="D16" s="129" t="s">
        <v>9</v>
      </c>
      <c r="E16" s="129">
        <f>'7D'!J16-'7N'!J16</f>
        <v>34.699999999999996</v>
      </c>
      <c r="F16" s="129">
        <f>'7D'!K16-'7N'!K16</f>
        <v>-59.399999999999977</v>
      </c>
      <c r="G16" s="129">
        <f>'7D'!L16-'7N'!L16</f>
        <v>-152.30000000000018</v>
      </c>
      <c r="H16" s="129" t="s">
        <v>9</v>
      </c>
      <c r="I16" s="129" t="s">
        <v>9</v>
      </c>
      <c r="J16" s="129">
        <f>'7D'!O16-'7N'!O16</f>
        <v>25.200000000000003</v>
      </c>
      <c r="K16" s="129">
        <f>'7D'!P16-'7N'!P16</f>
        <v>-67.900000000000006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'7D'!G17-'7N'!G17</f>
        <v>3252.6000000000004</v>
      </c>
      <c r="C17" s="129" t="s">
        <v>9</v>
      </c>
      <c r="D17" s="129" t="s">
        <v>9</v>
      </c>
      <c r="E17" s="129">
        <f>'7D'!J17-'7N'!J17</f>
        <v>82.5</v>
      </c>
      <c r="F17" s="129">
        <f>'7D'!K17-'7N'!K17</f>
        <v>-23.800000000000011</v>
      </c>
      <c r="G17" s="129">
        <f>'7D'!L17-'7N'!L17</f>
        <v>460.69999999999982</v>
      </c>
      <c r="H17" s="129" t="s">
        <v>9</v>
      </c>
      <c r="I17" s="129" t="s">
        <v>9</v>
      </c>
      <c r="J17" s="129">
        <f>'7D'!O17-'7N'!O17</f>
        <v>63.099999999999994</v>
      </c>
      <c r="K17" s="129">
        <f>'7D'!P17-'7N'!P17</f>
        <v>-36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'7D'!G18-'7N'!G18</f>
        <v>4019</v>
      </c>
      <c r="C18" s="129" t="s">
        <v>9</v>
      </c>
      <c r="D18" s="129" t="s">
        <v>9</v>
      </c>
      <c r="E18" s="129">
        <f>'7D'!J18-'7N'!J18</f>
        <v>105.1</v>
      </c>
      <c r="F18" s="129">
        <f>'7D'!K18-'7N'!K18</f>
        <v>134.39999999999998</v>
      </c>
      <c r="G18" s="129">
        <f>'7D'!L18-'7N'!L18</f>
        <v>798</v>
      </c>
      <c r="H18" s="129" t="s">
        <v>9</v>
      </c>
      <c r="I18" s="129" t="s">
        <v>9</v>
      </c>
      <c r="J18" s="129">
        <f>'7D'!O18-'7N'!O18</f>
        <v>83.600000000000009</v>
      </c>
      <c r="K18" s="129">
        <f>'7D'!P18-'7N'!P18</f>
        <v>99.699999999999989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'7D'!G19-'7N'!G19</f>
        <v>3219.8000000000011</v>
      </c>
      <c r="C19" s="129" t="s">
        <v>9</v>
      </c>
      <c r="D19" s="129" t="s">
        <v>9</v>
      </c>
      <c r="E19" s="129">
        <f>'7D'!J19-'7N'!J19</f>
        <v>40.799999999999997</v>
      </c>
      <c r="F19" s="129">
        <f>'7D'!K19-'7N'!K19</f>
        <v>159.19999999999999</v>
      </c>
      <c r="G19" s="129">
        <f>'7D'!L19-'7N'!L19</f>
        <v>327.39999999999964</v>
      </c>
      <c r="H19" s="129" t="s">
        <v>9</v>
      </c>
      <c r="I19" s="129" t="s">
        <v>9</v>
      </c>
      <c r="J19" s="129">
        <f>'7D'!O19-'7N'!O19</f>
        <v>28.100000000000009</v>
      </c>
      <c r="K19" s="129">
        <f>'7D'!P19-'7N'!P19</f>
        <v>119.90000000000003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'7D'!G20-'7N'!G20</f>
        <v>1913.3000000000011</v>
      </c>
      <c r="C20" s="129" t="s">
        <v>9</v>
      </c>
      <c r="D20" s="129" t="s">
        <v>9</v>
      </c>
      <c r="E20" s="129">
        <f>'7D'!J20-'7N'!J20</f>
        <v>-12.599999999999994</v>
      </c>
      <c r="F20" s="129">
        <f>'7D'!K20-'7N'!K20</f>
        <v>227.80000000000007</v>
      </c>
      <c r="G20" s="129">
        <f>'7D'!L20-'7N'!L20</f>
        <v>-311.30000000000018</v>
      </c>
      <c r="H20" s="129" t="s">
        <v>9</v>
      </c>
      <c r="I20" s="129" t="s">
        <v>9</v>
      </c>
      <c r="J20" s="129">
        <f>'7D'!O20-'7N'!O20</f>
        <v>-17.299999999999997</v>
      </c>
      <c r="K20" s="129">
        <f>'7D'!P20-'7N'!P20</f>
        <v>180.20000000000005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'7D'!G21-'7N'!G21</f>
        <v>1298.2000000000007</v>
      </c>
      <c r="C21" s="129" t="s">
        <v>9</v>
      </c>
      <c r="D21" s="129" t="s">
        <v>9</v>
      </c>
      <c r="E21" s="129">
        <f>'7D'!J21-'7N'!J21</f>
        <v>-31</v>
      </c>
      <c r="F21" s="129">
        <f>'7D'!K21-'7N'!K21</f>
        <v>63.899999999999977</v>
      </c>
      <c r="G21" s="129">
        <f>'7D'!L21-'7N'!L21</f>
        <v>-532.10000000000036</v>
      </c>
      <c r="H21" s="129" t="s">
        <v>9</v>
      </c>
      <c r="I21" s="129" t="s">
        <v>9</v>
      </c>
      <c r="J21" s="129">
        <f>'7D'!O21-'7N'!O21</f>
        <v>-32</v>
      </c>
      <c r="K21" s="129">
        <f>'7D'!P21-'7N'!P21</f>
        <v>35.699999999999989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'7D'!G22-'7N'!G22</f>
        <v>947.79999999999927</v>
      </c>
      <c r="C22" s="129" t="s">
        <v>9</v>
      </c>
      <c r="D22" s="129" t="s">
        <v>9</v>
      </c>
      <c r="E22" s="129">
        <f>'7D'!J22-'7N'!J22</f>
        <v>-26.5</v>
      </c>
      <c r="F22" s="129">
        <f>'7D'!K22-'7N'!K22</f>
        <v>-156.5</v>
      </c>
      <c r="G22" s="129">
        <f>'7D'!L22-'7N'!L22</f>
        <v>-564.69999999999982</v>
      </c>
      <c r="H22" s="129" t="s">
        <v>9</v>
      </c>
      <c r="I22" s="129" t="s">
        <v>9</v>
      </c>
      <c r="J22" s="129">
        <f>'7D'!O22-'7N'!O22</f>
        <v>-27.300000000000004</v>
      </c>
      <c r="K22" s="129">
        <f>'7D'!P22-'7N'!P22</f>
        <v>-156.20000000000002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'7D'!G23-'7N'!G23</f>
        <v>1600.6000000000004</v>
      </c>
      <c r="C23" s="129" t="s">
        <v>9</v>
      </c>
      <c r="D23" s="129" t="s">
        <v>9</v>
      </c>
      <c r="E23" s="129">
        <f>'7D'!J23-'7N'!J23</f>
        <v>-12.600000000000009</v>
      </c>
      <c r="F23" s="129">
        <f>'7D'!K23-'7N'!K23</f>
        <v>-29.900000000000034</v>
      </c>
      <c r="G23" s="129">
        <f>'7D'!L23-'7N'!L23</f>
        <v>-282</v>
      </c>
      <c r="H23" s="129" t="s">
        <v>9</v>
      </c>
      <c r="I23" s="129" t="s">
        <v>9</v>
      </c>
      <c r="J23" s="129">
        <f>'7D'!O23-'7N'!O23</f>
        <v>-15.5</v>
      </c>
      <c r="K23" s="129">
        <f>'7D'!P23-'7N'!P23</f>
        <v>-42.900000000000034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'7D'!G24-'7N'!G24</f>
        <v>2109.6999999999989</v>
      </c>
      <c r="C24" s="129" t="s">
        <v>9</v>
      </c>
      <c r="D24" s="129" t="s">
        <v>9</v>
      </c>
      <c r="E24" s="129">
        <f>'7D'!J24-'7N'!J24</f>
        <v>8.8999999999999915</v>
      </c>
      <c r="F24" s="129">
        <f>'7D'!K24-'7N'!K24</f>
        <v>43.600000000000023</v>
      </c>
      <c r="G24" s="129">
        <f>'7D'!L24-'7N'!L24</f>
        <v>127</v>
      </c>
      <c r="H24" s="129" t="s">
        <v>9</v>
      </c>
      <c r="I24" s="129" t="s">
        <v>9</v>
      </c>
      <c r="J24" s="129">
        <f>'7D'!O24-'7N'!O24</f>
        <v>3.9000000000000057</v>
      </c>
      <c r="K24" s="129">
        <f>'7D'!P24-'7N'!P24</f>
        <v>28.899999999999977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'7D'!G25-'7N'!G25</f>
        <v>2674.4000000000015</v>
      </c>
      <c r="C25" s="129" t="s">
        <v>9</v>
      </c>
      <c r="D25" s="129" t="s">
        <v>9</v>
      </c>
      <c r="E25" s="129">
        <f>'7D'!J25-'7N'!J25</f>
        <v>-1.2999999999999972</v>
      </c>
      <c r="F25" s="129">
        <f>'7D'!K25-'7N'!K25</f>
        <v>326.39999999999998</v>
      </c>
      <c r="G25" s="129">
        <f>'7D'!L25-'7N'!L25</f>
        <v>659.69999999999891</v>
      </c>
      <c r="H25" s="129" t="s">
        <v>9</v>
      </c>
      <c r="I25" s="129" t="s">
        <v>9</v>
      </c>
      <c r="J25" s="129">
        <f>'7D'!O25-'7N'!O25</f>
        <v>-6.5999999999999943</v>
      </c>
      <c r="K25" s="129">
        <f>'7D'!P25-'7N'!P25</f>
        <v>279.59999999999997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'7D'!G26-'7N'!G26</f>
        <v>388.80000000000109</v>
      </c>
      <c r="C26" s="129" t="s">
        <v>9</v>
      </c>
      <c r="D26" s="129" t="s">
        <v>9</v>
      </c>
      <c r="E26" s="129">
        <f>'7D'!J26-'7N'!J26</f>
        <v>-15.899999999999991</v>
      </c>
      <c r="F26" s="129">
        <f>'7D'!K26-'7N'!K26</f>
        <v>163.89999999999998</v>
      </c>
      <c r="G26" s="129">
        <f>'7D'!L26-'7N'!L26</f>
        <v>-721.89999999999964</v>
      </c>
      <c r="H26" s="129" t="s">
        <v>9</v>
      </c>
      <c r="I26" s="129" t="s">
        <v>9</v>
      </c>
      <c r="J26" s="129">
        <f>'7D'!O26-'7N'!O26</f>
        <v>-18.599999999999994</v>
      </c>
      <c r="K26" s="129">
        <f>'7D'!P26-'7N'!P26</f>
        <v>128.70000000000005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'7D'!G27-'7N'!G27</f>
        <v>544.70000000000073</v>
      </c>
      <c r="C27" s="129" t="s">
        <v>9</v>
      </c>
      <c r="D27" s="129" t="s">
        <v>9</v>
      </c>
      <c r="E27" s="129">
        <f>'7D'!J27-'7N'!J27</f>
        <v>-27.5</v>
      </c>
      <c r="F27" s="129">
        <f>'7D'!K27-'7N'!K27</f>
        <v>-191.7</v>
      </c>
      <c r="G27" s="129">
        <f>'7D'!L27-'7N'!L27</f>
        <v>-319.19999999999982</v>
      </c>
      <c r="H27" s="129" t="s">
        <v>9</v>
      </c>
      <c r="I27" s="129" t="s">
        <v>9</v>
      </c>
      <c r="J27" s="129">
        <f>'7D'!O27-'7N'!O27</f>
        <v>-28.199999999999996</v>
      </c>
      <c r="K27" s="129">
        <f>'7D'!P27-'7N'!P27</f>
        <v>-191.60000000000002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'7D'!G28-'7N'!G28</f>
        <v>417</v>
      </c>
      <c r="C28" s="129" t="s">
        <v>9</v>
      </c>
      <c r="D28" s="129" t="s">
        <v>9</v>
      </c>
      <c r="E28" s="129">
        <f>'7D'!J28-'7N'!J28</f>
        <v>-12.099999999999994</v>
      </c>
      <c r="F28" s="129">
        <f>'7D'!K28-'7N'!K28</f>
        <v>-111.19999999999999</v>
      </c>
      <c r="G28" s="129">
        <f>'7D'!L28-'7N'!L28</f>
        <v>-315</v>
      </c>
      <c r="H28" s="129" t="s">
        <v>9</v>
      </c>
      <c r="I28" s="129" t="s">
        <v>9</v>
      </c>
      <c r="J28" s="129">
        <f>'7D'!O28-'7N'!O28</f>
        <v>-14.5</v>
      </c>
      <c r="K28" s="129">
        <f>'7D'!P28-'7N'!P28</f>
        <v>-116.69999999999999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'7D'!G29-'7N'!G29</f>
        <v>1658.1999999999989</v>
      </c>
      <c r="C29" s="129" t="s">
        <v>9</v>
      </c>
      <c r="D29" s="129" t="s">
        <v>9</v>
      </c>
      <c r="E29" s="129">
        <f>'7D'!J29-'7N'!J29</f>
        <v>-26.599999999999994</v>
      </c>
      <c r="F29" s="129">
        <f>'7D'!K29-'7N'!K29</f>
        <v>102.30000000000001</v>
      </c>
      <c r="G29" s="129">
        <f>'7D'!L29-'7N'!L29</f>
        <v>650.79999999999927</v>
      </c>
      <c r="H29" s="129" t="s">
        <v>9</v>
      </c>
      <c r="I29" s="129" t="s">
        <v>9</v>
      </c>
      <c r="J29" s="129">
        <f>'7D'!O29-'7N'!O29</f>
        <v>-27.000000000000007</v>
      </c>
      <c r="K29" s="129">
        <f>'7D'!P29-'7N'!P29</f>
        <v>84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'7D'!G30-'7N'!G30</f>
        <v>3136.2000000000007</v>
      </c>
      <c r="C30" s="129" t="s">
        <v>9</v>
      </c>
      <c r="D30" s="129" t="s">
        <v>9</v>
      </c>
      <c r="E30" s="129">
        <f>'7D'!J30-'7N'!J30</f>
        <v>-16.899999999999999</v>
      </c>
      <c r="F30" s="129">
        <f>'7D'!K30-'7N'!K30</f>
        <v>-121.19999999999999</v>
      </c>
      <c r="G30" s="129">
        <f>'7D'!L30-'7N'!L30</f>
        <v>1357.3999999999996</v>
      </c>
      <c r="H30" s="129" t="s">
        <v>9</v>
      </c>
      <c r="I30" s="129" t="s">
        <v>9</v>
      </c>
      <c r="J30" s="129">
        <f>'7D'!O30-'7N'!O30</f>
        <v>-18.099999999999994</v>
      </c>
      <c r="K30" s="129">
        <f>'7D'!P30-'7N'!P30</f>
        <v>-119.69999999999999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'7D'!G31-'7N'!G31</f>
        <v>2925.0000000000018</v>
      </c>
      <c r="C31" s="129" t="s">
        <v>9</v>
      </c>
      <c r="D31" s="129" t="s">
        <v>9</v>
      </c>
      <c r="E31" s="129">
        <f>'7D'!J31-'7N'!J31</f>
        <v>53.099999999999994</v>
      </c>
      <c r="F31" s="129">
        <f>'7D'!K31-'7N'!K31</f>
        <v>-32.800000000000011</v>
      </c>
      <c r="G31" s="129">
        <f>'7D'!L31-'7N'!L31</f>
        <v>1676.3999999999996</v>
      </c>
      <c r="H31" s="129" t="s">
        <v>9</v>
      </c>
      <c r="I31" s="129" t="s">
        <v>9</v>
      </c>
      <c r="J31" s="129">
        <f>'7D'!O31-'7N'!O31</f>
        <v>43.300000000000011</v>
      </c>
      <c r="K31" s="129">
        <f>'7D'!P31-'7N'!P31</f>
        <v>-40.599999999999966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'7D'!G32-'7N'!G32</f>
        <v>5044.2000000000007</v>
      </c>
      <c r="C32" s="129" t="s">
        <v>9</v>
      </c>
      <c r="D32" s="129" t="s">
        <v>9</v>
      </c>
      <c r="E32" s="129">
        <f>'7D'!J32-'7N'!J32</f>
        <v>96.300000000000011</v>
      </c>
      <c r="F32" s="129">
        <f>'7D'!K32-'7N'!K32</f>
        <v>153.19999999999999</v>
      </c>
      <c r="G32" s="129">
        <f>'7D'!L32-'7N'!L32</f>
        <v>2704</v>
      </c>
      <c r="H32" s="129" t="s">
        <v>9</v>
      </c>
      <c r="I32" s="129" t="s">
        <v>9</v>
      </c>
      <c r="J32" s="129">
        <f>'7D'!O32-'7N'!O32</f>
        <v>79.800000000000011</v>
      </c>
      <c r="K32" s="129">
        <f>'7D'!P32-'7N'!P32</f>
        <v>132.89999999999998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'7D'!G33-'7N'!G33</f>
        <v>4092.8999999999978</v>
      </c>
      <c r="C33" s="129" t="s">
        <v>9</v>
      </c>
      <c r="D33" s="129" t="s">
        <v>9</v>
      </c>
      <c r="E33" s="129">
        <f>'7D'!J33-'7N'!J33</f>
        <v>36.300000000000011</v>
      </c>
      <c r="F33" s="129">
        <f>'7D'!K33-'7N'!K33</f>
        <v>460.79999999999995</v>
      </c>
      <c r="G33" s="129">
        <f>'7D'!L33-'7N'!L33</f>
        <v>2365.3999999999996</v>
      </c>
      <c r="H33" s="129" t="s">
        <v>9</v>
      </c>
      <c r="I33" s="129" t="s">
        <v>9</v>
      </c>
      <c r="J33" s="129">
        <f>'7D'!O33-'7N'!O33</f>
        <v>27.599999999999994</v>
      </c>
      <c r="K33" s="129">
        <f>'7D'!P33-'7N'!P33</f>
        <v>412.4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'7D'!G34-'7N'!G34</f>
        <v>1673.9000000000015</v>
      </c>
      <c r="C34" s="129" t="s">
        <v>9</v>
      </c>
      <c r="D34" s="129" t="s">
        <v>9</v>
      </c>
      <c r="E34" s="129">
        <f>'7D'!J34-'7N'!J34</f>
        <v>-25.299999999999997</v>
      </c>
      <c r="F34" s="129">
        <f>'7D'!K34-'7N'!K34</f>
        <v>151.40000000000009</v>
      </c>
      <c r="G34" s="129">
        <f>'7D'!L34-'7N'!L34</f>
        <v>653.70000000000073</v>
      </c>
      <c r="H34" s="129" t="s">
        <v>9</v>
      </c>
      <c r="I34" s="129" t="s">
        <v>9</v>
      </c>
      <c r="J34" s="129">
        <f>'7D'!O34-'7N'!O34</f>
        <v>-27.200000000000003</v>
      </c>
      <c r="K34" s="129">
        <f>'7D'!P34-'7N'!P34</f>
        <v>126.5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'7D'!G35-'7N'!G35</f>
        <v>1141.5999999999985</v>
      </c>
      <c r="C35" s="129" t="s">
        <v>9</v>
      </c>
      <c r="D35" s="129" t="s">
        <v>9</v>
      </c>
      <c r="E35" s="129">
        <f>'7D'!J35-'7N'!J35</f>
        <v>-40.400000000000006</v>
      </c>
      <c r="F35" s="129">
        <f>'7D'!K35-'7N'!K35</f>
        <v>-111.20000000000005</v>
      </c>
      <c r="G35" s="129">
        <f>'7D'!L35-'7N'!L35</f>
        <v>371.10000000000036</v>
      </c>
      <c r="H35" s="129" t="s">
        <v>9</v>
      </c>
      <c r="I35" s="129" t="s">
        <v>9</v>
      </c>
      <c r="J35" s="129">
        <f>'7D'!O35-'7N'!O35</f>
        <v>-40.700000000000003</v>
      </c>
      <c r="K35" s="129">
        <f>'7D'!P35-'7N'!P35</f>
        <v>-117.69999999999999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'7D'!G36-'7N'!G36</f>
        <v>-312.20000000000073</v>
      </c>
      <c r="C36" s="129" t="s">
        <v>9</v>
      </c>
      <c r="D36" s="129" t="s">
        <v>9</v>
      </c>
      <c r="E36" s="129">
        <f>'7D'!J36-'7N'!J36</f>
        <v>-44.4</v>
      </c>
      <c r="F36" s="129">
        <f>'7D'!K36-'7N'!K36</f>
        <v>-166.80000000000007</v>
      </c>
      <c r="G36" s="129">
        <f>'7D'!L36-'7N'!L36</f>
        <v>-547.90000000000146</v>
      </c>
      <c r="H36" s="129" t="s">
        <v>9</v>
      </c>
      <c r="I36" s="129" t="s">
        <v>9</v>
      </c>
      <c r="J36" s="129">
        <f>'7D'!O36-'7N'!O36</f>
        <v>-43.4</v>
      </c>
      <c r="K36" s="129">
        <f>'7D'!P36-'7N'!P36</f>
        <v>-169.59999999999997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'7D'!G37-'7N'!G37</f>
        <v>-1152.1999999999989</v>
      </c>
      <c r="C37" s="129" t="s">
        <v>9</v>
      </c>
      <c r="D37" s="129" t="s">
        <v>9</v>
      </c>
      <c r="E37" s="129">
        <f>'7D'!J37-'7N'!J37</f>
        <v>-31.799999999999997</v>
      </c>
      <c r="F37" s="129">
        <f>'7D'!K37-'7N'!K37</f>
        <v>-143.80000000000007</v>
      </c>
      <c r="G37" s="129">
        <f>'7D'!L37-'7N'!L37</f>
        <v>-1384</v>
      </c>
      <c r="H37" s="129" t="s">
        <v>9</v>
      </c>
      <c r="I37" s="129" t="s">
        <v>9</v>
      </c>
      <c r="J37" s="129">
        <f>'7D'!O37-'7N'!O37</f>
        <v>-30.1</v>
      </c>
      <c r="K37" s="129">
        <f>'7D'!P37-'7N'!P37</f>
        <v>-138.80000000000001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'7D'!G38-'7N'!G38</f>
        <v>-83.200000000000728</v>
      </c>
      <c r="C38" s="129" t="s">
        <v>9</v>
      </c>
      <c r="D38" s="129" t="s">
        <v>9</v>
      </c>
      <c r="E38" s="129">
        <f>'7D'!J38-'7N'!J38</f>
        <v>11.200000000000003</v>
      </c>
      <c r="F38" s="129">
        <f>'7D'!K38-'7N'!K38</f>
        <v>-110.5</v>
      </c>
      <c r="G38" s="129">
        <f>'7D'!L38-'7N'!L38</f>
        <v>-541.10000000000036</v>
      </c>
      <c r="H38" s="129" t="s">
        <v>9</v>
      </c>
      <c r="I38" s="129" t="s">
        <v>9</v>
      </c>
      <c r="J38" s="129">
        <f>'7D'!O38-'7N'!O38</f>
        <v>5.8000000000000114</v>
      </c>
      <c r="K38" s="129">
        <f>'7D'!P38-'7N'!P38</f>
        <v>-122.5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'7D'!G39-'7N'!G39</f>
        <v>888.5</v>
      </c>
      <c r="C39" s="129" t="s">
        <v>9</v>
      </c>
      <c r="D39" s="129" t="s">
        <v>9</v>
      </c>
      <c r="E39" s="129">
        <f>'7D'!J39-'7N'!J39</f>
        <v>108.4</v>
      </c>
      <c r="F39" s="129">
        <f>'7D'!K39-'7N'!K39</f>
        <v>374.79999999999995</v>
      </c>
      <c r="G39" s="129">
        <f>'7D'!L39-'7N'!L39</f>
        <v>443.79999999999927</v>
      </c>
      <c r="H39" s="129" t="s">
        <v>9</v>
      </c>
      <c r="I39" s="129" t="s">
        <v>9</v>
      </c>
      <c r="J39" s="129">
        <f>'7D'!O39-'7N'!O39</f>
        <v>94</v>
      </c>
      <c r="K39" s="129">
        <f>'7D'!P39-'7N'!P39</f>
        <v>342.5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'7D'!G40-'7N'!G40</f>
        <v>1488.1000000000022</v>
      </c>
      <c r="C40" s="129" t="s">
        <v>9</v>
      </c>
      <c r="D40" s="129" t="s">
        <v>9</v>
      </c>
      <c r="E40" s="129">
        <f>'7D'!J40-'7N'!J40</f>
        <v>5.5</v>
      </c>
      <c r="F40" s="129">
        <f>'7D'!K40-'7N'!K40</f>
        <v>169.40000000000009</v>
      </c>
      <c r="G40" s="129">
        <f>'7D'!L40-'7N'!L40</f>
        <v>1093.8999999999978</v>
      </c>
      <c r="H40" s="129" t="s">
        <v>9</v>
      </c>
      <c r="I40" s="129" t="s">
        <v>9</v>
      </c>
      <c r="J40" s="129">
        <f>'7D'!O40-'7N'!O40</f>
        <v>-0.20000000000000284</v>
      </c>
      <c r="K40" s="129">
        <f>'7D'!P40-'7N'!P40</f>
        <v>155.5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'7D'!G41-'7N'!G41</f>
        <v>3620.4000000000015</v>
      </c>
      <c r="C41" s="129" t="s">
        <v>9</v>
      </c>
      <c r="D41" s="129" t="s">
        <v>9</v>
      </c>
      <c r="E41" s="129">
        <f>'7D'!J41-'7N'!J41</f>
        <v>54.200000000000017</v>
      </c>
      <c r="F41" s="129">
        <f>'7D'!K41-'7N'!K41</f>
        <v>-187.59999999999997</v>
      </c>
      <c r="G41" s="129">
        <f>'7D'!L41-'7N'!L41</f>
        <v>2683.7000000000007</v>
      </c>
      <c r="H41" s="129" t="s">
        <v>9</v>
      </c>
      <c r="I41" s="129" t="s">
        <v>9</v>
      </c>
      <c r="J41" s="129">
        <f>'7D'!O41-'7N'!O41</f>
        <v>43.100000000000009</v>
      </c>
      <c r="K41" s="129">
        <f>'7D'!P41-'7N'!P41</f>
        <v>-192.3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'7D'!G42-'7N'!G42</f>
        <v>3666.5</v>
      </c>
      <c r="C42" s="129" t="s">
        <v>9</v>
      </c>
      <c r="D42" s="129" t="s">
        <v>9</v>
      </c>
      <c r="E42" s="129">
        <f>'7D'!J42-'7N'!J42</f>
        <v>9.6000000000000085</v>
      </c>
      <c r="F42" s="129">
        <f>'7D'!K42-'7N'!K42</f>
        <v>-137.69999999999999</v>
      </c>
      <c r="G42" s="129">
        <f>'7D'!L42-'7N'!L42</f>
        <v>2497.7000000000007</v>
      </c>
      <c r="H42" s="129" t="s">
        <v>9</v>
      </c>
      <c r="I42" s="129" t="s">
        <v>9</v>
      </c>
      <c r="J42" s="129">
        <f>'7D'!O42-'7N'!O42</f>
        <v>4.9000000000000057</v>
      </c>
      <c r="K42" s="129">
        <f>'7D'!P42-'7N'!P42</f>
        <v>-142.29999999999995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'7D'!G43-'7N'!G43</f>
        <v>2942.6999999999971</v>
      </c>
      <c r="C43" s="129" t="s">
        <v>9</v>
      </c>
      <c r="D43" s="129" t="s">
        <v>9</v>
      </c>
      <c r="E43" s="129">
        <f>'7D'!J43-'7N'!J43</f>
        <v>-22.099999999999994</v>
      </c>
      <c r="F43" s="129">
        <f>'7D'!K43-'7N'!K43</f>
        <v>-152.00000000000006</v>
      </c>
      <c r="G43" s="129">
        <f>'7D'!L43-'7N'!L43</f>
        <v>2843</v>
      </c>
      <c r="H43" s="129" t="s">
        <v>9</v>
      </c>
      <c r="I43" s="129" t="s">
        <v>9</v>
      </c>
      <c r="J43" s="129">
        <f>'7D'!O43-'7N'!O43</f>
        <v>-24.300000000000011</v>
      </c>
      <c r="K43" s="129">
        <f>'7D'!P43-'7N'!P43</f>
        <v>-163.30000000000001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'7D'!G44-'7N'!G44</f>
        <v>1340.1999999999971</v>
      </c>
      <c r="C44" s="129" t="s">
        <v>9</v>
      </c>
      <c r="D44" s="129" t="s">
        <v>9</v>
      </c>
      <c r="E44" s="129">
        <f>'7D'!J44-'7N'!J44</f>
        <v>2.5999999999999943</v>
      </c>
      <c r="F44" s="129">
        <f>'7D'!K44-'7N'!K44</f>
        <v>-114.20000000000005</v>
      </c>
      <c r="G44" s="129">
        <f>'7D'!L44-'7N'!L44</f>
        <v>1763.8000000000029</v>
      </c>
      <c r="H44" s="129" t="s">
        <v>9</v>
      </c>
      <c r="I44" s="129" t="s">
        <v>9</v>
      </c>
      <c r="J44" s="129">
        <f>'7D'!O44-'7N'!O44</f>
        <v>-1.1000000000000085</v>
      </c>
      <c r="K44" s="129">
        <f>'7D'!P44-'7N'!P44</f>
        <v>-117.69999999999993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'7D'!G45-'7N'!G45</f>
        <v>-275.20000000000073</v>
      </c>
      <c r="C45" s="129" t="s">
        <v>9</v>
      </c>
      <c r="D45" s="129" t="s">
        <v>9</v>
      </c>
      <c r="E45" s="129">
        <f>'7D'!J45-'7N'!J45</f>
        <v>-44</v>
      </c>
      <c r="F45" s="129">
        <f>'7D'!K45-'7N'!K45</f>
        <v>-213.8</v>
      </c>
      <c r="G45" s="129">
        <f>'7D'!L45-'7N'!L45</f>
        <v>-80.200000000000728</v>
      </c>
      <c r="H45" s="129" t="s">
        <v>9</v>
      </c>
      <c r="I45" s="129" t="s">
        <v>9</v>
      </c>
      <c r="J45" s="129">
        <f>'7D'!O45-'7N'!O45</f>
        <v>-43.3</v>
      </c>
      <c r="K45" s="129">
        <f>'7D'!P45-'7N'!P45</f>
        <v>-214.5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'7D'!G46-'7N'!G46</f>
        <v>-2160.9000000000015</v>
      </c>
      <c r="C46" s="129" t="s">
        <v>9</v>
      </c>
      <c r="D46" s="129" t="s">
        <v>9</v>
      </c>
      <c r="E46" s="129">
        <f>'7D'!J46-'7N'!J46</f>
        <v>-37.200000000000003</v>
      </c>
      <c r="F46" s="129">
        <f>'7D'!K46-'7N'!K46</f>
        <v>-209.59999999999997</v>
      </c>
      <c r="G46" s="129">
        <f>'7D'!L46-'7N'!L46</f>
        <v>-2079.2000000000007</v>
      </c>
      <c r="H46" s="129" t="s">
        <v>9</v>
      </c>
      <c r="I46" s="129" t="s">
        <v>9</v>
      </c>
      <c r="J46" s="129">
        <f>'7D'!O46-'7N'!O46</f>
        <v>-37.099999999999994</v>
      </c>
      <c r="K46" s="129">
        <f>'7D'!P46-'7N'!P46</f>
        <v>-206.3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'7D'!G47-'7N'!G47</f>
        <v>-66.600000000002183</v>
      </c>
      <c r="C47" s="129" t="s">
        <v>9</v>
      </c>
      <c r="D47" s="129" t="s">
        <v>9</v>
      </c>
      <c r="E47" s="129">
        <f>'7D'!J47-'7N'!J47</f>
        <v>-33.299999999999997</v>
      </c>
      <c r="F47" s="129">
        <f>'7D'!K47-'7N'!K47</f>
        <v>-131.80000000000001</v>
      </c>
      <c r="G47" s="129">
        <f>'7D'!L47-'7N'!L47</f>
        <v>-167.10000000000218</v>
      </c>
      <c r="H47" s="129" t="s">
        <v>9</v>
      </c>
      <c r="I47" s="129" t="s">
        <v>9</v>
      </c>
      <c r="J47" s="129">
        <f>'7D'!O47-'7N'!O47</f>
        <v>-31.599999999999994</v>
      </c>
      <c r="K47" s="129">
        <f>'7D'!P47-'7N'!P47</f>
        <v>-128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'7D'!G48-'7N'!G48</f>
        <v>1301.5</v>
      </c>
      <c r="C48" s="129" t="s">
        <v>9</v>
      </c>
      <c r="D48" s="129" t="s">
        <v>9</v>
      </c>
      <c r="E48" s="129">
        <f>'7D'!J48-'7N'!J48</f>
        <v>0.20000000000000284</v>
      </c>
      <c r="F48" s="129">
        <f>'7D'!K48-'7N'!K48</f>
        <v>-175.70000000000002</v>
      </c>
      <c r="G48" s="129">
        <f>'7D'!L48-'7N'!L48</f>
        <v>1336.4000000000015</v>
      </c>
      <c r="H48" s="129" t="s">
        <v>9</v>
      </c>
      <c r="I48" s="129" t="s">
        <v>9</v>
      </c>
      <c r="J48" s="129">
        <f>'7D'!O48-'7N'!O48</f>
        <v>2.3000000000000114</v>
      </c>
      <c r="K48" s="129">
        <f>'7D'!P48-'7N'!P48</f>
        <v>-180.7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'7D'!G49-'7N'!G49</f>
        <v>3596.2999999999993</v>
      </c>
      <c r="C49" s="129" t="s">
        <v>9</v>
      </c>
      <c r="D49" s="129" t="s">
        <v>9</v>
      </c>
      <c r="E49" s="129">
        <f>'7D'!J49-'7N'!J49</f>
        <v>0.20000000000000284</v>
      </c>
      <c r="F49" s="129">
        <f>'7D'!K49-'7N'!K49</f>
        <v>-143.29999999999998</v>
      </c>
      <c r="G49" s="129">
        <f>'7D'!L49-'7N'!L49</f>
        <v>3567</v>
      </c>
      <c r="H49" s="129" t="s">
        <v>9</v>
      </c>
      <c r="I49" s="129" t="s">
        <v>9</v>
      </c>
      <c r="J49" s="129">
        <f>'7D'!O49-'7N'!O49</f>
        <v>1.3999999999999915</v>
      </c>
      <c r="K49" s="129">
        <f>'7D'!P49-'7N'!P49</f>
        <v>-143.30000000000001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'7D'!G50-'7N'!G50</f>
        <v>4699</v>
      </c>
      <c r="C50" s="129" t="s">
        <v>9</v>
      </c>
      <c r="D50" s="129" t="s">
        <v>9</v>
      </c>
      <c r="E50" s="129">
        <f>'7D'!J50-'7N'!J50</f>
        <v>-10.5</v>
      </c>
      <c r="F50" s="129">
        <f>'7D'!K50-'7N'!K50</f>
        <v>-127.99999999999997</v>
      </c>
      <c r="G50" s="129">
        <f>'7D'!L50-'7N'!L50</f>
        <v>4717</v>
      </c>
      <c r="H50" s="129" t="s">
        <v>9</v>
      </c>
      <c r="I50" s="129" t="s">
        <v>9</v>
      </c>
      <c r="J50" s="129">
        <f>'7D'!O50-'7N'!O50</f>
        <v>-10.799999999999997</v>
      </c>
      <c r="K50" s="129">
        <f>'7D'!P50-'7N'!P50</f>
        <v>-127.9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'7D'!G51-'7N'!G51</f>
        <v>2858.0999999999985</v>
      </c>
      <c r="C51" s="129" t="s">
        <v>9</v>
      </c>
      <c r="D51" s="129" t="s">
        <v>9</v>
      </c>
      <c r="E51" s="129">
        <f>'7D'!J51-'7N'!J51</f>
        <v>-9.5</v>
      </c>
      <c r="F51" s="129">
        <f>'7D'!K51-'7N'!K51</f>
        <v>-109.80000000000001</v>
      </c>
      <c r="G51" s="129">
        <f>'7D'!L51-'7N'!L51</f>
        <v>2858.0999999999985</v>
      </c>
      <c r="H51" s="129" t="s">
        <v>9</v>
      </c>
      <c r="I51" s="129" t="s">
        <v>9</v>
      </c>
      <c r="J51" s="129">
        <f>'7D'!O51-'7N'!O51</f>
        <v>-9.5</v>
      </c>
      <c r="K51" s="129">
        <f>'7D'!P51-'7N'!P51</f>
        <v>-109.80000000000001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'7D'!G52-'7N'!G52</f>
        <v>2746.5</v>
      </c>
      <c r="C52" s="129" t="s">
        <v>9</v>
      </c>
      <c r="D52" s="129" t="s">
        <v>9</v>
      </c>
      <c r="E52" s="129">
        <f>'7D'!J52-'7N'!J52</f>
        <v>-27.700000000000003</v>
      </c>
      <c r="F52" s="129">
        <f>'7D'!K52-'7N'!K52</f>
        <v>-115.50000000000003</v>
      </c>
      <c r="G52" s="129">
        <f>'7D'!L52-'7N'!L52</f>
        <v>2757.4000000000015</v>
      </c>
      <c r="H52" s="129" t="s">
        <v>9</v>
      </c>
      <c r="I52" s="129" t="s">
        <v>9</v>
      </c>
      <c r="J52" s="129">
        <f>'7D'!O52-'7N'!O52</f>
        <v>-27.5</v>
      </c>
      <c r="K52" s="129">
        <f>'7D'!P52-'7N'!P52</f>
        <v>-115.30000000000001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'7D'!G53-'7N'!G53</f>
        <v>-3872.2000000000007</v>
      </c>
      <c r="C53" s="129" t="s">
        <v>9</v>
      </c>
      <c r="D53" s="129" t="s">
        <v>9</v>
      </c>
      <c r="E53" s="129">
        <f>'7D'!J53-'7N'!J53</f>
        <v>-68.599999999999994</v>
      </c>
      <c r="F53" s="129">
        <f>'7D'!K53-'7N'!K53</f>
        <v>-136.20000000000002</v>
      </c>
      <c r="G53" s="129">
        <f>'7D'!L53-'7N'!L53</f>
        <v>-3840.7999999999993</v>
      </c>
      <c r="H53" s="129" t="s">
        <v>9</v>
      </c>
      <c r="I53" s="129" t="s">
        <v>9</v>
      </c>
      <c r="J53" s="129">
        <f>'7D'!O53-'7N'!O53</f>
        <v>-68.7</v>
      </c>
      <c r="K53" s="129">
        <f>'7D'!P53-'7N'!P53</f>
        <v>-136.89999999999998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'7D'!G54-'7N'!G54</f>
        <v>-175.5</v>
      </c>
      <c r="C54" s="129" t="s">
        <v>9</v>
      </c>
      <c r="D54" s="129" t="s">
        <v>9</v>
      </c>
      <c r="E54" s="129" t="s">
        <v>9</v>
      </c>
      <c r="F54" s="129">
        <f>'7D'!K54-'7N'!K54</f>
        <v>-145.4</v>
      </c>
      <c r="G54" s="129">
        <f>'7D'!L54-'7N'!L54</f>
        <v>-82.19999999999709</v>
      </c>
      <c r="H54" s="129" t="s">
        <v>9</v>
      </c>
      <c r="I54" s="129" t="s">
        <v>9</v>
      </c>
      <c r="J54" s="129" t="s">
        <v>9</v>
      </c>
      <c r="K54" s="129">
        <f>'7D'!P54-'7N'!P54</f>
        <v>-144.4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'7D'!G55-'7N'!G55</f>
        <v>1098.2999999999993</v>
      </c>
      <c r="C55" s="129" t="s">
        <v>9</v>
      </c>
      <c r="D55" s="129" t="s">
        <v>9</v>
      </c>
      <c r="E55" s="129" t="s">
        <v>9</v>
      </c>
      <c r="F55" s="129">
        <f>'7D'!K55-'7N'!K55</f>
        <v>-105.4</v>
      </c>
      <c r="G55" s="129">
        <f>'7D'!L55-'7N'!L55</f>
        <v>920.59999999999854</v>
      </c>
      <c r="H55" s="129" t="s">
        <v>9</v>
      </c>
      <c r="I55" s="129" t="s">
        <v>9</v>
      </c>
      <c r="J55" s="129" t="s">
        <v>9</v>
      </c>
      <c r="K55" s="129">
        <f>'7D'!P55-'7N'!P55</f>
        <v>-104.9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'7D'!G56-'7N'!G56</f>
        <v>994.40000000000146</v>
      </c>
      <c r="C56" s="129" t="s">
        <v>9</v>
      </c>
      <c r="D56" s="129" t="s">
        <v>9</v>
      </c>
      <c r="E56" s="129" t="s">
        <v>9</v>
      </c>
      <c r="F56" s="129">
        <f>'7D'!K56-'7N'!K56</f>
        <v>-48.200000000000017</v>
      </c>
      <c r="G56" s="129">
        <f>'7D'!L56-'7N'!L56</f>
        <v>954</v>
      </c>
      <c r="H56" s="129" t="s">
        <v>9</v>
      </c>
      <c r="I56" s="129" t="s">
        <v>9</v>
      </c>
      <c r="J56" s="129" t="s">
        <v>9</v>
      </c>
      <c r="K56" s="129">
        <f>'7D'!P56-'7N'!P56</f>
        <v>-47.299999999999983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'7D'!G57-'7N'!G57</f>
        <v>1991.7999999999993</v>
      </c>
      <c r="C57" s="129" t="s">
        <v>9</v>
      </c>
      <c r="D57" s="129" t="s">
        <v>9</v>
      </c>
      <c r="E57" s="129" t="s">
        <v>9</v>
      </c>
      <c r="F57" s="129">
        <f>'7D'!K57-'7N'!K57</f>
        <v>1.9000000000000057</v>
      </c>
      <c r="G57" s="129">
        <f>'7D'!L57-'7N'!L57</f>
        <v>2238.7000000000007</v>
      </c>
      <c r="H57" s="129" t="s">
        <v>9</v>
      </c>
      <c r="I57" s="129" t="s">
        <v>9</v>
      </c>
      <c r="J57" s="129" t="s">
        <v>9</v>
      </c>
      <c r="K57" s="129">
        <f>'7D'!P57-'7N'!P57</f>
        <v>3.7999999999999829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F60" si="0">((B57/B28)^(1/29)-1)*100</f>
        <v>5.5401178846256505</v>
      </c>
      <c r="C60" s="11" t="s">
        <v>10</v>
      </c>
      <c r="D60" s="11" t="s">
        <v>10</v>
      </c>
      <c r="E60" s="11" t="s">
        <v>10</v>
      </c>
      <c r="F60" s="11">
        <f t="shared" si="0"/>
        <v>-186.90741966535768</v>
      </c>
      <c r="G60" s="11">
        <f>((G57/G28)^(1/29)-1)*100</f>
        <v>-206.99622619377288</v>
      </c>
      <c r="H60" s="11" t="s">
        <v>10</v>
      </c>
      <c r="I60" s="11" t="s">
        <v>10</v>
      </c>
      <c r="J60" s="11" t="s">
        <v>10</v>
      </c>
      <c r="K60" s="11">
        <f t="shared" ref="K60" si="1">((K57/K28)^(1/29)-1)*100</f>
        <v>-188.86162122985141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F61" si="2">((B33/B28)^(1/5)-1)*100</f>
        <v>57.898867736969507</v>
      </c>
      <c r="C61" s="11" t="s">
        <v>10</v>
      </c>
      <c r="D61" s="11" t="s">
        <v>10</v>
      </c>
      <c r="E61" s="11">
        <f t="shared" si="2"/>
        <v>-224.57309396155179</v>
      </c>
      <c r="F61" s="11">
        <f t="shared" si="2"/>
        <v>-232.88670611735139</v>
      </c>
      <c r="G61" s="11">
        <f>((G33/G28)^(1/5)-1)*100</f>
        <v>-249.66450296810302</v>
      </c>
      <c r="H61" s="11" t="s">
        <v>10</v>
      </c>
      <c r="I61" s="11" t="s">
        <v>10</v>
      </c>
      <c r="J61" s="11">
        <f t="shared" ref="J61:K61" si="3">((J33/J28)^(1/5)-1)*100</f>
        <v>-213.73868844531989</v>
      </c>
      <c r="K61" s="11">
        <f t="shared" si="3"/>
        <v>-228.72104596675388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F62" si="4">((B44/B33)^(1/11)-1)*100</f>
        <v>-9.6513474390469192</v>
      </c>
      <c r="C62" s="11" t="s">
        <v>10</v>
      </c>
      <c r="D62" s="11" t="s">
        <v>10</v>
      </c>
      <c r="E62" s="11">
        <f t="shared" si="4"/>
        <v>-21.310795182684316</v>
      </c>
      <c r="F62" s="11">
        <f t="shared" si="4"/>
        <v>-188.08927945373841</v>
      </c>
      <c r="G62" s="11">
        <f>((G44/G33)^(1/11)-1)*100</f>
        <v>-2.632692928313829</v>
      </c>
      <c r="H62" s="11" t="s">
        <v>10</v>
      </c>
      <c r="I62" s="11" t="s">
        <v>10</v>
      </c>
      <c r="J62" s="11">
        <f t="shared" ref="J62:K62" si="5">((J44/J33)^(1/11)-1)*100</f>
        <v>-174.60556722352365</v>
      </c>
      <c r="K62" s="11">
        <f t="shared" si="5"/>
        <v>-189.22697388043281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11.426074172900357</v>
      </c>
      <c r="C63" s="11" t="s">
        <v>10</v>
      </c>
      <c r="D63" s="11" t="s">
        <v>10</v>
      </c>
      <c r="E63" s="11">
        <f t="shared" ref="E63:K63" si="6">((E51/E44)^(1/7)-1)*100</f>
        <v>-220.33525812925444</v>
      </c>
      <c r="F63" s="11">
        <f t="shared" si="6"/>
        <v>-0.55972436112949886</v>
      </c>
      <c r="G63" s="11">
        <f t="shared" si="6"/>
        <v>7.1388224563482483</v>
      </c>
      <c r="H63" s="11" t="s">
        <v>10</v>
      </c>
      <c r="I63" s="11" t="s">
        <v>10</v>
      </c>
      <c r="J63" s="11">
        <f t="shared" si="6"/>
        <v>36.069741589697337</v>
      </c>
      <c r="K63" s="11">
        <f t="shared" si="6"/>
        <v>-0.98764026959319295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-5.8410981764482894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7">((G57/G51)^(1/6)-1)*100</f>
        <v>-3.9892755774249333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F65" si="8">((B57/B44)^(1/13)-1)*100</f>
        <v>3.0947676531716262</v>
      </c>
      <c r="C65" s="11" t="s">
        <v>10</v>
      </c>
      <c r="D65" s="11" t="s">
        <v>10</v>
      </c>
      <c r="E65" s="11" t="s">
        <v>10</v>
      </c>
      <c r="F65" s="11">
        <f t="shared" si="8"/>
        <v>-172.97272708404554</v>
      </c>
      <c r="G65" s="11">
        <f>((G57/G44)^(1/13)-1)*100</f>
        <v>1.8509584198909135</v>
      </c>
      <c r="H65" s="11" t="s">
        <v>10</v>
      </c>
      <c r="I65" s="11" t="s">
        <v>10</v>
      </c>
      <c r="J65" s="11" t="s">
        <v>10</v>
      </c>
      <c r="K65" s="11">
        <f t="shared" ref="K65" si="9">((K57/K44)^(1/13)-1)*100</f>
        <v>-176.79063184760983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20">
      <c r="A68" s="229" t="s">
        <v>56</v>
      </c>
      <c r="B68" s="229"/>
      <c r="C68" s="229"/>
      <c r="D68" s="229"/>
      <c r="E68" s="229"/>
      <c r="F68" s="229"/>
      <c r="G68" s="231"/>
      <c r="H68" s="132"/>
      <c r="I68" s="132"/>
      <c r="J68" s="132"/>
      <c r="K68" s="132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62</v>
      </c>
      <c r="B70" s="229"/>
      <c r="C70" s="229"/>
      <c r="D70" s="229"/>
      <c r="E70" s="229"/>
      <c r="F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7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31" zoomScaleNormal="100" zoomScaleSheetLayoutView="100" workbookViewId="0">
      <selection activeCell="A44" sqref="A44:K57"/>
    </sheetView>
  </sheetViews>
  <sheetFormatPr defaultRowHeight="15"/>
  <cols>
    <col min="1" max="6" width="9.140625" style="239"/>
    <col min="7" max="7" width="15.140625" style="239" customWidth="1"/>
    <col min="8" max="16384" width="9.140625" style="239"/>
  </cols>
  <sheetData>
    <row r="1" spans="1:20" ht="29.25" customHeight="1">
      <c r="A1" s="454" t="s">
        <v>334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'7E'!G5-'7O'!G5</f>
        <v>1641.3999999999996</v>
      </c>
      <c r="C5" s="129" t="s">
        <v>9</v>
      </c>
      <c r="D5" s="129">
        <f>'7E'!I5-'7O'!I5</f>
        <v>23.5</v>
      </c>
      <c r="E5" s="129">
        <f>'7E'!J5-'7O'!J5</f>
        <v>-0.49999999999999978</v>
      </c>
      <c r="F5" s="129" t="s">
        <v>9</v>
      </c>
      <c r="G5" s="129">
        <f>'7E'!L5-'7O'!L5</f>
        <v>1733.3000000000002</v>
      </c>
      <c r="H5" s="129" t="s">
        <v>9</v>
      </c>
      <c r="I5" s="129">
        <f>'7E'!N5-'7O'!N5</f>
        <v>27.800000000000004</v>
      </c>
      <c r="J5" s="129">
        <f>'7E'!O5-'7O'!O5</f>
        <v>-9.9999999999999645E-2</v>
      </c>
      <c r="K5" s="129" t="s">
        <v>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'7E'!G6-'7O'!G6</f>
        <v>1785.1000000000004</v>
      </c>
      <c r="C6" s="129" t="s">
        <v>9</v>
      </c>
      <c r="D6" s="129">
        <f>'7E'!I6-'7O'!I6</f>
        <v>20.400000000000006</v>
      </c>
      <c r="E6" s="129">
        <f>'7E'!J6-'7O'!J6</f>
        <v>-0.90000000000000013</v>
      </c>
      <c r="F6" s="129" t="s">
        <v>9</v>
      </c>
      <c r="G6" s="129">
        <f>'7E'!L6-'7O'!L6</f>
        <v>1781</v>
      </c>
      <c r="H6" s="129" t="s">
        <v>9</v>
      </c>
      <c r="I6" s="129">
        <f>'7E'!N6-'7O'!N6</f>
        <v>23.000000000000007</v>
      </c>
      <c r="J6" s="129">
        <f>'7E'!O6-'7O'!O6</f>
        <v>-0.89999999999999991</v>
      </c>
      <c r="K6" s="129" t="s">
        <v>9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'7E'!G7-'7O'!G7</f>
        <v>1725.1000000000004</v>
      </c>
      <c r="C7" s="129" t="s">
        <v>9</v>
      </c>
      <c r="D7" s="129">
        <f>'7E'!I7-'7O'!I7</f>
        <v>-2.7999999999999972</v>
      </c>
      <c r="E7" s="129">
        <f>'7E'!J7-'7O'!J7</f>
        <v>-0.40000000000000013</v>
      </c>
      <c r="F7" s="129" t="s">
        <v>9</v>
      </c>
      <c r="G7" s="129">
        <f>'7E'!L7-'7O'!L7</f>
        <v>1747.1000000000004</v>
      </c>
      <c r="H7" s="129" t="s">
        <v>9</v>
      </c>
      <c r="I7" s="129">
        <f>'7E'!N7-'7O'!N7</f>
        <v>-1.7000000000000028</v>
      </c>
      <c r="J7" s="129">
        <f>'7E'!O7-'7O'!O7</f>
        <v>-0.29999999999999982</v>
      </c>
      <c r="K7" s="129" t="s">
        <v>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'7E'!G8-'7O'!G8</f>
        <v>3269.1000000000004</v>
      </c>
      <c r="C8" s="129" t="s">
        <v>9</v>
      </c>
      <c r="D8" s="129">
        <f>'7E'!I8-'7O'!I8</f>
        <v>12.600000000000001</v>
      </c>
      <c r="E8" s="129">
        <f>'7E'!J8-'7O'!J8</f>
        <v>0.39999999999999991</v>
      </c>
      <c r="F8" s="129" t="s">
        <v>9</v>
      </c>
      <c r="G8" s="129">
        <f>'7E'!L8-'7O'!L8</f>
        <v>3231.3999999999996</v>
      </c>
      <c r="H8" s="129" t="s">
        <v>9</v>
      </c>
      <c r="I8" s="129">
        <f>'7E'!N8-'7O'!N8</f>
        <v>14.099999999999994</v>
      </c>
      <c r="J8" s="129">
        <f>'7E'!O8-'7O'!O8</f>
        <v>0.40000000000000036</v>
      </c>
      <c r="K8" s="129" t="s">
        <v>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'7E'!G9-'7O'!G9</f>
        <v>3142.2</v>
      </c>
      <c r="C9" s="129" t="s">
        <v>9</v>
      </c>
      <c r="D9" s="129">
        <f>'7E'!I9-'7O'!I9</f>
        <v>4.5999999999999943</v>
      </c>
      <c r="E9" s="129">
        <f>'7E'!J9-'7O'!J9</f>
        <v>0.10000000000000009</v>
      </c>
      <c r="F9" s="129" t="s">
        <v>9</v>
      </c>
      <c r="G9" s="129">
        <f>'7E'!L9-'7O'!L9</f>
        <v>3112.0000000000005</v>
      </c>
      <c r="H9" s="129" t="s">
        <v>9</v>
      </c>
      <c r="I9" s="129">
        <f>'7E'!N9-'7O'!N9</f>
        <v>6.7000000000000028</v>
      </c>
      <c r="J9" s="129">
        <f>'7E'!O9-'7O'!O9</f>
        <v>0.20000000000000018</v>
      </c>
      <c r="K9" s="129" t="s">
        <v>9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'7E'!G10-'7O'!G10</f>
        <v>1936.7999999999997</v>
      </c>
      <c r="C10" s="129" t="s">
        <v>9</v>
      </c>
      <c r="D10" s="129">
        <f>'7E'!I10-'7O'!I10</f>
        <v>-8.2000000000000028</v>
      </c>
      <c r="E10" s="129">
        <f>'7E'!J10-'7O'!J10</f>
        <v>2.1</v>
      </c>
      <c r="F10" s="129" t="s">
        <v>9</v>
      </c>
      <c r="G10" s="129">
        <f>'7E'!L10-'7O'!L10</f>
        <v>1954.1999999999998</v>
      </c>
      <c r="H10" s="129" t="s">
        <v>9</v>
      </c>
      <c r="I10" s="129">
        <f>'7E'!N10-'7O'!N10</f>
        <v>-6.5</v>
      </c>
      <c r="J10" s="129">
        <f>'7E'!O10-'7O'!O10</f>
        <v>2.2000000000000002</v>
      </c>
      <c r="K10" s="129" t="s">
        <v>9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'7E'!G11-'7O'!G11</f>
        <v>1436.7000000000003</v>
      </c>
      <c r="C11" s="129" t="s">
        <v>9</v>
      </c>
      <c r="D11" s="129">
        <f>'7E'!I11-'7O'!I11</f>
        <v>-7</v>
      </c>
      <c r="E11" s="129">
        <f>'7E'!J11-'7O'!J11</f>
        <v>0.20000000000000018</v>
      </c>
      <c r="F11" s="129" t="s">
        <v>9</v>
      </c>
      <c r="G11" s="129">
        <f>'7E'!L11-'7O'!L11</f>
        <v>1397.1</v>
      </c>
      <c r="H11" s="129" t="s">
        <v>9</v>
      </c>
      <c r="I11" s="129">
        <f>'7E'!N11-'7O'!N11</f>
        <v>-6.3999999999999986</v>
      </c>
      <c r="J11" s="129">
        <f>'7E'!O11-'7O'!O11</f>
        <v>0.39999999999999991</v>
      </c>
      <c r="K11" s="129" t="s">
        <v>9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'7E'!G12-'7O'!G12</f>
        <v>983.39999999999964</v>
      </c>
      <c r="C12" s="129" t="s">
        <v>9</v>
      </c>
      <c r="D12" s="129">
        <f>'7E'!I12-'7O'!I12</f>
        <v>-13.899999999999999</v>
      </c>
      <c r="E12" s="129">
        <f>'7E'!J12-'7O'!J12</f>
        <v>0.29999999999999982</v>
      </c>
      <c r="F12" s="129" t="s">
        <v>9</v>
      </c>
      <c r="G12" s="129">
        <f>'7E'!L12-'7O'!L12</f>
        <v>1088.7999999999997</v>
      </c>
      <c r="H12" s="129" t="s">
        <v>9</v>
      </c>
      <c r="I12" s="129">
        <f>'7E'!N12-'7O'!N12</f>
        <v>-11.900000000000006</v>
      </c>
      <c r="J12" s="129">
        <f>'7E'!O12-'7O'!O12</f>
        <v>0.39999999999999991</v>
      </c>
      <c r="K12" s="129" t="s">
        <v>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'7E'!G13-'7O'!G13</f>
        <v>1064.3999999999996</v>
      </c>
      <c r="C13" s="129" t="s">
        <v>9</v>
      </c>
      <c r="D13" s="129">
        <f>'7E'!I13-'7O'!I13</f>
        <v>-6.6000000000000014</v>
      </c>
      <c r="E13" s="129">
        <f>'7E'!J13-'7O'!J13</f>
        <v>1.9</v>
      </c>
      <c r="F13" s="129" t="s">
        <v>9</v>
      </c>
      <c r="G13" s="129">
        <f>'7E'!L13-'7O'!L13</f>
        <v>931.19999999999982</v>
      </c>
      <c r="H13" s="129" t="s">
        <v>9</v>
      </c>
      <c r="I13" s="129">
        <f>'7E'!N13-'7O'!N13</f>
        <v>-5.5</v>
      </c>
      <c r="J13" s="129">
        <f>'7E'!O13-'7O'!O13</f>
        <v>1.5999999999999996</v>
      </c>
      <c r="K13" s="129" t="s">
        <v>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'7E'!G14-'7O'!G14</f>
        <v>1238.5999999999999</v>
      </c>
      <c r="C14" s="129" t="s">
        <v>9</v>
      </c>
      <c r="D14" s="129">
        <f>'7E'!I14-'7O'!I14</f>
        <v>-16.3</v>
      </c>
      <c r="E14" s="129">
        <f>'7E'!J14-'7O'!J14</f>
        <v>1.0999999999999996</v>
      </c>
      <c r="F14" s="129" t="s">
        <v>9</v>
      </c>
      <c r="G14" s="129">
        <f>'7E'!L14-'7O'!L14</f>
        <v>1158.0000000000005</v>
      </c>
      <c r="H14" s="129" t="s">
        <v>9</v>
      </c>
      <c r="I14" s="129">
        <f>'7E'!N14-'7O'!N14</f>
        <v>-16.100000000000001</v>
      </c>
      <c r="J14" s="129">
        <f>'7E'!O14-'7O'!O14</f>
        <v>0.80000000000000027</v>
      </c>
      <c r="K14" s="129" t="s">
        <v>9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'7E'!G15-'7O'!G15</f>
        <v>2884.4</v>
      </c>
      <c r="C15" s="129" t="s">
        <v>9</v>
      </c>
      <c r="D15" s="129">
        <f>'7E'!I15-'7O'!I15</f>
        <v>-28.900000000000002</v>
      </c>
      <c r="E15" s="129">
        <f>'7E'!J15-'7O'!J15</f>
        <v>0.5</v>
      </c>
      <c r="F15" s="129" t="s">
        <v>9</v>
      </c>
      <c r="G15" s="129">
        <f>'7E'!L15-'7O'!L15</f>
        <v>2684.8999999999996</v>
      </c>
      <c r="H15" s="129" t="s">
        <v>9</v>
      </c>
      <c r="I15" s="129">
        <f>'7E'!N15-'7O'!N15</f>
        <v>-28.8</v>
      </c>
      <c r="J15" s="129">
        <f>'7E'!O15-'7O'!O15</f>
        <v>0.20000000000000018</v>
      </c>
      <c r="K15" s="129" t="s">
        <v>9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'7E'!G16-'7O'!G16</f>
        <v>2664.2</v>
      </c>
      <c r="C16" s="129" t="s">
        <v>9</v>
      </c>
      <c r="D16" s="129">
        <f>'7E'!I16-'7O'!I16</f>
        <v>-27.800000000000004</v>
      </c>
      <c r="E16" s="129">
        <f>'7E'!J16-'7O'!J16</f>
        <v>8.2000000000000011</v>
      </c>
      <c r="F16" s="129" t="s">
        <v>9</v>
      </c>
      <c r="G16" s="129">
        <f>'7E'!L16-'7O'!L16</f>
        <v>2436.6999999999998</v>
      </c>
      <c r="H16" s="129" t="s">
        <v>9</v>
      </c>
      <c r="I16" s="129">
        <f>'7E'!N16-'7O'!N16</f>
        <v>-27.6</v>
      </c>
      <c r="J16" s="129">
        <f>'7E'!O16-'7O'!O16</f>
        <v>7.2</v>
      </c>
      <c r="K16" s="129" t="s">
        <v>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'7E'!G17-'7O'!G17</f>
        <v>2818.7999999999993</v>
      </c>
      <c r="C17" s="129" t="s">
        <v>9</v>
      </c>
      <c r="D17" s="129">
        <f>'7E'!I17-'7O'!I17</f>
        <v>-15.099999999999998</v>
      </c>
      <c r="E17" s="129">
        <f>'7E'!J17-'7O'!J17</f>
        <v>10.5</v>
      </c>
      <c r="F17" s="129" t="s">
        <v>9</v>
      </c>
      <c r="G17" s="129">
        <f>'7E'!L17-'7O'!L17</f>
        <v>2745.2</v>
      </c>
      <c r="H17" s="129" t="s">
        <v>9</v>
      </c>
      <c r="I17" s="129">
        <f>'7E'!N17-'7O'!N17</f>
        <v>-14.799999999999997</v>
      </c>
      <c r="J17" s="129">
        <f>'7E'!O17-'7O'!O17</f>
        <v>10.100000000000001</v>
      </c>
      <c r="K17" s="129" t="s">
        <v>9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'7E'!G18-'7O'!G18</f>
        <v>2192.1999999999998</v>
      </c>
      <c r="C18" s="129" t="s">
        <v>9</v>
      </c>
      <c r="D18" s="129">
        <f>'7E'!I18-'7O'!I18</f>
        <v>-13.899999999999999</v>
      </c>
      <c r="E18" s="129">
        <f>'7E'!J18-'7O'!J18</f>
        <v>10.7</v>
      </c>
      <c r="F18" s="129" t="s">
        <v>9</v>
      </c>
      <c r="G18" s="129">
        <f>'7E'!L18-'7O'!L18</f>
        <v>2227.8999999999996</v>
      </c>
      <c r="H18" s="129" t="s">
        <v>9</v>
      </c>
      <c r="I18" s="129">
        <f>'7E'!N18-'7O'!N18</f>
        <v>-13.5</v>
      </c>
      <c r="J18" s="129">
        <f>'7E'!O18-'7O'!O18</f>
        <v>10.600000000000001</v>
      </c>
      <c r="K18" s="129" t="s">
        <v>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'7E'!G19-'7O'!G19</f>
        <v>3370.3</v>
      </c>
      <c r="C19" s="129" t="s">
        <v>9</v>
      </c>
      <c r="D19" s="129">
        <f>'7E'!I19-'7O'!I19</f>
        <v>-7.3000000000000007</v>
      </c>
      <c r="E19" s="129">
        <f>'7E'!J19-'7O'!J19</f>
        <v>1.2999999999999998</v>
      </c>
      <c r="F19" s="129" t="s">
        <v>9</v>
      </c>
      <c r="G19" s="129">
        <f>'7E'!L19-'7O'!L19</f>
        <v>3495.5999999999995</v>
      </c>
      <c r="H19" s="129" t="s">
        <v>9</v>
      </c>
      <c r="I19" s="129">
        <f>'7E'!N19-'7O'!N19</f>
        <v>-6.5999999999999979</v>
      </c>
      <c r="J19" s="129">
        <f>'7E'!O19-'7O'!O19</f>
        <v>1.5</v>
      </c>
      <c r="K19" s="129" t="s">
        <v>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'7E'!G20-'7O'!G20</f>
        <v>2515.8000000000002</v>
      </c>
      <c r="C20" s="129" t="s">
        <v>9</v>
      </c>
      <c r="D20" s="129">
        <f>'7E'!I20-'7O'!I20</f>
        <v>-19.100000000000001</v>
      </c>
      <c r="E20" s="129">
        <f>'7E'!J20-'7O'!J20</f>
        <v>2.0999999999999996</v>
      </c>
      <c r="F20" s="129" t="s">
        <v>9</v>
      </c>
      <c r="G20" s="129">
        <f>'7E'!L20-'7O'!L20</f>
        <v>2656.0999999999995</v>
      </c>
      <c r="H20" s="129" t="s">
        <v>9</v>
      </c>
      <c r="I20" s="129">
        <f>'7E'!N20-'7O'!N20</f>
        <v>-18.8</v>
      </c>
      <c r="J20" s="129">
        <f>'7E'!O20-'7O'!O20</f>
        <v>1.7000000000000002</v>
      </c>
      <c r="K20" s="129" t="s">
        <v>9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'7E'!G21-'7O'!G21</f>
        <v>3319.9999999999991</v>
      </c>
      <c r="C21" s="129" t="s">
        <v>9</v>
      </c>
      <c r="D21" s="129">
        <f>'7E'!I21-'7O'!I21</f>
        <v>-13.600000000000001</v>
      </c>
      <c r="E21" s="129">
        <f>'7E'!J21-'7O'!J21</f>
        <v>-2.2000000000000002</v>
      </c>
      <c r="F21" s="129" t="s">
        <v>9</v>
      </c>
      <c r="G21" s="129">
        <f>'7E'!L21-'7O'!L21</f>
        <v>3557.9999999999991</v>
      </c>
      <c r="H21" s="129" t="s">
        <v>9</v>
      </c>
      <c r="I21" s="129">
        <f>'7E'!N21-'7O'!N21</f>
        <v>-13.3</v>
      </c>
      <c r="J21" s="129">
        <f>'7E'!O21-'7O'!O21</f>
        <v>-2.2999999999999998</v>
      </c>
      <c r="K21" s="129" t="s">
        <v>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'7E'!G22-'7O'!G22</f>
        <v>3366.7</v>
      </c>
      <c r="C22" s="129" t="s">
        <v>9</v>
      </c>
      <c r="D22" s="129">
        <f>'7E'!I22-'7O'!I22</f>
        <v>-14.399999999999999</v>
      </c>
      <c r="E22" s="129">
        <f>'7E'!J22-'7O'!J22</f>
        <v>2.1999999999999993</v>
      </c>
      <c r="F22" s="129" t="s">
        <v>9</v>
      </c>
      <c r="G22" s="129">
        <f>'7E'!L22-'7O'!L22</f>
        <v>3673.9000000000005</v>
      </c>
      <c r="H22" s="129" t="s">
        <v>9</v>
      </c>
      <c r="I22" s="129">
        <f>'7E'!N22-'7O'!N22</f>
        <v>-13.500000000000004</v>
      </c>
      <c r="J22" s="129">
        <f>'7E'!O22-'7O'!O22</f>
        <v>1.9000000000000004</v>
      </c>
      <c r="K22" s="129" t="s">
        <v>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'7E'!G23-'7O'!G23</f>
        <v>3305.3</v>
      </c>
      <c r="C23" s="129" t="s">
        <v>9</v>
      </c>
      <c r="D23" s="129">
        <f>'7E'!I23-'7O'!I23</f>
        <v>9.2000000000000028</v>
      </c>
      <c r="E23" s="129">
        <f>'7E'!J23-'7O'!J23</f>
        <v>-0.20000000000000018</v>
      </c>
      <c r="F23" s="129" t="s">
        <v>9</v>
      </c>
      <c r="G23" s="129">
        <f>'7E'!L23-'7O'!L23</f>
        <v>3599.0999999999995</v>
      </c>
      <c r="H23" s="129" t="s">
        <v>9</v>
      </c>
      <c r="I23" s="129">
        <f>'7E'!N23-'7O'!N23</f>
        <v>10.600000000000001</v>
      </c>
      <c r="J23" s="129">
        <f>'7E'!O23-'7O'!O23</f>
        <v>-0.30000000000000071</v>
      </c>
      <c r="K23" s="129" t="s">
        <v>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'7E'!G24-'7O'!G24</f>
        <v>2524.7000000000007</v>
      </c>
      <c r="C24" s="129" t="s">
        <v>9</v>
      </c>
      <c r="D24" s="129">
        <f>'7E'!I24-'7O'!I24</f>
        <v>11.700000000000003</v>
      </c>
      <c r="E24" s="129">
        <f>'7E'!J24-'7O'!J24</f>
        <v>-1.2999999999999998</v>
      </c>
      <c r="F24" s="129" t="s">
        <v>9</v>
      </c>
      <c r="G24" s="129">
        <f>'7E'!L24-'7O'!L24</f>
        <v>2781</v>
      </c>
      <c r="H24" s="129" t="s">
        <v>9</v>
      </c>
      <c r="I24" s="129">
        <f>'7E'!N24-'7O'!N24</f>
        <v>12.700000000000003</v>
      </c>
      <c r="J24" s="129">
        <f>'7E'!O24-'7O'!O24</f>
        <v>-1.3000000000000007</v>
      </c>
      <c r="K24" s="129" t="s">
        <v>9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'7E'!G25-'7O'!G25</f>
        <v>1789.5</v>
      </c>
      <c r="C25" s="129" t="s">
        <v>9</v>
      </c>
      <c r="D25" s="129">
        <f>'7E'!I25-'7O'!I25</f>
        <v>6.1000000000000014</v>
      </c>
      <c r="E25" s="129">
        <f>'7E'!J25-'7O'!J25</f>
        <v>-0.80000000000000071</v>
      </c>
      <c r="F25" s="129" t="s">
        <v>9</v>
      </c>
      <c r="G25" s="129">
        <f>'7E'!L25-'7O'!L25</f>
        <v>2028.6999999999998</v>
      </c>
      <c r="H25" s="129" t="s">
        <v>9</v>
      </c>
      <c r="I25" s="129">
        <f>'7E'!N25-'7O'!N25</f>
        <v>7.1000000000000014</v>
      </c>
      <c r="J25" s="129">
        <f>'7E'!O25-'7O'!O25</f>
        <v>-0.79999999999999982</v>
      </c>
      <c r="K25" s="129" t="s">
        <v>9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'7E'!G26-'7O'!G26</f>
        <v>1254.3000000000002</v>
      </c>
      <c r="C26" s="129" t="s">
        <v>9</v>
      </c>
      <c r="D26" s="129">
        <f>'7E'!I26-'7O'!I26</f>
        <v>-10.8</v>
      </c>
      <c r="E26" s="129">
        <f>'7E'!J26-'7O'!J26</f>
        <v>-4.2</v>
      </c>
      <c r="F26" s="129" t="s">
        <v>9</v>
      </c>
      <c r="G26" s="129">
        <f>'7E'!L26-'7O'!L26</f>
        <v>1410.9000000000005</v>
      </c>
      <c r="H26" s="129" t="s">
        <v>9</v>
      </c>
      <c r="I26" s="129">
        <f>'7E'!N26-'7O'!N26</f>
        <v>-10.3</v>
      </c>
      <c r="J26" s="129">
        <f>'7E'!O26-'7O'!O26</f>
        <v>-4.0999999999999996</v>
      </c>
      <c r="K26" s="129" t="s">
        <v>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'7E'!G27-'7O'!G27</f>
        <v>40.599999999999454</v>
      </c>
      <c r="C27" s="129" t="s">
        <v>9</v>
      </c>
      <c r="D27" s="129">
        <f>'7E'!I27-'7O'!I27</f>
        <v>-14.899999999999999</v>
      </c>
      <c r="E27" s="129">
        <f>'7E'!J27-'7O'!J27</f>
        <v>-4.5</v>
      </c>
      <c r="F27" s="129" t="s">
        <v>9</v>
      </c>
      <c r="G27" s="129">
        <f>'7E'!L27-'7O'!L27</f>
        <v>134.10000000000036</v>
      </c>
      <c r="H27" s="129" t="s">
        <v>9</v>
      </c>
      <c r="I27" s="129">
        <f>'7E'!N27-'7O'!N27</f>
        <v>-14.600000000000001</v>
      </c>
      <c r="J27" s="129">
        <f>'7E'!O27-'7O'!O27</f>
        <v>-4.5</v>
      </c>
      <c r="K27" s="129" t="s">
        <v>9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'7E'!G28-'7O'!G28</f>
        <v>-468.89999999999964</v>
      </c>
      <c r="C28" s="129" t="s">
        <v>9</v>
      </c>
      <c r="D28" s="129">
        <f>'7E'!I28-'7O'!I28</f>
        <v>-26.299999999999997</v>
      </c>
      <c r="E28" s="129">
        <f>'7E'!J28-'7O'!J28</f>
        <v>-4.3</v>
      </c>
      <c r="F28" s="129" t="s">
        <v>9</v>
      </c>
      <c r="G28" s="129">
        <f>'7E'!L28-'7O'!L28</f>
        <v>-420.5</v>
      </c>
      <c r="H28" s="129" t="s">
        <v>9</v>
      </c>
      <c r="I28" s="129">
        <f>'7E'!N28-'7O'!N28</f>
        <v>-26.099999999999998</v>
      </c>
      <c r="J28" s="129">
        <f>'7E'!O28-'7O'!O28</f>
        <v>-4.0999999999999996</v>
      </c>
      <c r="K28" s="129" t="s">
        <v>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'7E'!G29-'7O'!G29</f>
        <v>-547.10000000000036</v>
      </c>
      <c r="C29" s="129" t="s">
        <v>9</v>
      </c>
      <c r="D29" s="129">
        <f>'7E'!I29-'7O'!I29</f>
        <v>-21.8</v>
      </c>
      <c r="E29" s="129">
        <f>'7E'!J29-'7O'!J29</f>
        <v>2.0999999999999996</v>
      </c>
      <c r="F29" s="129" t="s">
        <v>9</v>
      </c>
      <c r="G29" s="129">
        <f>'7E'!L29-'7O'!L29</f>
        <v>-508.19999999999982</v>
      </c>
      <c r="H29" s="129" t="s">
        <v>9</v>
      </c>
      <c r="I29" s="129">
        <f>'7E'!N29-'7O'!N29</f>
        <v>-21.6</v>
      </c>
      <c r="J29" s="129">
        <f>'7E'!O29-'7O'!O29</f>
        <v>2.2999999999999998</v>
      </c>
      <c r="K29" s="129" t="s">
        <v>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'7E'!G30-'7O'!G30</f>
        <v>-1169.4000000000005</v>
      </c>
      <c r="C30" s="129" t="s">
        <v>9</v>
      </c>
      <c r="D30" s="129">
        <f>'7E'!I30-'7O'!I30</f>
        <v>-17.899999999999999</v>
      </c>
      <c r="E30" s="129">
        <f>'7E'!J30-'7O'!J30</f>
        <v>-0.69999999999999973</v>
      </c>
      <c r="F30" s="129" t="s">
        <v>9</v>
      </c>
      <c r="G30" s="129">
        <f>'7E'!L30-'7O'!L30</f>
        <v>-1109.5</v>
      </c>
      <c r="H30" s="129" t="s">
        <v>9</v>
      </c>
      <c r="I30" s="129">
        <f>'7E'!N30-'7O'!N30</f>
        <v>-17.600000000000001</v>
      </c>
      <c r="J30" s="129">
        <f>'7E'!O30-'7O'!O30</f>
        <v>-0.5</v>
      </c>
      <c r="K30" s="129" t="s">
        <v>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'7E'!G31-'7O'!G31</f>
        <v>-908.80000000000018</v>
      </c>
      <c r="C31" s="129" t="s">
        <v>9</v>
      </c>
      <c r="D31" s="129">
        <f>'7E'!I31-'7O'!I31</f>
        <v>-21.599999999999998</v>
      </c>
      <c r="E31" s="129">
        <f>'7E'!J31-'7O'!J31</f>
        <v>-1.1999999999999997</v>
      </c>
      <c r="F31" s="129" t="s">
        <v>9</v>
      </c>
      <c r="G31" s="129">
        <f>'7E'!L31-'7O'!L31</f>
        <v>-833.69999999999982</v>
      </c>
      <c r="H31" s="129" t="s">
        <v>9</v>
      </c>
      <c r="I31" s="129">
        <f>'7E'!N31-'7O'!N31</f>
        <v>-21.1</v>
      </c>
      <c r="J31" s="129">
        <f>'7E'!O31-'7O'!O31</f>
        <v>-0.79999999999999982</v>
      </c>
      <c r="K31" s="129" t="s">
        <v>9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'7E'!G32-'7O'!G32</f>
        <v>-334.89999999999964</v>
      </c>
      <c r="C32" s="129" t="s">
        <v>9</v>
      </c>
      <c r="D32" s="129">
        <f>'7E'!I32-'7O'!I32</f>
        <v>-15.7</v>
      </c>
      <c r="E32" s="129">
        <f>'7E'!J32-'7O'!J32</f>
        <v>-3.7</v>
      </c>
      <c r="F32" s="129" t="s">
        <v>9</v>
      </c>
      <c r="G32" s="129">
        <f>'7E'!L32-'7O'!L32</f>
        <v>-245.90000000000055</v>
      </c>
      <c r="H32" s="129" t="s">
        <v>9</v>
      </c>
      <c r="I32" s="129">
        <f>'7E'!N32-'7O'!N32</f>
        <v>-15.8</v>
      </c>
      <c r="J32" s="129">
        <f>'7E'!O32-'7O'!O32</f>
        <v>-3.6000000000000005</v>
      </c>
      <c r="K32" s="129" t="s">
        <v>9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'7E'!G33-'7O'!G33</f>
        <v>676.5</v>
      </c>
      <c r="C33" s="129" t="s">
        <v>9</v>
      </c>
      <c r="D33" s="129">
        <f>'7E'!I33-'7O'!I33</f>
        <v>-0.90000000000000213</v>
      </c>
      <c r="E33" s="129">
        <f>'7E'!J33-'7O'!J33</f>
        <v>10.3</v>
      </c>
      <c r="F33" s="129" t="s">
        <v>9</v>
      </c>
      <c r="G33" s="129">
        <f>'7E'!L33-'7O'!L33</f>
        <v>814.90000000000055</v>
      </c>
      <c r="H33" s="129" t="s">
        <v>9</v>
      </c>
      <c r="I33" s="129">
        <f>'7E'!N33-'7O'!N33</f>
        <v>-0.10000000000000142</v>
      </c>
      <c r="J33" s="129">
        <f>'7E'!O33-'7O'!O33</f>
        <v>10.600000000000001</v>
      </c>
      <c r="K33" s="129" t="s">
        <v>9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'7E'!G34-'7O'!G34</f>
        <v>712.60000000000036</v>
      </c>
      <c r="C34" s="129" t="s">
        <v>9</v>
      </c>
      <c r="D34" s="129">
        <f>'7E'!I34-'7O'!I34</f>
        <v>-4.8000000000000007</v>
      </c>
      <c r="E34" s="129">
        <f>'7E'!J34-'7O'!J34</f>
        <v>1.7999999999999998</v>
      </c>
      <c r="F34" s="129" t="s">
        <v>9</v>
      </c>
      <c r="G34" s="129">
        <f>'7E'!L34-'7O'!L34</f>
        <v>901.90000000000055</v>
      </c>
      <c r="H34" s="129" t="s">
        <v>9</v>
      </c>
      <c r="I34" s="129">
        <f>'7E'!N34-'7O'!N34</f>
        <v>-5</v>
      </c>
      <c r="J34" s="129">
        <f>'7E'!O34-'7O'!O34</f>
        <v>2.1000000000000005</v>
      </c>
      <c r="K34" s="129" t="s">
        <v>9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'7E'!G35-'7O'!G35</f>
        <v>1089.6999999999998</v>
      </c>
      <c r="C35" s="129" t="s">
        <v>9</v>
      </c>
      <c r="D35" s="129">
        <f>'7E'!I35-'7O'!I35</f>
        <v>-12.799999999999999</v>
      </c>
      <c r="E35" s="129">
        <f>'7E'!J35-'7O'!J35</f>
        <v>-0.80000000000000071</v>
      </c>
      <c r="F35" s="129" t="s">
        <v>9</v>
      </c>
      <c r="G35" s="129">
        <f>'7E'!L35-'7O'!L35</f>
        <v>1313.9000000000005</v>
      </c>
      <c r="H35" s="129" t="s">
        <v>9</v>
      </c>
      <c r="I35" s="129">
        <f>'7E'!N35-'7O'!N35</f>
        <v>-13</v>
      </c>
      <c r="J35" s="129">
        <f>'7E'!O35-'7O'!O35</f>
        <v>-0.5</v>
      </c>
      <c r="K35" s="129" t="s">
        <v>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'7E'!G36-'7O'!G36</f>
        <v>532.60000000000036</v>
      </c>
      <c r="C36" s="129" t="s">
        <v>9</v>
      </c>
      <c r="D36" s="129">
        <f>'7E'!I36-'7O'!I36</f>
        <v>-19.5</v>
      </c>
      <c r="E36" s="129">
        <f>'7E'!J36-'7O'!J36</f>
        <v>-2.0000000000000004</v>
      </c>
      <c r="F36" s="129" t="s">
        <v>9</v>
      </c>
      <c r="G36" s="129">
        <f>'7E'!L36-'7O'!L36</f>
        <v>706.60000000000036</v>
      </c>
      <c r="H36" s="129" t="s">
        <v>9</v>
      </c>
      <c r="I36" s="129">
        <f>'7E'!N36-'7O'!N36</f>
        <v>-19.5</v>
      </c>
      <c r="J36" s="129">
        <f>'7E'!O36-'7O'!O36</f>
        <v>-1.5999999999999996</v>
      </c>
      <c r="K36" s="129" t="s">
        <v>9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'7E'!G37-'7O'!G37</f>
        <v>-36.800000000000182</v>
      </c>
      <c r="C37" s="129" t="s">
        <v>9</v>
      </c>
      <c r="D37" s="129">
        <f>'7E'!I37-'7O'!I37</f>
        <v>-11</v>
      </c>
      <c r="E37" s="129">
        <f>'7E'!J37-'7O'!J37</f>
        <v>-2</v>
      </c>
      <c r="F37" s="129" t="s">
        <v>9</v>
      </c>
      <c r="G37" s="129">
        <f>'7E'!L37-'7O'!L37</f>
        <v>62.800000000000182</v>
      </c>
      <c r="H37" s="129" t="s">
        <v>9</v>
      </c>
      <c r="I37" s="129">
        <f>'7E'!N37-'7O'!N37</f>
        <v>-11</v>
      </c>
      <c r="J37" s="129">
        <f>'7E'!O37-'7O'!O37</f>
        <v>-1.8000000000000003</v>
      </c>
      <c r="K37" s="129" t="s">
        <v>9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'7E'!G38-'7O'!G38</f>
        <v>-193.90000000000055</v>
      </c>
      <c r="C38" s="129" t="s">
        <v>9</v>
      </c>
      <c r="D38" s="129">
        <f>'7E'!I38-'7O'!I38</f>
        <v>-13.7</v>
      </c>
      <c r="E38" s="129">
        <f>'7E'!J38-'7O'!J38</f>
        <v>0.29999999999999982</v>
      </c>
      <c r="F38" s="129" t="s">
        <v>9</v>
      </c>
      <c r="G38" s="129">
        <f>'7E'!L38-'7O'!L38</f>
        <v>-90.399999999999636</v>
      </c>
      <c r="H38" s="129" t="s">
        <v>9</v>
      </c>
      <c r="I38" s="129">
        <f>'7E'!N38-'7O'!N38</f>
        <v>-13.7</v>
      </c>
      <c r="J38" s="129">
        <f>'7E'!O38-'7O'!O38</f>
        <v>0.70000000000000018</v>
      </c>
      <c r="K38" s="129" t="s">
        <v>9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'7E'!G39-'7O'!G39</f>
        <v>-340.30000000000018</v>
      </c>
      <c r="C39" s="129" t="s">
        <v>9</v>
      </c>
      <c r="D39" s="129">
        <f>'7E'!I39-'7O'!I39</f>
        <v>-18.400000000000002</v>
      </c>
      <c r="E39" s="129">
        <f>'7E'!J39-'7O'!J39</f>
        <v>1.3999999999999995</v>
      </c>
      <c r="F39" s="129" t="s">
        <v>9</v>
      </c>
      <c r="G39" s="129">
        <f>'7E'!L39-'7O'!L39</f>
        <v>-313.30000000000018</v>
      </c>
      <c r="H39" s="129" t="s">
        <v>9</v>
      </c>
      <c r="I39" s="129">
        <f>'7E'!N39-'7O'!N39</f>
        <v>-18.400000000000002</v>
      </c>
      <c r="J39" s="129">
        <f>'7E'!O39-'7O'!O39</f>
        <v>2</v>
      </c>
      <c r="K39" s="129" t="s">
        <v>9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'7E'!G40-'7O'!G40</f>
        <v>-1129</v>
      </c>
      <c r="C40" s="129" t="s">
        <v>9</v>
      </c>
      <c r="D40" s="129">
        <f>'7E'!I40-'7O'!I40</f>
        <v>-15.8</v>
      </c>
      <c r="E40" s="129">
        <f>'7E'!J40-'7O'!J40</f>
        <v>-1.1000000000000005</v>
      </c>
      <c r="F40" s="129" t="s">
        <v>9</v>
      </c>
      <c r="G40" s="129">
        <f>'7E'!L40-'7O'!L40</f>
        <v>-1122</v>
      </c>
      <c r="H40" s="129" t="s">
        <v>9</v>
      </c>
      <c r="I40" s="129">
        <f>'7E'!N40-'7O'!N40</f>
        <v>-15.8</v>
      </c>
      <c r="J40" s="129">
        <f>'7E'!O40-'7O'!O40</f>
        <v>-0.70000000000000018</v>
      </c>
      <c r="K40" s="129" t="s">
        <v>9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'7E'!G41-'7O'!G41</f>
        <v>-1542</v>
      </c>
      <c r="C41" s="129" t="s">
        <v>9</v>
      </c>
      <c r="D41" s="129">
        <f>'7E'!I41-'7O'!I41</f>
        <v>-12.4</v>
      </c>
      <c r="E41" s="129">
        <f>'7E'!J41-'7O'!J41</f>
        <v>1.9000000000000004</v>
      </c>
      <c r="F41" s="129" t="s">
        <v>9</v>
      </c>
      <c r="G41" s="129">
        <f>'7E'!L41-'7O'!L41</f>
        <v>-1570.5</v>
      </c>
      <c r="H41" s="129" t="s">
        <v>9</v>
      </c>
      <c r="I41" s="129">
        <f>'7E'!N41-'7O'!N41</f>
        <v>-12.499999999999998</v>
      </c>
      <c r="J41" s="129">
        <f>'7E'!O41-'7O'!O41</f>
        <v>2.1000000000000005</v>
      </c>
      <c r="K41" s="129" t="s">
        <v>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'7E'!G42-'7O'!G42</f>
        <v>-849.59999999999945</v>
      </c>
      <c r="C42" s="129" t="s">
        <v>9</v>
      </c>
      <c r="D42" s="129">
        <f>'7E'!I42-'7O'!I42</f>
        <v>-15.2</v>
      </c>
      <c r="E42" s="129">
        <f>'7E'!J42-'7O'!J42</f>
        <v>0.39999999999999947</v>
      </c>
      <c r="F42" s="129" t="s">
        <v>9</v>
      </c>
      <c r="G42" s="129">
        <f>'7E'!L42-'7O'!L42</f>
        <v>-861.09999999999945</v>
      </c>
      <c r="H42" s="129" t="s">
        <v>9</v>
      </c>
      <c r="I42" s="129">
        <f>'7E'!N42-'7O'!N42</f>
        <v>-15.299999999999999</v>
      </c>
      <c r="J42" s="129">
        <f>'7E'!O42-'7O'!O42</f>
        <v>0.59999999999999964</v>
      </c>
      <c r="K42" s="129" t="s">
        <v>9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'7E'!G43-'7O'!G43</f>
        <v>-1476.1000000000004</v>
      </c>
      <c r="C43" s="129" t="s">
        <v>9</v>
      </c>
      <c r="D43" s="129">
        <f>'7E'!I43-'7O'!I43</f>
        <v>13.400000000000002</v>
      </c>
      <c r="E43" s="129">
        <f>'7E'!J43-'7O'!J43</f>
        <v>7</v>
      </c>
      <c r="F43" s="129" t="s">
        <v>9</v>
      </c>
      <c r="G43" s="129">
        <f>'7E'!L43-'7O'!L43</f>
        <v>-1513.6999999999998</v>
      </c>
      <c r="H43" s="129" t="s">
        <v>9</v>
      </c>
      <c r="I43" s="129">
        <f>'7E'!N43-'7O'!N43</f>
        <v>13.000000000000004</v>
      </c>
      <c r="J43" s="129">
        <f>'7E'!O43-'7O'!O43</f>
        <v>7.6</v>
      </c>
      <c r="K43" s="129" t="s">
        <v>9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'7E'!G44-'7O'!G44</f>
        <v>-478.89999999999964</v>
      </c>
      <c r="C44" s="129" t="s">
        <v>9</v>
      </c>
      <c r="D44" s="129" t="s">
        <v>9</v>
      </c>
      <c r="E44" s="129">
        <f>'7E'!J44-'7O'!J44</f>
        <v>-1.6000000000000005</v>
      </c>
      <c r="F44" s="129" t="s">
        <v>9</v>
      </c>
      <c r="G44" s="129">
        <f>'7E'!L44-'7O'!L44</f>
        <v>-484.40000000000055</v>
      </c>
      <c r="H44" s="129" t="s">
        <v>9</v>
      </c>
      <c r="I44" s="129" t="s">
        <v>9</v>
      </c>
      <c r="J44" s="129">
        <f>'7E'!O44-'7O'!O44</f>
        <v>-1.4000000000000004</v>
      </c>
      <c r="K44" s="129" t="s">
        <v>9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'7E'!G45-'7O'!G45</f>
        <v>-471</v>
      </c>
      <c r="C45" s="129" t="s">
        <v>9</v>
      </c>
      <c r="D45" s="129" t="s">
        <v>9</v>
      </c>
      <c r="E45" s="129">
        <f>'7E'!J45-'7O'!J45</f>
        <v>3.3000000000000007</v>
      </c>
      <c r="F45" s="129" t="s">
        <v>9</v>
      </c>
      <c r="G45" s="129">
        <f>'7E'!L45-'7O'!L45</f>
        <v>-500.39999999999964</v>
      </c>
      <c r="H45" s="129" t="s">
        <v>9</v>
      </c>
      <c r="I45" s="129" t="s">
        <v>9</v>
      </c>
      <c r="J45" s="129">
        <f>'7E'!O45-'7O'!O45</f>
        <v>3.4000000000000004</v>
      </c>
      <c r="K45" s="129" t="s">
        <v>9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'7E'!G46-'7O'!G46</f>
        <v>192</v>
      </c>
      <c r="C46" s="129" t="s">
        <v>9</v>
      </c>
      <c r="D46" s="129" t="s">
        <v>9</v>
      </c>
      <c r="E46" s="129">
        <f>'7E'!J46-'7O'!J46</f>
        <v>-2.1999999999999993</v>
      </c>
      <c r="F46" s="129" t="s">
        <v>9</v>
      </c>
      <c r="G46" s="129">
        <f>'7E'!L46-'7O'!L46</f>
        <v>157.5</v>
      </c>
      <c r="H46" s="129" t="s">
        <v>9</v>
      </c>
      <c r="I46" s="129" t="s">
        <v>9</v>
      </c>
      <c r="J46" s="129">
        <f>'7E'!O46-'7O'!O46</f>
        <v>-2</v>
      </c>
      <c r="K46" s="129" t="s">
        <v>9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'7E'!G47-'7O'!G47</f>
        <v>765.5</v>
      </c>
      <c r="C47" s="129" t="s">
        <v>9</v>
      </c>
      <c r="D47" s="129" t="s">
        <v>9</v>
      </c>
      <c r="E47" s="129">
        <f>'7E'!J47-'7O'!J47</f>
        <v>7.4</v>
      </c>
      <c r="F47" s="129" t="s">
        <v>9</v>
      </c>
      <c r="G47" s="129">
        <f>'7E'!L47-'7O'!L47</f>
        <v>754.5</v>
      </c>
      <c r="H47" s="129" t="s">
        <v>9</v>
      </c>
      <c r="I47" s="129" t="s">
        <v>9</v>
      </c>
      <c r="J47" s="129">
        <f>'7E'!O47-'7O'!O47</f>
        <v>7.5</v>
      </c>
      <c r="K47" s="129" t="s">
        <v>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'7E'!G48-'7O'!G48</f>
        <v>1720.3000000000011</v>
      </c>
      <c r="C48" s="129" t="s">
        <v>9</v>
      </c>
      <c r="D48" s="129" t="s">
        <v>9</v>
      </c>
      <c r="E48" s="129">
        <f>'7E'!J48-'7O'!J48</f>
        <v>9.8000000000000007</v>
      </c>
      <c r="F48" s="129" t="s">
        <v>9</v>
      </c>
      <c r="G48" s="129">
        <f>'7E'!L48-'7O'!L48</f>
        <v>1719.7999999999993</v>
      </c>
      <c r="H48" s="129" t="s">
        <v>9</v>
      </c>
      <c r="I48" s="129" t="s">
        <v>9</v>
      </c>
      <c r="J48" s="129">
        <f>'7E'!O48-'7O'!O48</f>
        <v>9.8999999999999986</v>
      </c>
      <c r="K48" s="129" t="s">
        <v>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'7E'!G49-'7O'!G49</f>
        <v>1609.3999999999996</v>
      </c>
      <c r="C49" s="129" t="s">
        <v>9</v>
      </c>
      <c r="D49" s="129" t="s">
        <v>9</v>
      </c>
      <c r="E49" s="129">
        <f>'7E'!J49-'7O'!J49</f>
        <v>8.6999999999999993</v>
      </c>
      <c r="F49" s="129" t="s">
        <v>9</v>
      </c>
      <c r="G49" s="129">
        <f>'7E'!L49-'7O'!L49</f>
        <v>1604.4000000000005</v>
      </c>
      <c r="H49" s="129" t="s">
        <v>9</v>
      </c>
      <c r="I49" s="129" t="s">
        <v>9</v>
      </c>
      <c r="J49" s="129">
        <f>'7E'!O49-'7O'!O49</f>
        <v>8.6000000000000014</v>
      </c>
      <c r="K49" s="129" t="s">
        <v>9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'7E'!G50-'7O'!G50</f>
        <v>1538</v>
      </c>
      <c r="C50" s="129" t="s">
        <v>9</v>
      </c>
      <c r="D50" s="129" t="s">
        <v>9</v>
      </c>
      <c r="E50" s="129">
        <f>'7E'!J50-'7O'!J50</f>
        <v>18</v>
      </c>
      <c r="F50" s="129" t="s">
        <v>9</v>
      </c>
      <c r="G50" s="129">
        <f>'7E'!L50-'7O'!L50</f>
        <v>1537.8999999999996</v>
      </c>
      <c r="H50" s="129" t="s">
        <v>9</v>
      </c>
      <c r="I50" s="129" t="s">
        <v>9</v>
      </c>
      <c r="J50" s="129">
        <f>'7E'!O50-'7O'!O50</f>
        <v>18.100000000000001</v>
      </c>
      <c r="K50" s="129" t="s">
        <v>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'7E'!G51-'7O'!G51</f>
        <v>2748.8000000000011</v>
      </c>
      <c r="C51" s="129" t="s">
        <v>9</v>
      </c>
      <c r="D51" s="129" t="s">
        <v>9</v>
      </c>
      <c r="E51" s="129">
        <f>'7E'!J51-'7O'!J51</f>
        <v>0.5</v>
      </c>
      <c r="F51" s="129" t="s">
        <v>9</v>
      </c>
      <c r="G51" s="129">
        <f>'7E'!L51-'7O'!L51</f>
        <v>2748.8000000000011</v>
      </c>
      <c r="H51" s="129" t="s">
        <v>9</v>
      </c>
      <c r="I51" s="129" t="s">
        <v>9</v>
      </c>
      <c r="J51" s="129">
        <f>'7E'!O51-'7O'!O51</f>
        <v>0.5</v>
      </c>
      <c r="K51" s="129" t="s">
        <v>9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'7E'!G52-'7O'!G52</f>
        <v>3699.9999999999991</v>
      </c>
      <c r="C52" s="129" t="s">
        <v>9</v>
      </c>
      <c r="D52" s="129" t="s">
        <v>9</v>
      </c>
      <c r="E52" s="129">
        <f>'7E'!J52-'7O'!J52</f>
        <v>-7.6999999999999993</v>
      </c>
      <c r="F52" s="129" t="s">
        <v>9</v>
      </c>
      <c r="G52" s="129">
        <f>'7E'!L52-'7O'!L52</f>
        <v>3705.2000000000007</v>
      </c>
      <c r="H52" s="129" t="s">
        <v>9</v>
      </c>
      <c r="I52" s="129" t="s">
        <v>9</v>
      </c>
      <c r="J52" s="129">
        <f>'7E'!O52-'7O'!O52</f>
        <v>-7.6999999999999993</v>
      </c>
      <c r="K52" s="129" t="s">
        <v>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'7E'!G53-'7O'!G53</f>
        <v>4463.5000000000009</v>
      </c>
      <c r="C53" s="129" t="s">
        <v>9</v>
      </c>
      <c r="D53" s="129" t="s">
        <v>9</v>
      </c>
      <c r="E53" s="129">
        <f>'7E'!J53-'7O'!J53</f>
        <v>-9.8000000000000007</v>
      </c>
      <c r="F53" s="129" t="s">
        <v>9</v>
      </c>
      <c r="G53" s="129">
        <f>'7E'!L53-'7O'!L53</f>
        <v>4458.2999999999993</v>
      </c>
      <c r="H53" s="129" t="s">
        <v>9</v>
      </c>
      <c r="I53" s="129" t="s">
        <v>9</v>
      </c>
      <c r="J53" s="129">
        <f>'7E'!O53-'7O'!O53</f>
        <v>-9.8000000000000007</v>
      </c>
      <c r="K53" s="129" t="s">
        <v>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'7E'!G54-'7O'!G54</f>
        <v>4092.5999999999995</v>
      </c>
      <c r="C54" s="129" t="s">
        <v>9</v>
      </c>
      <c r="D54" s="129" t="s">
        <v>9</v>
      </c>
      <c r="E54" s="129">
        <f>'7E'!J54-'7O'!J54</f>
        <v>6.1000000000000014</v>
      </c>
      <c r="F54" s="129" t="s">
        <v>9</v>
      </c>
      <c r="G54" s="129">
        <f>'7E'!L54-'7O'!L54</f>
        <v>4084.1999999999989</v>
      </c>
      <c r="H54" s="129" t="s">
        <v>9</v>
      </c>
      <c r="I54" s="129" t="s">
        <v>9</v>
      </c>
      <c r="J54" s="129">
        <f>'7E'!O54-'7O'!O54</f>
        <v>6</v>
      </c>
      <c r="K54" s="129" t="s">
        <v>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'7E'!G55-'7O'!G55</f>
        <v>3728.7000000000007</v>
      </c>
      <c r="C55" s="129" t="s">
        <v>9</v>
      </c>
      <c r="D55" s="129" t="s">
        <v>9</v>
      </c>
      <c r="E55" s="129">
        <f>'7E'!J55-'7O'!J55</f>
        <v>-6.6</v>
      </c>
      <c r="F55" s="129" t="s">
        <v>9</v>
      </c>
      <c r="G55" s="129">
        <f>'7E'!L55-'7O'!L55</f>
        <v>3713.1999999999989</v>
      </c>
      <c r="H55" s="129" t="s">
        <v>9</v>
      </c>
      <c r="I55" s="129" t="s">
        <v>9</v>
      </c>
      <c r="J55" s="129">
        <f>'7E'!O55-'7O'!O55</f>
        <v>-6.6</v>
      </c>
      <c r="K55" s="129" t="s">
        <v>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'7E'!G56-'7O'!G56</f>
        <v>5085.7999999999993</v>
      </c>
      <c r="C56" s="129" t="s">
        <v>9</v>
      </c>
      <c r="D56" s="129" t="s">
        <v>9</v>
      </c>
      <c r="E56" s="129">
        <f>'7E'!J56-'7O'!J56</f>
        <v>-0.80000000000000071</v>
      </c>
      <c r="F56" s="129" t="s">
        <v>9</v>
      </c>
      <c r="G56" s="129">
        <f>'7E'!L56-'7O'!L56</f>
        <v>5064.7999999999993</v>
      </c>
      <c r="H56" s="129" t="s">
        <v>9</v>
      </c>
      <c r="I56" s="129" t="s">
        <v>9</v>
      </c>
      <c r="J56" s="129">
        <f>'7E'!O56-'7O'!O56</f>
        <v>-0.90000000000000036</v>
      </c>
      <c r="K56" s="129" t="s">
        <v>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'7E'!G57-'7O'!G57</f>
        <v>4301.1999999999989</v>
      </c>
      <c r="C57" s="129" t="s">
        <v>9</v>
      </c>
      <c r="D57" s="129" t="s">
        <v>9</v>
      </c>
      <c r="E57" s="129">
        <f>'7E'!J57-'7O'!J57</f>
        <v>-6.6</v>
      </c>
      <c r="F57" s="129" t="s">
        <v>9</v>
      </c>
      <c r="G57" s="129">
        <f>'7E'!L57-'7O'!L57</f>
        <v>4278.3999999999996</v>
      </c>
      <c r="H57" s="129" t="s">
        <v>9</v>
      </c>
      <c r="I57" s="129" t="s">
        <v>9</v>
      </c>
      <c r="J57" s="129">
        <f>'7E'!O57-'7O'!O57</f>
        <v>-6.6</v>
      </c>
      <c r="K57" s="129" t="s">
        <v>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E60" si="0">((B57/B28)^(1/29)-1)*100</f>
        <v>-207.94188041139364</v>
      </c>
      <c r="C60" s="11" t="s">
        <v>10</v>
      </c>
      <c r="D60" s="11" t="s">
        <v>10</v>
      </c>
      <c r="E60" s="11">
        <f t="shared" si="0"/>
        <v>1.4883976872213545</v>
      </c>
      <c r="F60" s="11" t="s">
        <v>10</v>
      </c>
      <c r="G60" s="11">
        <f>((G57/G28)^(1/29)-1)*100</f>
        <v>-208.32829552073395</v>
      </c>
      <c r="H60" s="11" t="s">
        <v>10</v>
      </c>
      <c r="I60" s="11" t="s">
        <v>10</v>
      </c>
      <c r="J60" s="11">
        <f t="shared" ref="J60" si="1">((J57/J28)^(1/29)-1)*100</f>
        <v>1.6552137510603693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E61" si="2">((B33/B28)^(1/5)-1)*100</f>
        <v>-207.60625416958158</v>
      </c>
      <c r="C61" s="11" t="s">
        <v>10</v>
      </c>
      <c r="D61" s="11">
        <f t="shared" si="2"/>
        <v>-49.083639563769879</v>
      </c>
      <c r="E61" s="11">
        <f t="shared" si="2"/>
        <v>-219.0895773164473</v>
      </c>
      <c r="F61" s="11" t="s">
        <v>10</v>
      </c>
      <c r="G61" s="11">
        <f>((G33/G28)^(1/5)-1)*100</f>
        <v>-214.14783098738769</v>
      </c>
      <c r="H61" s="11" t="s">
        <v>10</v>
      </c>
      <c r="I61" s="11">
        <f t="shared" ref="I61:J61" si="3">((I33/I28)^(1/5)-1)*100</f>
        <v>-67.139671664051377</v>
      </c>
      <c r="J61" s="11">
        <f t="shared" si="3"/>
        <v>-220.92174386741465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E62" si="4">((B44/B33)^(1/11)-1)*100</f>
        <v>-196.90842800388592</v>
      </c>
      <c r="C62" s="11" t="s">
        <v>10</v>
      </c>
      <c r="D62" s="11" t="s">
        <v>10</v>
      </c>
      <c r="E62" s="11">
        <f t="shared" si="4"/>
        <v>-184.42678484695665</v>
      </c>
      <c r="F62" s="11" t="s">
        <v>10</v>
      </c>
      <c r="G62" s="11">
        <f>((G44/G33)^(1/11)-1)*100</f>
        <v>-195.38138397081372</v>
      </c>
      <c r="H62" s="11" t="s">
        <v>10</v>
      </c>
      <c r="I62" s="11" t="s">
        <v>10</v>
      </c>
      <c r="J62" s="11">
        <f t="shared" ref="J62" si="5">((J44/J33)^(1/11)-1)*100</f>
        <v>-183.19069312773775</v>
      </c>
      <c r="K62" s="11" t="s">
        <v>10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-228.35537018719282</v>
      </c>
      <c r="C63" s="11" t="s">
        <v>10</v>
      </c>
      <c r="D63" s="11" t="s">
        <v>10</v>
      </c>
      <c r="E63" s="11">
        <f t="shared" ref="E63:J63" si="6">((E51/E44)^(1/7)-1)*100</f>
        <v>-184.69069900482262</v>
      </c>
      <c r="F63" s="11" t="s">
        <v>10</v>
      </c>
      <c r="G63" s="11">
        <f t="shared" si="6"/>
        <v>-228.14615285482796</v>
      </c>
      <c r="H63" s="11" t="s">
        <v>10</v>
      </c>
      <c r="I63" s="11" t="s">
        <v>10</v>
      </c>
      <c r="J63" s="11">
        <f t="shared" si="6"/>
        <v>-186.32175894929398</v>
      </c>
      <c r="K63" s="11" t="s">
        <v>10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7.7476356811918556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7">((G57/G51)^(1/6)-1)*100</f>
        <v>7.6522324721497892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E65" si="8">((B57/B44)^(1/13)-1)*100</f>
        <v>-218.39523268504428</v>
      </c>
      <c r="C65" s="11" t="s">
        <v>10</v>
      </c>
      <c r="D65" s="11" t="s">
        <v>10</v>
      </c>
      <c r="E65" s="11">
        <f t="shared" si="8"/>
        <v>11.516801364663154</v>
      </c>
      <c r="F65" s="11" t="s">
        <v>10</v>
      </c>
      <c r="G65" s="11">
        <f>((G57/G44)^(1/13)-1)*100</f>
        <v>-218.24292738100331</v>
      </c>
      <c r="H65" s="11" t="s">
        <v>10</v>
      </c>
      <c r="I65" s="11" t="s">
        <v>10</v>
      </c>
      <c r="J65" s="11">
        <f t="shared" ref="J65" si="9">((J57/J44)^(1/13)-1)*100</f>
        <v>12.668165504378305</v>
      </c>
      <c r="K65" s="11" t="s">
        <v>10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6" width="9.140625" style="239"/>
    <col min="7" max="7" width="16.140625" style="239" customWidth="1"/>
    <col min="8" max="16384" width="9.140625" style="239"/>
  </cols>
  <sheetData>
    <row r="1" spans="1:20" ht="29.25" customHeight="1">
      <c r="A1" s="454" t="s">
        <v>335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'7F'!G5-'7P'!G5</f>
        <v>1906.2999999999997</v>
      </c>
      <c r="C5" s="129" t="s">
        <v>9</v>
      </c>
      <c r="D5" s="129" t="s">
        <v>9</v>
      </c>
      <c r="E5" s="129">
        <f>'7F'!J5-'7P'!J5</f>
        <v>-1</v>
      </c>
      <c r="F5" s="129">
        <f>'7F'!K5-'7P'!K5</f>
        <v>0.10000000000000053</v>
      </c>
      <c r="G5" s="129">
        <f>'7F'!L5-'7P'!L5</f>
        <v>2060.8000000000002</v>
      </c>
      <c r="H5" s="129" t="s">
        <v>9</v>
      </c>
      <c r="I5" s="129" t="s">
        <v>9</v>
      </c>
      <c r="J5" s="129">
        <f>'7F'!O5-'7P'!O5</f>
        <v>-2.6</v>
      </c>
      <c r="K5" s="129">
        <f>'7F'!P5-'7P'!P5</f>
        <v>-0.40000000000000036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'7F'!G6-'7P'!G6</f>
        <v>1856.6999999999998</v>
      </c>
      <c r="C6" s="129" t="s">
        <v>9</v>
      </c>
      <c r="D6" s="129" t="s">
        <v>9</v>
      </c>
      <c r="E6" s="129">
        <f>'7F'!J6-'7P'!J6</f>
        <v>-0.30000000000000027</v>
      </c>
      <c r="F6" s="129">
        <f>'7F'!K6-'7P'!K6</f>
        <v>0.80000000000000071</v>
      </c>
      <c r="G6" s="129">
        <f>'7F'!L6-'7P'!L6</f>
        <v>1968.2999999999997</v>
      </c>
      <c r="H6" s="129" t="s">
        <v>9</v>
      </c>
      <c r="I6" s="129" t="s">
        <v>9</v>
      </c>
      <c r="J6" s="129">
        <f>'7F'!O6-'7P'!O6</f>
        <v>-2.6</v>
      </c>
      <c r="K6" s="129">
        <f>'7F'!P6-'7P'!P6</f>
        <v>0.39999999999999947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'7F'!G7-'7P'!G7</f>
        <v>1780.2999999999997</v>
      </c>
      <c r="C7" s="129" t="s">
        <v>9</v>
      </c>
      <c r="D7" s="129" t="s">
        <v>9</v>
      </c>
      <c r="E7" s="129">
        <f>'7F'!J7-'7P'!J7</f>
        <v>-0.70000000000000018</v>
      </c>
      <c r="F7" s="129">
        <f>'7F'!K7-'7P'!K7</f>
        <v>-2.0999999999999996</v>
      </c>
      <c r="G7" s="129">
        <f>'7F'!L7-'7P'!L7</f>
        <v>1878.5</v>
      </c>
      <c r="H7" s="129" t="s">
        <v>9</v>
      </c>
      <c r="I7" s="129" t="s">
        <v>9</v>
      </c>
      <c r="J7" s="129">
        <f>'7F'!O7-'7P'!O7</f>
        <v>-2.6</v>
      </c>
      <c r="K7" s="129">
        <f>'7F'!P7-'7P'!P7</f>
        <v>-2.1999999999999993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'7F'!G8-'7P'!G8</f>
        <v>1593.5</v>
      </c>
      <c r="C8" s="129" t="s">
        <v>9</v>
      </c>
      <c r="D8" s="129" t="s">
        <v>9</v>
      </c>
      <c r="E8" s="129">
        <f>'7F'!J8-'7P'!J8</f>
        <v>-0.39999999999999991</v>
      </c>
      <c r="F8" s="129">
        <f>'7F'!K8-'7P'!K8</f>
        <v>-0.59999999999999964</v>
      </c>
      <c r="G8" s="129">
        <f>'7F'!L8-'7P'!L8</f>
        <v>1673.6999999999998</v>
      </c>
      <c r="H8" s="129" t="s">
        <v>9</v>
      </c>
      <c r="I8" s="129" t="s">
        <v>9</v>
      </c>
      <c r="J8" s="129">
        <f>'7F'!O8-'7P'!O8</f>
        <v>-2.6</v>
      </c>
      <c r="K8" s="129">
        <f>'7F'!P8-'7P'!P8</f>
        <v>-0.69999999999999929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'7F'!G9-'7P'!G9</f>
        <v>1162.6000000000004</v>
      </c>
      <c r="C9" s="129" t="s">
        <v>9</v>
      </c>
      <c r="D9" s="129" t="s">
        <v>9</v>
      </c>
      <c r="E9" s="129">
        <f>'7F'!J9-'7P'!J9</f>
        <v>1.8000000000000003</v>
      </c>
      <c r="F9" s="129">
        <f>'7F'!K9-'7P'!K9</f>
        <v>5.3999999999999995</v>
      </c>
      <c r="G9" s="129">
        <f>'7F'!L9-'7P'!L9</f>
        <v>1270.2999999999997</v>
      </c>
      <c r="H9" s="129" t="s">
        <v>9</v>
      </c>
      <c r="I9" s="129" t="s">
        <v>9</v>
      </c>
      <c r="J9" s="129">
        <f>'7F'!O9-'7P'!O9</f>
        <v>-2.6</v>
      </c>
      <c r="K9" s="129">
        <f>'7F'!P9-'7P'!P9</f>
        <v>5.3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'7F'!G10-'7P'!G10</f>
        <v>2123.5</v>
      </c>
      <c r="C10" s="129" t="s">
        <v>9</v>
      </c>
      <c r="D10" s="129" t="s">
        <v>9</v>
      </c>
      <c r="E10" s="129">
        <f>'7F'!J10-'7P'!J10</f>
        <v>0.80000000000000027</v>
      </c>
      <c r="F10" s="129">
        <f>'7F'!K10-'7P'!K10</f>
        <v>2.3000000000000007</v>
      </c>
      <c r="G10" s="129">
        <f>'7F'!L10-'7P'!L10</f>
        <v>2204.7000000000003</v>
      </c>
      <c r="H10" s="129" t="s">
        <v>9</v>
      </c>
      <c r="I10" s="129" t="s">
        <v>9</v>
      </c>
      <c r="J10" s="129">
        <f>'7F'!O10-'7P'!O10</f>
        <v>-2.8</v>
      </c>
      <c r="K10" s="129">
        <f>'7F'!P10-'7P'!P10</f>
        <v>1.9999999999999991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'7F'!G11-'7P'!G11</f>
        <v>1919.5000000000005</v>
      </c>
      <c r="C11" s="129" t="s">
        <v>9</v>
      </c>
      <c r="D11" s="129" t="s">
        <v>9</v>
      </c>
      <c r="E11" s="129">
        <f>'7F'!J11-'7P'!J11</f>
        <v>-0.99999999999999978</v>
      </c>
      <c r="F11" s="129">
        <f>'7F'!K11-'7P'!K11</f>
        <v>-0.20000000000000018</v>
      </c>
      <c r="G11" s="129">
        <f>'7F'!L11-'7P'!L11</f>
        <v>2011</v>
      </c>
      <c r="H11" s="129" t="s">
        <v>9</v>
      </c>
      <c r="I11" s="129" t="s">
        <v>9</v>
      </c>
      <c r="J11" s="129">
        <f>'7F'!O11-'7P'!O11</f>
        <v>-2.8</v>
      </c>
      <c r="K11" s="129">
        <f>'7F'!P11-'7P'!P11</f>
        <v>-0.5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'7F'!G12-'7P'!G12</f>
        <v>2249.8000000000002</v>
      </c>
      <c r="C12" s="129" t="s">
        <v>9</v>
      </c>
      <c r="D12" s="129" t="s">
        <v>9</v>
      </c>
      <c r="E12" s="129">
        <f>'7F'!J12-'7P'!J12</f>
        <v>-0.10000000000000009</v>
      </c>
      <c r="F12" s="129">
        <f>'7F'!K12-'7P'!K12</f>
        <v>1.2000000000000002</v>
      </c>
      <c r="G12" s="129">
        <f>'7F'!L12-'7P'!L12</f>
        <v>2385.1</v>
      </c>
      <c r="H12" s="129" t="s">
        <v>9</v>
      </c>
      <c r="I12" s="129" t="s">
        <v>9</v>
      </c>
      <c r="J12" s="129">
        <f>'7F'!O12-'7P'!O12</f>
        <v>-2.7</v>
      </c>
      <c r="K12" s="129">
        <f>'7F'!P12-'7P'!P12</f>
        <v>1.0000000000000009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'7F'!G13-'7P'!G13</f>
        <v>2368.3999999999996</v>
      </c>
      <c r="C13" s="129" t="s">
        <v>9</v>
      </c>
      <c r="D13" s="129" t="s">
        <v>9</v>
      </c>
      <c r="E13" s="129">
        <f>'7F'!J13-'7P'!J13</f>
        <v>3.1999999999999997</v>
      </c>
      <c r="F13" s="129">
        <f>'7F'!K13-'7P'!K13</f>
        <v>-3.9</v>
      </c>
      <c r="G13" s="129">
        <f>'7F'!L13-'7P'!L13</f>
        <v>2549.1000000000004</v>
      </c>
      <c r="H13" s="129" t="s">
        <v>9</v>
      </c>
      <c r="I13" s="129" t="s">
        <v>9</v>
      </c>
      <c r="J13" s="129">
        <f>'7F'!O13-'7P'!O13</f>
        <v>-2.9</v>
      </c>
      <c r="K13" s="129">
        <f>'7F'!P13-'7P'!P13</f>
        <v>-3.9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'7F'!G14-'7P'!G14</f>
        <v>2691.5</v>
      </c>
      <c r="C14" s="129" t="s">
        <v>9</v>
      </c>
      <c r="D14" s="129" t="s">
        <v>9</v>
      </c>
      <c r="E14" s="129">
        <f>'7F'!J14-'7P'!J14</f>
        <v>-0.20000000000000018</v>
      </c>
      <c r="F14" s="129">
        <f>'7F'!K14-'7P'!K14</f>
        <v>3.5000000000000009</v>
      </c>
      <c r="G14" s="129">
        <f>'7F'!L14-'7P'!L14</f>
        <v>2913.3999999999996</v>
      </c>
      <c r="H14" s="129" t="s">
        <v>9</v>
      </c>
      <c r="I14" s="129" t="s">
        <v>9</v>
      </c>
      <c r="J14" s="129">
        <f>'7F'!O14-'7P'!O14</f>
        <v>-3</v>
      </c>
      <c r="K14" s="129">
        <f>'7F'!P14-'7P'!P14</f>
        <v>3.1000000000000005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'7F'!G15-'7P'!G15</f>
        <v>3241.7</v>
      </c>
      <c r="C15" s="129" t="s">
        <v>9</v>
      </c>
      <c r="D15" s="129" t="s">
        <v>9</v>
      </c>
      <c r="E15" s="129">
        <f>'7F'!J15-'7P'!J15</f>
        <v>-1</v>
      </c>
      <c r="F15" s="129">
        <f>'7F'!K15-'7P'!K15</f>
        <v>4</v>
      </c>
      <c r="G15" s="129">
        <f>'7F'!L15-'7P'!L15</f>
        <v>3364.8999999999996</v>
      </c>
      <c r="H15" s="129" t="s">
        <v>9</v>
      </c>
      <c r="I15" s="129" t="s">
        <v>9</v>
      </c>
      <c r="J15" s="129">
        <f>'7F'!O15-'7P'!O15</f>
        <v>-3</v>
      </c>
      <c r="K15" s="129">
        <f>'7F'!P15-'7P'!P15</f>
        <v>3.5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'7F'!G16-'7P'!G16</f>
        <v>3482.8999999999996</v>
      </c>
      <c r="C16" s="129" t="s">
        <v>9</v>
      </c>
      <c r="D16" s="129" t="s">
        <v>9</v>
      </c>
      <c r="E16" s="129">
        <f>'7F'!J16-'7P'!J16</f>
        <v>1.5999999999999996</v>
      </c>
      <c r="F16" s="129">
        <f>'7F'!K16-'7P'!K16</f>
        <v>1.7000000000000002</v>
      </c>
      <c r="G16" s="129">
        <f>'7F'!L16-'7P'!L16</f>
        <v>3519</v>
      </c>
      <c r="H16" s="129" t="s">
        <v>9</v>
      </c>
      <c r="I16" s="129" t="s">
        <v>9</v>
      </c>
      <c r="J16" s="129">
        <f>'7F'!O16-'7P'!O16</f>
        <v>-3</v>
      </c>
      <c r="K16" s="129">
        <f>'7F'!P16-'7P'!P16</f>
        <v>1.1000000000000005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'7F'!G17-'7P'!G17</f>
        <v>2631.4000000000005</v>
      </c>
      <c r="C17" s="129" t="s">
        <v>9</v>
      </c>
      <c r="D17" s="129" t="s">
        <v>9</v>
      </c>
      <c r="E17" s="129">
        <f>'7F'!J17-'7P'!J17</f>
        <v>5.3999999999999995</v>
      </c>
      <c r="F17" s="129">
        <f>'7F'!K17-'7P'!K17</f>
        <v>6.4</v>
      </c>
      <c r="G17" s="129">
        <f>'7F'!L17-'7P'!L17</f>
        <v>2702.7</v>
      </c>
      <c r="H17" s="129" t="s">
        <v>9</v>
      </c>
      <c r="I17" s="129" t="s">
        <v>9</v>
      </c>
      <c r="J17" s="129">
        <f>'7F'!O17-'7P'!O17</f>
        <v>-3.3</v>
      </c>
      <c r="K17" s="129">
        <f>'7F'!P17-'7P'!P17</f>
        <v>5.8000000000000007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'7F'!G18-'7P'!G18</f>
        <v>2632.5999999999995</v>
      </c>
      <c r="C18" s="129" t="s">
        <v>9</v>
      </c>
      <c r="D18" s="129" t="s">
        <v>9</v>
      </c>
      <c r="E18" s="129">
        <f>'7F'!J18-'7P'!J18</f>
        <v>6.3999999999999995</v>
      </c>
      <c r="F18" s="129">
        <f>'7F'!K18-'7P'!K18</f>
        <v>0.59999999999999964</v>
      </c>
      <c r="G18" s="129">
        <f>'7F'!L18-'7P'!L18</f>
        <v>2779.3</v>
      </c>
      <c r="H18" s="129" t="s">
        <v>9</v>
      </c>
      <c r="I18" s="129" t="s">
        <v>9</v>
      </c>
      <c r="J18" s="129">
        <f>'7F'!O18-'7P'!O18</f>
        <v>-3.7</v>
      </c>
      <c r="K18" s="129">
        <f>'7F'!P18-'7P'!P18</f>
        <v>0.39999999999999858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'7F'!G19-'7P'!G19</f>
        <v>3488.2</v>
      </c>
      <c r="C19" s="129" t="s">
        <v>9</v>
      </c>
      <c r="D19" s="129" t="s">
        <v>9</v>
      </c>
      <c r="E19" s="129">
        <f>'7F'!J19-'7P'!J19</f>
        <v>1.5</v>
      </c>
      <c r="F19" s="129">
        <f>'7F'!K19-'7P'!K19</f>
        <v>6.1000000000000014</v>
      </c>
      <c r="G19" s="129">
        <f>'7F'!L19-'7P'!L19</f>
        <v>3596.6000000000004</v>
      </c>
      <c r="H19" s="129" t="s">
        <v>9</v>
      </c>
      <c r="I19" s="129" t="s">
        <v>9</v>
      </c>
      <c r="J19" s="129">
        <f>'7F'!O19-'7P'!O19</f>
        <v>-4</v>
      </c>
      <c r="K19" s="129">
        <f>'7F'!P19-'7P'!P19</f>
        <v>5.9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'7F'!G20-'7P'!G20</f>
        <v>2480.1000000000004</v>
      </c>
      <c r="C20" s="129" t="s">
        <v>9</v>
      </c>
      <c r="D20" s="129" t="s">
        <v>9</v>
      </c>
      <c r="E20" s="129">
        <f>'7F'!J20-'7P'!J20</f>
        <v>2</v>
      </c>
      <c r="F20" s="129">
        <f>'7F'!K20-'7P'!K20</f>
        <v>-3.6000000000000005</v>
      </c>
      <c r="G20" s="129">
        <f>'7F'!L20-'7P'!L20</f>
        <v>2607.6000000000004</v>
      </c>
      <c r="H20" s="129" t="s">
        <v>9</v>
      </c>
      <c r="I20" s="129" t="s">
        <v>9</v>
      </c>
      <c r="J20" s="129">
        <f>'7F'!O20-'7P'!O20</f>
        <v>-4.2</v>
      </c>
      <c r="K20" s="129">
        <f>'7F'!P20-'7P'!P20</f>
        <v>-3.7000000000000011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'7F'!G21-'7P'!G21</f>
        <v>2175.3999999999996</v>
      </c>
      <c r="C21" s="129" t="s">
        <v>9</v>
      </c>
      <c r="D21" s="129" t="s">
        <v>9</v>
      </c>
      <c r="E21" s="129">
        <f>'7F'!J21-'7P'!J21</f>
        <v>2.6999999999999993</v>
      </c>
      <c r="F21" s="129">
        <f>'7F'!K21-'7P'!K21</f>
        <v>-4</v>
      </c>
      <c r="G21" s="129">
        <f>'7F'!L21-'7P'!L21</f>
        <v>2292.5999999999995</v>
      </c>
      <c r="H21" s="129" t="s">
        <v>9</v>
      </c>
      <c r="I21" s="129" t="s">
        <v>9</v>
      </c>
      <c r="J21" s="129">
        <f>'7F'!O21-'7P'!O21</f>
        <v>-4.4000000000000004</v>
      </c>
      <c r="K21" s="129">
        <f>'7F'!P21-'7P'!P21</f>
        <v>-4.0999999999999996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'7F'!G22-'7P'!G22</f>
        <v>1799.0999999999995</v>
      </c>
      <c r="C22" s="129" t="s">
        <v>9</v>
      </c>
      <c r="D22" s="129" t="s">
        <v>9</v>
      </c>
      <c r="E22" s="129">
        <f>'7F'!J22-'7P'!J22</f>
        <v>-1.1000000000000001</v>
      </c>
      <c r="F22" s="129">
        <f>'7F'!K22-'7P'!K22</f>
        <v>-2.3000000000000007</v>
      </c>
      <c r="G22" s="129">
        <f>'7F'!L22-'7P'!L22</f>
        <v>1946.3999999999996</v>
      </c>
      <c r="H22" s="129" t="s">
        <v>9</v>
      </c>
      <c r="I22" s="129" t="s">
        <v>9</v>
      </c>
      <c r="J22" s="129">
        <f>'7F'!O22-'7P'!O22</f>
        <v>-4.5</v>
      </c>
      <c r="K22" s="129">
        <f>'7F'!P22-'7P'!P22</f>
        <v>-2.5000000000000009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'7F'!G23-'7P'!G23</f>
        <v>814.19999999999982</v>
      </c>
      <c r="C23" s="129" t="s">
        <v>9</v>
      </c>
      <c r="D23" s="129" t="s">
        <v>9</v>
      </c>
      <c r="E23" s="129">
        <f>'7F'!J23-'7P'!J23</f>
        <v>0.90000000000000036</v>
      </c>
      <c r="F23" s="129">
        <f>'7F'!K23-'7P'!K23</f>
        <v>-1.8000000000000007</v>
      </c>
      <c r="G23" s="129">
        <f>'7F'!L23-'7P'!L23</f>
        <v>966</v>
      </c>
      <c r="H23" s="129" t="s">
        <v>9</v>
      </c>
      <c r="I23" s="129" t="s">
        <v>9</v>
      </c>
      <c r="J23" s="129">
        <f>'7F'!O23-'7P'!O23</f>
        <v>-4.5</v>
      </c>
      <c r="K23" s="129">
        <f>'7F'!P23-'7P'!P23</f>
        <v>-1.8999999999999995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'7F'!G24-'7P'!G24</f>
        <v>869.19999999999982</v>
      </c>
      <c r="C24" s="129" t="s">
        <v>9</v>
      </c>
      <c r="D24" s="129" t="s">
        <v>9</v>
      </c>
      <c r="E24" s="129">
        <f>'7F'!J24-'7P'!J24</f>
        <v>1.9000000000000004</v>
      </c>
      <c r="F24" s="129">
        <f>'7F'!K24-'7P'!K24</f>
        <v>-2.8999999999999995</v>
      </c>
      <c r="G24" s="129">
        <f>'7F'!L24-'7P'!L24</f>
        <v>1012.6000000000004</v>
      </c>
      <c r="H24" s="129" t="s">
        <v>9</v>
      </c>
      <c r="I24" s="129" t="s">
        <v>9</v>
      </c>
      <c r="J24" s="129">
        <f>'7F'!O24-'7P'!O24</f>
        <v>-4.5999999999999996</v>
      </c>
      <c r="K24" s="129">
        <f>'7F'!P24-'7P'!P24</f>
        <v>-2.8999999999999995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'7F'!G25-'7P'!G25</f>
        <v>1512.5</v>
      </c>
      <c r="C25" s="129" t="s">
        <v>9</v>
      </c>
      <c r="D25" s="129" t="s">
        <v>9</v>
      </c>
      <c r="E25" s="129">
        <f>'7F'!J25-'7P'!J25</f>
        <v>-0.60000000000000053</v>
      </c>
      <c r="F25" s="129">
        <f>'7F'!K25-'7P'!K25</f>
        <v>0.5</v>
      </c>
      <c r="G25" s="129">
        <f>'7F'!L25-'7P'!L25</f>
        <v>1626.0999999999995</v>
      </c>
      <c r="H25" s="129" t="s">
        <v>9</v>
      </c>
      <c r="I25" s="129" t="s">
        <v>9</v>
      </c>
      <c r="J25" s="129">
        <f>'7F'!O25-'7P'!O25</f>
        <v>-4.7</v>
      </c>
      <c r="K25" s="129">
        <f>'7F'!P25-'7P'!P25</f>
        <v>0.30000000000000071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'7F'!G26-'7P'!G26</f>
        <v>2019.7000000000007</v>
      </c>
      <c r="C26" s="129" t="s">
        <v>9</v>
      </c>
      <c r="D26" s="129" t="s">
        <v>9</v>
      </c>
      <c r="E26" s="129">
        <f>'7F'!J26-'7P'!J26</f>
        <v>-2</v>
      </c>
      <c r="F26" s="129">
        <f>'7F'!K26-'7P'!K26</f>
        <v>4.0999999999999996</v>
      </c>
      <c r="G26" s="129">
        <f>'7F'!L26-'7P'!L26</f>
        <v>2116.0000000000009</v>
      </c>
      <c r="H26" s="129" t="s">
        <v>9</v>
      </c>
      <c r="I26" s="129" t="s">
        <v>9</v>
      </c>
      <c r="J26" s="129">
        <f>'7F'!O26-'7P'!O26</f>
        <v>-4.5999999999999996</v>
      </c>
      <c r="K26" s="129">
        <f>'7F'!P26-'7P'!P26</f>
        <v>4.1999999999999993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'7F'!G27-'7P'!G27</f>
        <v>374</v>
      </c>
      <c r="C27" s="129" t="s">
        <v>9</v>
      </c>
      <c r="D27" s="129" t="s">
        <v>9</v>
      </c>
      <c r="E27" s="129">
        <f>'7F'!J27-'7P'!J27</f>
        <v>-2.6</v>
      </c>
      <c r="F27" s="129">
        <f>'7F'!K27-'7P'!K27</f>
        <v>5.6999999999999993</v>
      </c>
      <c r="G27" s="129">
        <f>'7F'!L27-'7P'!L27</f>
        <v>461.80000000000018</v>
      </c>
      <c r="H27" s="129" t="s">
        <v>9</v>
      </c>
      <c r="I27" s="129" t="s">
        <v>9</v>
      </c>
      <c r="J27" s="129">
        <f>'7F'!O27-'7P'!O27</f>
        <v>-4.5</v>
      </c>
      <c r="K27" s="129">
        <f>'7F'!P27-'7P'!P27</f>
        <v>5.6999999999999993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'7F'!G28-'7P'!G28</f>
        <v>723.90000000000055</v>
      </c>
      <c r="C28" s="129" t="s">
        <v>9</v>
      </c>
      <c r="D28" s="129" t="s">
        <v>9</v>
      </c>
      <c r="E28" s="129">
        <f>'7F'!J28-'7P'!J28</f>
        <v>-1.6000000000000005</v>
      </c>
      <c r="F28" s="129">
        <f>'7F'!K28-'7P'!K28</f>
        <v>0.10000000000000142</v>
      </c>
      <c r="G28" s="129">
        <f>'7F'!L28-'7P'!L28</f>
        <v>834.80000000000018</v>
      </c>
      <c r="H28" s="129" t="s">
        <v>9</v>
      </c>
      <c r="I28" s="129" t="s">
        <v>9</v>
      </c>
      <c r="J28" s="129">
        <f>'7F'!O28-'7P'!O28</f>
        <v>-4.4000000000000004</v>
      </c>
      <c r="K28" s="129">
        <f>'7F'!P28-'7P'!P28</f>
        <v>0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'7F'!G29-'7P'!G29</f>
        <v>382.60000000000036</v>
      </c>
      <c r="C29" s="129" t="s">
        <v>9</v>
      </c>
      <c r="D29" s="129" t="s">
        <v>9</v>
      </c>
      <c r="E29" s="129">
        <f>'7F'!J29-'7P'!J29</f>
        <v>-1.5</v>
      </c>
      <c r="F29" s="129">
        <f>'7F'!K29-'7P'!K29</f>
        <v>-1.3999999999999995</v>
      </c>
      <c r="G29" s="129">
        <f>'7F'!L29-'7P'!L29</f>
        <v>494.39999999999964</v>
      </c>
      <c r="H29" s="129" t="s">
        <v>9</v>
      </c>
      <c r="I29" s="129" t="s">
        <v>9</v>
      </c>
      <c r="J29" s="129">
        <f>'7F'!O29-'7P'!O29</f>
        <v>-4.3</v>
      </c>
      <c r="K29" s="129">
        <f>'7F'!P29-'7P'!P29</f>
        <v>-1.4999999999999991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'7F'!G30-'7P'!G30</f>
        <v>623.30000000000018</v>
      </c>
      <c r="C30" s="129" t="s">
        <v>9</v>
      </c>
      <c r="D30" s="129" t="s">
        <v>9</v>
      </c>
      <c r="E30" s="129">
        <f>'7F'!J30-'7P'!J30</f>
        <v>-1.5</v>
      </c>
      <c r="F30" s="129">
        <f>'7F'!K30-'7P'!K30</f>
        <v>-4.4000000000000004</v>
      </c>
      <c r="G30" s="129">
        <f>'7F'!L30-'7P'!L30</f>
        <v>788.09999999999945</v>
      </c>
      <c r="H30" s="129" t="s">
        <v>9</v>
      </c>
      <c r="I30" s="129" t="s">
        <v>9</v>
      </c>
      <c r="J30" s="129">
        <f>'7F'!O30-'7P'!O30</f>
        <v>-4.2</v>
      </c>
      <c r="K30" s="129">
        <f>'7F'!P30-'7P'!P30</f>
        <v>-4.4000000000000004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'7F'!G31-'7P'!G31</f>
        <v>1000.8999999999996</v>
      </c>
      <c r="C31" s="129" t="s">
        <v>9</v>
      </c>
      <c r="D31" s="129" t="s">
        <v>9</v>
      </c>
      <c r="E31" s="129">
        <f>'7F'!J31-'7P'!J31</f>
        <v>-2.0999999999999996</v>
      </c>
      <c r="F31" s="129">
        <f>'7F'!K31-'7P'!K31</f>
        <v>3.4000000000000004</v>
      </c>
      <c r="G31" s="129">
        <f>'7F'!L31-'7P'!L31</f>
        <v>1222.1000000000004</v>
      </c>
      <c r="H31" s="129" t="s">
        <v>9</v>
      </c>
      <c r="I31" s="129" t="s">
        <v>9</v>
      </c>
      <c r="J31" s="129">
        <f>'7F'!O31-'7P'!O31</f>
        <v>-4.0999999999999996</v>
      </c>
      <c r="K31" s="129">
        <f>'7F'!P31-'7P'!P31</f>
        <v>3.4000000000000004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'7F'!G32-'7P'!G32</f>
        <v>1463.0999999999995</v>
      </c>
      <c r="C32" s="129" t="s">
        <v>9</v>
      </c>
      <c r="D32" s="129" t="s">
        <v>9</v>
      </c>
      <c r="E32" s="129">
        <f>'7F'!J32-'7P'!J32</f>
        <v>1.5</v>
      </c>
      <c r="F32" s="129">
        <f>'7F'!K32-'7P'!K32</f>
        <v>1.1999999999999993</v>
      </c>
      <c r="G32" s="129">
        <f>'7F'!L32-'7P'!L32</f>
        <v>1680.6999999999989</v>
      </c>
      <c r="H32" s="129" t="s">
        <v>9</v>
      </c>
      <c r="I32" s="129" t="s">
        <v>9</v>
      </c>
      <c r="J32" s="129">
        <f>'7F'!O32-'7P'!O32</f>
        <v>-4.0999999999999996</v>
      </c>
      <c r="K32" s="129">
        <f>'7F'!P32-'7P'!P32</f>
        <v>1.1999999999999993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'7F'!G33-'7P'!G33</f>
        <v>1758.5000000000009</v>
      </c>
      <c r="C33" s="129" t="s">
        <v>9</v>
      </c>
      <c r="D33" s="129" t="s">
        <v>9</v>
      </c>
      <c r="E33" s="129">
        <f>'7F'!J33-'7P'!J33</f>
        <v>-3.3</v>
      </c>
      <c r="F33" s="129">
        <f>'7F'!K33-'7P'!K33</f>
        <v>0.80000000000000071</v>
      </c>
      <c r="G33" s="129">
        <f>'7F'!L33-'7P'!L33</f>
        <v>1970.5</v>
      </c>
      <c r="H33" s="129" t="s">
        <v>9</v>
      </c>
      <c r="I33" s="129" t="s">
        <v>9</v>
      </c>
      <c r="J33" s="129">
        <f>'7F'!O33-'7P'!O33</f>
        <v>-4</v>
      </c>
      <c r="K33" s="129">
        <f>'7F'!P33-'7P'!P33</f>
        <v>1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'7F'!G34-'7P'!G34</f>
        <v>1889.3999999999996</v>
      </c>
      <c r="C34" s="129" t="s">
        <v>9</v>
      </c>
      <c r="D34" s="129" t="s">
        <v>9</v>
      </c>
      <c r="E34" s="129">
        <f>'7F'!J34-'7P'!J34</f>
        <v>-1.1000000000000001</v>
      </c>
      <c r="F34" s="129">
        <f>'7F'!K34-'7P'!K34</f>
        <v>-5.3</v>
      </c>
      <c r="G34" s="129">
        <f>'7F'!L34-'7P'!L34</f>
        <v>2142.8000000000011</v>
      </c>
      <c r="H34" s="129" t="s">
        <v>9</v>
      </c>
      <c r="I34" s="129" t="s">
        <v>9</v>
      </c>
      <c r="J34" s="129">
        <f>'7F'!O34-'7P'!O34</f>
        <v>-3.9</v>
      </c>
      <c r="K34" s="129">
        <f>'7F'!P34-'7P'!P34</f>
        <v>-5.3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'7F'!G35-'7P'!G35</f>
        <v>3187.8</v>
      </c>
      <c r="C35" s="129" t="s">
        <v>9</v>
      </c>
      <c r="D35" s="129" t="s">
        <v>9</v>
      </c>
      <c r="E35" s="129">
        <f>'7F'!J35-'7P'!J35</f>
        <v>-2.9</v>
      </c>
      <c r="F35" s="129">
        <f>'7F'!K35-'7P'!K35</f>
        <v>-4.0999999999999996</v>
      </c>
      <c r="G35" s="129">
        <f>'7F'!L35-'7P'!L35</f>
        <v>3406.3999999999996</v>
      </c>
      <c r="H35" s="129" t="s">
        <v>9</v>
      </c>
      <c r="I35" s="129" t="s">
        <v>9</v>
      </c>
      <c r="J35" s="129">
        <f>'7F'!O35-'7P'!O35</f>
        <v>-3.8</v>
      </c>
      <c r="K35" s="129">
        <f>'7F'!P35-'7P'!P35</f>
        <v>-4.0999999999999996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'7F'!G36-'7P'!G36</f>
        <v>2676.0999999999995</v>
      </c>
      <c r="C36" s="129" t="s">
        <v>9</v>
      </c>
      <c r="D36" s="129" t="s">
        <v>9</v>
      </c>
      <c r="E36" s="129">
        <f>'7F'!J36-'7P'!J36</f>
        <v>-3.2</v>
      </c>
      <c r="F36" s="129">
        <f>'7F'!K36-'7P'!K36</f>
        <v>-2.2000000000000002</v>
      </c>
      <c r="G36" s="129">
        <f>'7F'!L36-'7P'!L36</f>
        <v>2902.0999999999995</v>
      </c>
      <c r="H36" s="129" t="s">
        <v>9</v>
      </c>
      <c r="I36" s="129" t="s">
        <v>9</v>
      </c>
      <c r="J36" s="129">
        <f>'7F'!O36-'7P'!O36</f>
        <v>-3.6</v>
      </c>
      <c r="K36" s="129">
        <f>'7F'!P36-'7P'!P36</f>
        <v>-2.2000000000000002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'7F'!G37-'7P'!G37</f>
        <v>715.39999999999964</v>
      </c>
      <c r="C37" s="129" t="s">
        <v>9</v>
      </c>
      <c r="D37" s="129" t="s">
        <v>9</v>
      </c>
      <c r="E37" s="129">
        <f>'7F'!J37-'7P'!J37</f>
        <v>-1.9</v>
      </c>
      <c r="F37" s="129">
        <f>'7F'!K37-'7P'!K37</f>
        <v>5</v>
      </c>
      <c r="G37" s="129">
        <f>'7F'!L37-'7P'!L37</f>
        <v>851.59999999999945</v>
      </c>
      <c r="H37" s="129" t="s">
        <v>9</v>
      </c>
      <c r="I37" s="129" t="s">
        <v>9</v>
      </c>
      <c r="J37" s="129">
        <f>'7F'!O37-'7P'!O37</f>
        <v>-3.4</v>
      </c>
      <c r="K37" s="129">
        <f>'7F'!P37-'7P'!P37</f>
        <v>4.9000000000000004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'7F'!G38-'7P'!G38</f>
        <v>30.300000000000182</v>
      </c>
      <c r="C38" s="129" t="s">
        <v>9</v>
      </c>
      <c r="D38" s="129" t="s">
        <v>9</v>
      </c>
      <c r="E38" s="129">
        <f>'7F'!J38-'7P'!J38</f>
        <v>1.6999999999999997</v>
      </c>
      <c r="F38" s="129">
        <f>'7F'!K38-'7P'!K38</f>
        <v>5.1000000000000014</v>
      </c>
      <c r="G38" s="129">
        <f>'7F'!L38-'7P'!L38</f>
        <v>110.19999999999982</v>
      </c>
      <c r="H38" s="129" t="s">
        <v>9</v>
      </c>
      <c r="I38" s="129" t="s">
        <v>9</v>
      </c>
      <c r="J38" s="129">
        <f>'7F'!O38-'7P'!O38</f>
        <v>-3.4</v>
      </c>
      <c r="K38" s="129">
        <f>'7F'!P38-'7P'!P38</f>
        <v>5.0999999999999996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'7F'!G39-'7P'!G39</f>
        <v>647.80000000000109</v>
      </c>
      <c r="C39" s="129" t="s">
        <v>9</v>
      </c>
      <c r="D39" s="129" t="s">
        <v>9</v>
      </c>
      <c r="E39" s="129">
        <f>'7F'!J39-'7P'!J39</f>
        <v>11.700000000000001</v>
      </c>
      <c r="F39" s="129">
        <f>'7F'!K39-'7P'!K39</f>
        <v>-2</v>
      </c>
      <c r="G39" s="129">
        <f>'7F'!L39-'7P'!L39</f>
        <v>673.49999999999909</v>
      </c>
      <c r="H39" s="129" t="s">
        <v>9</v>
      </c>
      <c r="I39" s="129" t="s">
        <v>9</v>
      </c>
      <c r="J39" s="129">
        <f>'7F'!O39-'7P'!O39</f>
        <v>-4.0999999999999996</v>
      </c>
      <c r="K39" s="129">
        <f>'7F'!P39-'7P'!P39</f>
        <v>-1.9000000000000004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'7F'!G40-'7P'!G40</f>
        <v>355</v>
      </c>
      <c r="C40" s="129" t="s">
        <v>9</v>
      </c>
      <c r="D40" s="129" t="s">
        <v>9</v>
      </c>
      <c r="E40" s="129">
        <f>'7F'!J40-'7P'!J40</f>
        <v>-2.8</v>
      </c>
      <c r="F40" s="129">
        <f>'7F'!K40-'7P'!K40</f>
        <v>4.6000000000000014</v>
      </c>
      <c r="G40" s="129">
        <f>'7F'!L40-'7P'!L40</f>
        <v>406.20000000000073</v>
      </c>
      <c r="H40" s="129" t="s">
        <v>9</v>
      </c>
      <c r="I40" s="129" t="s">
        <v>9</v>
      </c>
      <c r="J40" s="129">
        <f>'7F'!O40-'7P'!O40</f>
        <v>-4.5999999999999996</v>
      </c>
      <c r="K40" s="129">
        <f>'7F'!P40-'7P'!P40</f>
        <v>4.6000000000000014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'7F'!G41-'7P'!G41</f>
        <v>-451.30000000000109</v>
      </c>
      <c r="C41" s="129" t="s">
        <v>9</v>
      </c>
      <c r="D41" s="129" t="s">
        <v>9</v>
      </c>
      <c r="E41" s="129">
        <f>'7F'!J41-'7P'!J41</f>
        <v>-1.4000000000000004</v>
      </c>
      <c r="F41" s="129">
        <f>'7F'!K41-'7P'!K41</f>
        <v>5.1000000000000014</v>
      </c>
      <c r="G41" s="129">
        <f>'7F'!L41-'7P'!L41</f>
        <v>-486.19999999999982</v>
      </c>
      <c r="H41" s="129" t="s">
        <v>9</v>
      </c>
      <c r="I41" s="129" t="s">
        <v>9</v>
      </c>
      <c r="J41" s="129">
        <f>'7F'!O41-'7P'!O41</f>
        <v>-4.5</v>
      </c>
      <c r="K41" s="129">
        <f>'7F'!P41-'7P'!P41</f>
        <v>5.1000000000000014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'7F'!G42-'7P'!G42</f>
        <v>-780.30000000000109</v>
      </c>
      <c r="C42" s="129" t="s">
        <v>9</v>
      </c>
      <c r="D42" s="129" t="s">
        <v>9</v>
      </c>
      <c r="E42" s="129">
        <f>'7F'!J42-'7P'!J42</f>
        <v>-2.8</v>
      </c>
      <c r="F42" s="129">
        <f>'7F'!K42-'7P'!K42</f>
        <v>-3.1000000000000005</v>
      </c>
      <c r="G42" s="129">
        <f>'7F'!L42-'7P'!L42</f>
        <v>-766</v>
      </c>
      <c r="H42" s="129" t="s">
        <v>9</v>
      </c>
      <c r="I42" s="129" t="s">
        <v>9</v>
      </c>
      <c r="J42" s="129">
        <f>'7F'!O42-'7P'!O42</f>
        <v>-4.3</v>
      </c>
      <c r="K42" s="129">
        <f>'7F'!P42-'7P'!P42</f>
        <v>-3.2000000000000011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'7F'!G43-'7P'!G43</f>
        <v>248.79999999999927</v>
      </c>
      <c r="C43" s="129" t="s">
        <v>9</v>
      </c>
      <c r="D43" s="129" t="s">
        <v>9</v>
      </c>
      <c r="E43" s="129">
        <f>'7F'!J43-'7P'!J43</f>
        <v>-0.99999999999999956</v>
      </c>
      <c r="F43" s="129">
        <f>'7F'!K43-'7P'!K43</f>
        <v>-4.2</v>
      </c>
      <c r="G43" s="129">
        <f>'7F'!L43-'7P'!L43</f>
        <v>251.39999999999964</v>
      </c>
      <c r="H43" s="129" t="s">
        <v>9</v>
      </c>
      <c r="I43" s="129" t="s">
        <v>9</v>
      </c>
      <c r="J43" s="129">
        <f>'7F'!O43-'7P'!O43</f>
        <v>-4.0999999999999996</v>
      </c>
      <c r="K43" s="129">
        <f>'7F'!P43-'7P'!P43</f>
        <v>-4.2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'7F'!G44-'7P'!G44</f>
        <v>-119.39999999999964</v>
      </c>
      <c r="C44" s="129" t="s">
        <v>9</v>
      </c>
      <c r="D44" s="129" t="s">
        <v>9</v>
      </c>
      <c r="E44" s="129">
        <f>'7F'!J44-'7P'!J44</f>
        <v>-1.6</v>
      </c>
      <c r="F44" s="129">
        <f>'7F'!K44-'7P'!K44</f>
        <v>10.700000000000001</v>
      </c>
      <c r="G44" s="129">
        <f>'7F'!L44-'7P'!L44</f>
        <v>-142.69999999999891</v>
      </c>
      <c r="H44" s="129" t="s">
        <v>9</v>
      </c>
      <c r="I44" s="129" t="s">
        <v>9</v>
      </c>
      <c r="J44" s="129">
        <f>'7F'!O44-'7P'!O44</f>
        <v>-4.0999999999999996</v>
      </c>
      <c r="K44" s="129">
        <f>'7F'!P44-'7P'!P44</f>
        <v>10.6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'7F'!G45-'7P'!G45</f>
        <v>216.79999999999927</v>
      </c>
      <c r="C45" s="129" t="s">
        <v>9</v>
      </c>
      <c r="D45" s="129" t="s">
        <v>9</v>
      </c>
      <c r="E45" s="129">
        <f>'7F'!J45-'7P'!J45</f>
        <v>0.90000000000000036</v>
      </c>
      <c r="F45" s="129">
        <f>'7F'!K45-'7P'!K45</f>
        <v>11.1</v>
      </c>
      <c r="G45" s="129">
        <f>'7F'!L45-'7P'!L45</f>
        <v>204.89999999999964</v>
      </c>
      <c r="H45" s="129" t="s">
        <v>9</v>
      </c>
      <c r="I45" s="129" t="s">
        <v>9</v>
      </c>
      <c r="J45" s="129">
        <f>'7F'!O45-'7P'!O45</f>
        <v>-4.0999999999999996</v>
      </c>
      <c r="K45" s="129">
        <f>'7F'!P45-'7P'!P45</f>
        <v>10.700000000000001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'7F'!G46-'7P'!G46</f>
        <v>261.89999999999964</v>
      </c>
      <c r="C46" s="129" t="s">
        <v>9</v>
      </c>
      <c r="D46" s="129" t="s">
        <v>9</v>
      </c>
      <c r="E46" s="129">
        <f>'7F'!J46-'7P'!J46</f>
        <v>-0.19999999999999973</v>
      </c>
      <c r="F46" s="129">
        <f>'7F'!K46-'7P'!K46</f>
        <v>-9.5</v>
      </c>
      <c r="G46" s="129">
        <f>'7F'!L46-'7P'!L46</f>
        <v>237.79999999999927</v>
      </c>
      <c r="H46" s="129" t="s">
        <v>9</v>
      </c>
      <c r="I46" s="129" t="s">
        <v>9</v>
      </c>
      <c r="J46" s="129">
        <f>'7F'!O46-'7P'!O46</f>
        <v>-4.0999999999999996</v>
      </c>
      <c r="K46" s="129">
        <f>'7F'!P46-'7P'!P46</f>
        <v>-9.5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'7F'!G47-'7P'!G47</f>
        <v>487.89999999999964</v>
      </c>
      <c r="C47" s="129" t="s">
        <v>9</v>
      </c>
      <c r="D47" s="129" t="s">
        <v>9</v>
      </c>
      <c r="E47" s="129">
        <f>'7F'!J47-'7P'!J47</f>
        <v>-0.99999999999999956</v>
      </c>
      <c r="F47" s="129">
        <f>'7F'!K47-'7P'!K47</f>
        <v>7.2000000000000011</v>
      </c>
      <c r="G47" s="129">
        <f>'7F'!L47-'7P'!L47</f>
        <v>484.59999999999854</v>
      </c>
      <c r="H47" s="129" t="s">
        <v>9</v>
      </c>
      <c r="I47" s="129" t="s">
        <v>9</v>
      </c>
      <c r="J47" s="129">
        <f>'7F'!O47-'7P'!O47</f>
        <v>-4.0999999999999996</v>
      </c>
      <c r="K47" s="129">
        <f>'7F'!P47-'7P'!P47</f>
        <v>7.2999999999999989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'7F'!G48-'7P'!G48</f>
        <v>329.79999999999927</v>
      </c>
      <c r="C48" s="129" t="s">
        <v>9</v>
      </c>
      <c r="D48" s="129" t="s">
        <v>9</v>
      </c>
      <c r="E48" s="129">
        <f>'7F'!J48-'7P'!J48</f>
        <v>-2.8</v>
      </c>
      <c r="F48" s="129">
        <f>'7F'!K48-'7P'!K48</f>
        <v>18.899999999999999</v>
      </c>
      <c r="G48" s="129">
        <f>'7F'!L48-'7P'!L48</f>
        <v>315.20000000000073</v>
      </c>
      <c r="H48" s="129" t="s">
        <v>9</v>
      </c>
      <c r="I48" s="129" t="s">
        <v>9</v>
      </c>
      <c r="J48" s="129">
        <f>'7F'!O48-'7P'!O48</f>
        <v>-4</v>
      </c>
      <c r="K48" s="129">
        <f>'7F'!P48-'7P'!P48</f>
        <v>18.899999999999999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'7F'!G49-'7P'!G49</f>
        <v>1627.5999999999985</v>
      </c>
      <c r="C49" s="129" t="s">
        <v>9</v>
      </c>
      <c r="D49" s="129" t="s">
        <v>9</v>
      </c>
      <c r="E49" s="129">
        <f>'7F'!J49-'7P'!J49</f>
        <v>-3.4000000000000004</v>
      </c>
      <c r="F49" s="129">
        <f>'7F'!K49-'7P'!K49</f>
        <v>4.8999999999999986</v>
      </c>
      <c r="G49" s="129">
        <f>'7F'!L49-'7P'!L49</f>
        <v>1619.8000000000011</v>
      </c>
      <c r="H49" s="129" t="s">
        <v>9</v>
      </c>
      <c r="I49" s="129" t="s">
        <v>9</v>
      </c>
      <c r="J49" s="129">
        <f>'7F'!O49-'7P'!O49</f>
        <v>-3.7</v>
      </c>
      <c r="K49" s="129">
        <f>'7F'!P49-'7P'!P49</f>
        <v>4.8000000000000007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'7F'!G50-'7P'!G50</f>
        <v>2849.8999999999996</v>
      </c>
      <c r="C50" s="129" t="s">
        <v>9</v>
      </c>
      <c r="D50" s="129" t="s">
        <v>9</v>
      </c>
      <c r="E50" s="129">
        <f>'7F'!J50-'7P'!J50</f>
        <v>-1.7</v>
      </c>
      <c r="F50" s="129">
        <f>'7F'!K50-'7P'!K50</f>
        <v>-12.4</v>
      </c>
      <c r="G50" s="129">
        <f>'7F'!L50-'7P'!L50</f>
        <v>2850</v>
      </c>
      <c r="H50" s="129" t="s">
        <v>9</v>
      </c>
      <c r="I50" s="129" t="s">
        <v>9</v>
      </c>
      <c r="J50" s="129">
        <f>'7F'!O50-'7P'!O50</f>
        <v>-3.5</v>
      </c>
      <c r="K50" s="129">
        <f>'7F'!P50-'7P'!P50</f>
        <v>-12.4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'7F'!G51-'7P'!G51</f>
        <v>3118.3000000000011</v>
      </c>
      <c r="C51" s="129" t="s">
        <v>9</v>
      </c>
      <c r="D51" s="129" t="s">
        <v>9</v>
      </c>
      <c r="E51" s="129">
        <f>'7F'!J51-'7P'!J51</f>
        <v>-3.3</v>
      </c>
      <c r="F51" s="129">
        <f>'7F'!K51-'7P'!K51</f>
        <v>-2.9000000000000004</v>
      </c>
      <c r="G51" s="129">
        <f>'7F'!L51-'7P'!L51</f>
        <v>3118.3000000000011</v>
      </c>
      <c r="H51" s="129" t="s">
        <v>9</v>
      </c>
      <c r="I51" s="129" t="s">
        <v>9</v>
      </c>
      <c r="J51" s="129">
        <f>'7F'!O51-'7P'!O51</f>
        <v>-3.3</v>
      </c>
      <c r="K51" s="129">
        <f>'7F'!P51-'7P'!P51</f>
        <v>-2.9000000000000004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'7F'!G52-'7P'!G52</f>
        <v>2088.6000000000004</v>
      </c>
      <c r="C52" s="129" t="s">
        <v>9</v>
      </c>
      <c r="D52" s="129" t="s">
        <v>9</v>
      </c>
      <c r="E52" s="129">
        <f>'7F'!J52-'7P'!J52</f>
        <v>-3</v>
      </c>
      <c r="F52" s="129">
        <f>'7F'!K52-'7P'!K52</f>
        <v>2.3999999999999986</v>
      </c>
      <c r="G52" s="129">
        <f>'7F'!L52-'7P'!L52</f>
        <v>2084.5</v>
      </c>
      <c r="H52" s="129" t="s">
        <v>9</v>
      </c>
      <c r="I52" s="129" t="s">
        <v>9</v>
      </c>
      <c r="J52" s="129">
        <f>'7F'!O52-'7P'!O52</f>
        <v>-3</v>
      </c>
      <c r="K52" s="129">
        <f>'7F'!P52-'7P'!P52</f>
        <v>2.3999999999999986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'7F'!G53-'7P'!G53</f>
        <v>3610.7000000000007</v>
      </c>
      <c r="C53" s="129" t="s">
        <v>9</v>
      </c>
      <c r="D53" s="129" t="s">
        <v>9</v>
      </c>
      <c r="E53" s="129">
        <f>'7F'!J53-'7P'!J53</f>
        <v>-2.7</v>
      </c>
      <c r="F53" s="129">
        <f>'7F'!K53-'7P'!K53</f>
        <v>-12.600000000000001</v>
      </c>
      <c r="G53" s="129">
        <f>'7F'!L53-'7P'!L53</f>
        <v>3669.2000000000007</v>
      </c>
      <c r="H53" s="129" t="s">
        <v>9</v>
      </c>
      <c r="I53" s="129" t="s">
        <v>9</v>
      </c>
      <c r="J53" s="129">
        <f>'7F'!O53-'7P'!O53</f>
        <v>-2.7</v>
      </c>
      <c r="K53" s="129">
        <f>'7F'!P53-'7P'!P53</f>
        <v>-12.600000000000001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'7F'!G54-'7P'!G54</f>
        <v>4770.9000000000015</v>
      </c>
      <c r="C54" s="129" t="s">
        <v>9</v>
      </c>
      <c r="D54" s="129" t="s">
        <v>9</v>
      </c>
      <c r="E54" s="129" t="s">
        <v>9</v>
      </c>
      <c r="F54" s="129">
        <f>'7F'!K54-'7P'!K54</f>
        <v>13.8</v>
      </c>
      <c r="G54" s="129">
        <f>'7F'!L54-'7P'!L54</f>
        <v>4809.3000000000011</v>
      </c>
      <c r="H54" s="129" t="s">
        <v>9</v>
      </c>
      <c r="I54" s="129" t="s">
        <v>9</v>
      </c>
      <c r="J54" s="129" t="s">
        <v>9</v>
      </c>
      <c r="K54" s="129">
        <f>'7F'!P54-'7P'!P54</f>
        <v>13.899999999999999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'7F'!G55-'7P'!G55</f>
        <v>3867.5</v>
      </c>
      <c r="C55" s="129" t="s">
        <v>9</v>
      </c>
      <c r="D55" s="129" t="s">
        <v>9</v>
      </c>
      <c r="E55" s="129" t="s">
        <v>9</v>
      </c>
      <c r="F55" s="129">
        <f>'7F'!K55-'7P'!K55</f>
        <v>10.600000000000001</v>
      </c>
      <c r="G55" s="129">
        <f>'7F'!L55-'7P'!L55</f>
        <v>3877.1000000000004</v>
      </c>
      <c r="H55" s="129" t="s">
        <v>9</v>
      </c>
      <c r="I55" s="129" t="s">
        <v>9</v>
      </c>
      <c r="J55" s="129" t="s">
        <v>9</v>
      </c>
      <c r="K55" s="129">
        <f>'7F'!P55-'7P'!P55</f>
        <v>10.8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'7F'!G56-'7P'!G56</f>
        <v>2783.8999999999996</v>
      </c>
      <c r="C56" s="129" t="s">
        <v>9</v>
      </c>
      <c r="D56" s="129" t="s">
        <v>9</v>
      </c>
      <c r="E56" s="129" t="s">
        <v>9</v>
      </c>
      <c r="F56" s="129">
        <f>'7F'!K56-'7P'!K56</f>
        <v>5.2999999999999989</v>
      </c>
      <c r="G56" s="129">
        <f>'7F'!L56-'7P'!L56</f>
        <v>2801.7999999999993</v>
      </c>
      <c r="H56" s="129" t="s">
        <v>9</v>
      </c>
      <c r="I56" s="129" t="s">
        <v>9</v>
      </c>
      <c r="J56" s="129" t="s">
        <v>9</v>
      </c>
      <c r="K56" s="129">
        <f>'7F'!P56-'7P'!P56</f>
        <v>5.4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'7F'!G57-'7P'!G57</f>
        <v>2350.8000000000011</v>
      </c>
      <c r="C57" s="129" t="s">
        <v>9</v>
      </c>
      <c r="D57" s="129" t="s">
        <v>9</v>
      </c>
      <c r="E57" s="129" t="s">
        <v>9</v>
      </c>
      <c r="F57" s="129">
        <f>'7F'!K57-'7P'!K57</f>
        <v>0</v>
      </c>
      <c r="G57" s="129">
        <f>'7F'!L57-'7P'!L57</f>
        <v>2388.2999999999993</v>
      </c>
      <c r="H57" s="129" t="s">
        <v>9</v>
      </c>
      <c r="I57" s="129" t="s">
        <v>9</v>
      </c>
      <c r="J57" s="129" t="s">
        <v>9</v>
      </c>
      <c r="K57" s="129">
        <f>'7F'!P57-'7P'!P57</f>
        <v>0.20000000000000107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F60" si="0">((B57/B28)^(1/29)-1)*100</f>
        <v>4.1451885376959874</v>
      </c>
      <c r="C60" s="11" t="s">
        <v>10</v>
      </c>
      <c r="D60" s="11" t="s">
        <v>10</v>
      </c>
      <c r="E60" s="11" t="s">
        <v>10</v>
      </c>
      <c r="F60" s="11">
        <f t="shared" si="0"/>
        <v>-100</v>
      </c>
      <c r="G60" s="11">
        <f>((G57/G28)^(1/29)-1)*100</f>
        <v>3.6911285633777435</v>
      </c>
      <c r="H60" s="11" t="s">
        <v>10</v>
      </c>
      <c r="I60" s="11" t="s">
        <v>10</v>
      </c>
      <c r="J60" s="11" t="s">
        <v>10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F61" si="1">((B33/B28)^(1/5)-1)*100</f>
        <v>19.424315079890398</v>
      </c>
      <c r="C61" s="11" t="s">
        <v>10</v>
      </c>
      <c r="D61" s="11" t="s">
        <v>10</v>
      </c>
      <c r="E61" s="11">
        <f t="shared" si="1"/>
        <v>15.578962436501453</v>
      </c>
      <c r="F61" s="11">
        <f t="shared" si="1"/>
        <v>51.571656651039397</v>
      </c>
      <c r="G61" s="11">
        <f>((G33/G28)^(1/5)-1)*100</f>
        <v>18.740479880601168</v>
      </c>
      <c r="H61" s="11" t="s">
        <v>10</v>
      </c>
      <c r="I61" s="11" t="s">
        <v>10</v>
      </c>
      <c r="J61" s="11" t="s">
        <v>10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F62" si="2">((B44/B33)^(1/11)-1)*100</f>
        <v>-178.30790985228242</v>
      </c>
      <c r="C62" s="11" t="s">
        <v>10</v>
      </c>
      <c r="D62" s="11" t="s">
        <v>10</v>
      </c>
      <c r="E62" s="11">
        <f t="shared" si="2"/>
        <v>-6.3692006331564466</v>
      </c>
      <c r="F62" s="11">
        <f t="shared" si="2"/>
        <v>26.587360562894148</v>
      </c>
      <c r="G62" s="11">
        <f>((G44/G33)^(1/11)-1)*100</f>
        <v>-178.76799227029915</v>
      </c>
      <c r="H62" s="11" t="s">
        <v>10</v>
      </c>
      <c r="I62" s="11" t="s">
        <v>10</v>
      </c>
      <c r="J62" s="11" t="s">
        <v>10</v>
      </c>
      <c r="K62" s="11">
        <f t="shared" ref="K62" si="3">((K44/K33)^(1/11)-1)*100</f>
        <v>23.939466992820748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-259.37354172727447</v>
      </c>
      <c r="C63" s="11" t="s">
        <v>10</v>
      </c>
      <c r="D63" s="11" t="s">
        <v>10</v>
      </c>
      <c r="E63" s="11">
        <f t="shared" ref="E63:K63" si="4">((E51/E44)^(1/7)-1)*100</f>
        <v>10.895372091419929</v>
      </c>
      <c r="F63" s="11">
        <f t="shared" si="4"/>
        <v>-182.98546492396386</v>
      </c>
      <c r="G63" s="11">
        <f t="shared" si="4"/>
        <v>-255.36610368484722</v>
      </c>
      <c r="H63" s="11" t="s">
        <v>10</v>
      </c>
      <c r="I63" s="11" t="s">
        <v>10</v>
      </c>
      <c r="J63" s="11">
        <f t="shared" si="4"/>
        <v>-3.0533360633155926</v>
      </c>
      <c r="K63" s="11">
        <f t="shared" si="4"/>
        <v>-183.09685561201371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-4.5997239846713001</v>
      </c>
      <c r="C64" s="11" t="s">
        <v>10</v>
      </c>
      <c r="D64" s="11" t="s">
        <v>10</v>
      </c>
      <c r="E64" s="11" t="s">
        <v>10</v>
      </c>
      <c r="F64" s="11">
        <f t="shared" ref="F64:G64" si="5">((F57/F51)^(1/6)-1)*100</f>
        <v>-100</v>
      </c>
      <c r="G64" s="11">
        <f t="shared" si="5"/>
        <v>-4.3477557877549593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F65" si="6">((B57/B44)^(1/13)-1)*100</f>
        <v>-225.76353021762134</v>
      </c>
      <c r="C65" s="11" t="s">
        <v>10</v>
      </c>
      <c r="D65" s="11" t="s">
        <v>10</v>
      </c>
      <c r="E65" s="11" t="s">
        <v>10</v>
      </c>
      <c r="F65" s="11">
        <f t="shared" si="6"/>
        <v>-100</v>
      </c>
      <c r="G65" s="11">
        <f>((G57/G44)^(1/13)-1)*100</f>
        <v>-224.20185140237078</v>
      </c>
      <c r="H65" s="11" t="s">
        <v>10</v>
      </c>
      <c r="I65" s="11" t="s">
        <v>10</v>
      </c>
      <c r="J65" s="11" t="s">
        <v>10</v>
      </c>
      <c r="K65" s="11">
        <f t="shared" ref="K65" si="7">((K57/K44)^(1/13)-1)*100</f>
        <v>-26.317662555712406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20">
      <c r="A68" s="229" t="s">
        <v>56</v>
      </c>
      <c r="B68" s="229"/>
      <c r="C68" s="229"/>
      <c r="D68" s="229"/>
      <c r="E68" s="229"/>
      <c r="F68" s="229"/>
      <c r="G68" s="231"/>
      <c r="H68" s="132"/>
      <c r="I68" s="132"/>
      <c r="J68" s="132"/>
      <c r="K68" s="132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62</v>
      </c>
      <c r="B70" s="229"/>
      <c r="C70" s="229"/>
      <c r="D70" s="229"/>
      <c r="E70" s="229"/>
      <c r="F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8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51"/>
  <sheetViews>
    <sheetView view="pageBreakPreview" topLeftCell="A10" zoomScaleNormal="100" zoomScaleSheetLayoutView="100" workbookViewId="0">
      <selection activeCell="B2" sqref="B2:K2"/>
    </sheetView>
  </sheetViews>
  <sheetFormatPr defaultRowHeight="15"/>
  <cols>
    <col min="1" max="1" width="9.140625" style="3"/>
    <col min="2" max="3" width="9.140625" style="3" customWidth="1"/>
    <col min="4" max="4" width="8.28515625" style="3" bestFit="1" customWidth="1"/>
    <col min="5" max="5" width="8.5703125" style="3" bestFit="1" customWidth="1"/>
    <col min="6" max="8" width="8.5703125" style="3" customWidth="1"/>
    <col min="9" max="11" width="9.140625" style="3" customWidth="1"/>
    <col min="12" max="12" width="9.5703125" style="3" bestFit="1" customWidth="1"/>
    <col min="13" max="15" width="9.28515625" style="3" bestFit="1" customWidth="1"/>
    <col min="16" max="18" width="9.28515625" style="3" customWidth="1"/>
    <col min="19" max="21" width="9.28515625" style="3" bestFit="1" customWidth="1"/>
    <col min="22" max="23" width="9.140625" style="3"/>
    <col min="24" max="46" width="0" style="3" hidden="1" customWidth="1"/>
    <col min="47" max="16384" width="9.140625" style="3"/>
  </cols>
  <sheetData>
    <row r="1" spans="1:39" ht="15" customHeight="1">
      <c r="A1" s="454" t="s">
        <v>163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</row>
    <row r="2" spans="1:39" ht="15" customHeight="1">
      <c r="A2" s="1"/>
      <c r="B2" s="454" t="s">
        <v>0</v>
      </c>
      <c r="C2" s="454"/>
      <c r="D2" s="454"/>
      <c r="E2" s="454"/>
      <c r="F2" s="454"/>
      <c r="G2" s="454"/>
      <c r="H2" s="454"/>
      <c r="I2" s="454"/>
      <c r="J2" s="454"/>
      <c r="K2" s="454"/>
      <c r="L2" s="454" t="s">
        <v>1</v>
      </c>
      <c r="M2" s="454"/>
      <c r="N2" s="454"/>
      <c r="O2" s="454"/>
      <c r="P2" s="454"/>
      <c r="Q2" s="454"/>
      <c r="R2" s="454"/>
      <c r="S2" s="454"/>
      <c r="T2" s="454"/>
      <c r="U2" s="454"/>
    </row>
    <row r="3" spans="1:39" ht="150">
      <c r="A3" s="63"/>
      <c r="B3" s="63" t="s">
        <v>2</v>
      </c>
      <c r="C3" s="63" t="s">
        <v>8</v>
      </c>
      <c r="D3" s="63" t="s">
        <v>3</v>
      </c>
      <c r="E3" s="63" t="s">
        <v>4</v>
      </c>
      <c r="F3" s="63" t="s">
        <v>36</v>
      </c>
      <c r="G3" s="63" t="s">
        <v>37</v>
      </c>
      <c r="H3" s="63" t="s">
        <v>38</v>
      </c>
      <c r="I3" s="63" t="s">
        <v>5</v>
      </c>
      <c r="J3" s="63" t="s">
        <v>6</v>
      </c>
      <c r="K3" s="63" t="s">
        <v>7</v>
      </c>
      <c r="L3" s="63" t="s">
        <v>2</v>
      </c>
      <c r="M3" s="63" t="s">
        <v>8</v>
      </c>
      <c r="N3" s="63" t="s">
        <v>3</v>
      </c>
      <c r="O3" s="63" t="s">
        <v>4</v>
      </c>
      <c r="P3" s="63" t="s">
        <v>36</v>
      </c>
      <c r="Q3" s="63" t="s">
        <v>37</v>
      </c>
      <c r="R3" s="63" t="s">
        <v>38</v>
      </c>
      <c r="S3" s="63" t="s">
        <v>5</v>
      </c>
      <c r="T3" s="63" t="s">
        <v>6</v>
      </c>
      <c r="U3" s="63" t="s">
        <v>7</v>
      </c>
    </row>
    <row r="4" spans="1:39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X4" s="4" t="s">
        <v>24</v>
      </c>
    </row>
    <row r="5" spans="1:39">
      <c r="A5" s="63">
        <v>1984</v>
      </c>
      <c r="B5" s="62">
        <f>('1B'!B5/'1B'!$B5)*100</f>
        <v>100</v>
      </c>
      <c r="C5" s="62">
        <f>('1B'!C5/'1B'!$B5)*100</f>
        <v>1.9589587074290422</v>
      </c>
      <c r="D5" s="62">
        <f>('1B'!D5/'1B'!$B5)*100</f>
        <v>0.31735764003390043</v>
      </c>
      <c r="E5" s="62">
        <f>('1B'!E5/'1B'!$B5)*100</f>
        <v>0.36052435533169064</v>
      </c>
      <c r="F5" s="62" t="s">
        <v>10</v>
      </c>
      <c r="G5" s="62" t="s">
        <v>10</v>
      </c>
      <c r="H5" s="62" t="s">
        <v>10</v>
      </c>
      <c r="I5" s="62">
        <f>('1B'!I5/'1B'!$B5)*100</f>
        <v>1.2810767120634512</v>
      </c>
      <c r="J5" s="62">
        <f>('1B'!J5/'1B'!$B5)*100</f>
        <v>0.83307962866497753</v>
      </c>
      <c r="K5" s="62">
        <f>('1B'!K5/'1B'!$B5)*100</f>
        <v>0.44799708339847372</v>
      </c>
      <c r="L5" s="62">
        <f>('1B'!L5/'1B'!$L5)*100</f>
        <v>100</v>
      </c>
      <c r="M5" s="62">
        <f>('1B'!M5/'1B'!$L5)*100</f>
        <v>1.7143637865241121</v>
      </c>
      <c r="N5" s="62">
        <f>('1B'!N5/'1B'!$L5)*100</f>
        <v>0.13585703076843275</v>
      </c>
      <c r="O5" s="62">
        <f>('1B'!O5/'1B'!$L5)*100</f>
        <v>0.36686821805292896</v>
      </c>
      <c r="P5" s="62" t="s">
        <v>10</v>
      </c>
      <c r="Q5" s="62" t="s">
        <v>10</v>
      </c>
      <c r="R5" s="62" t="s">
        <v>10</v>
      </c>
      <c r="S5" s="62">
        <f>('1B'!S5/'1B'!$L5)*100</f>
        <v>1.2116385377027505</v>
      </c>
      <c r="T5" s="62">
        <f>('1B'!T5/'1B'!$L5)*100</f>
        <v>0.66823223649373176</v>
      </c>
      <c r="U5" s="62">
        <f>('1B'!U5/'1B'!$L5)*100</f>
        <v>0.54340630120901878</v>
      </c>
      <c r="X5" s="3" t="s">
        <v>2</v>
      </c>
      <c r="Y5" s="3" t="s">
        <v>8</v>
      </c>
      <c r="Z5" s="3" t="s">
        <v>3</v>
      </c>
      <c r="AA5" s="3" t="s">
        <v>4</v>
      </c>
      <c r="AB5" s="3" t="s">
        <v>5</v>
      </c>
      <c r="AC5" s="3" t="s">
        <v>6</v>
      </c>
      <c r="AD5" s="3" t="s">
        <v>7</v>
      </c>
      <c r="AF5" s="4" t="s">
        <v>26</v>
      </c>
      <c r="AG5" s="3" t="s">
        <v>2</v>
      </c>
      <c r="AH5" s="3" t="s">
        <v>23</v>
      </c>
      <c r="AI5" s="3" t="s">
        <v>3</v>
      </c>
      <c r="AJ5" s="3" t="s">
        <v>4</v>
      </c>
      <c r="AK5" s="3" t="s">
        <v>5</v>
      </c>
      <c r="AL5" s="3" t="s">
        <v>6</v>
      </c>
      <c r="AM5" s="3" t="s">
        <v>7</v>
      </c>
    </row>
    <row r="6" spans="1:39">
      <c r="A6" s="63">
        <v>1985</v>
      </c>
      <c r="B6" s="62">
        <f>('1B'!B6/'1B'!$B6)*100</f>
        <v>100</v>
      </c>
      <c r="C6" s="62">
        <f>('1B'!C6/'1B'!$B6)*100</f>
        <v>1.8381347493228273</v>
      </c>
      <c r="D6" s="62">
        <f>('1B'!D6/'1B'!$B6)*100</f>
        <v>0.27475925178619642</v>
      </c>
      <c r="E6" s="62">
        <f>('1B'!E6/'1B'!$B6)*100</f>
        <v>0.385371334341713</v>
      </c>
      <c r="F6" s="62" t="s">
        <v>10</v>
      </c>
      <c r="G6" s="62" t="s">
        <v>10</v>
      </c>
      <c r="H6" s="62" t="s">
        <v>10</v>
      </c>
      <c r="I6" s="62">
        <f>('1B'!I6/'1B'!$B6)*100</f>
        <v>1.1780041631949183</v>
      </c>
      <c r="J6" s="62">
        <f>('1B'!J6/'1B'!$B6)*100</f>
        <v>0.74066547248197823</v>
      </c>
      <c r="K6" s="62">
        <f>('1B'!K6/'1B'!$B6)*100</f>
        <v>0.43733869071293996</v>
      </c>
      <c r="L6" s="62">
        <f>('1B'!L6/'1B'!$L6)*100</f>
        <v>100</v>
      </c>
      <c r="M6" s="62">
        <f>('1B'!M6/'1B'!$L6)*100</f>
        <v>1.5299639963151319</v>
      </c>
      <c r="N6" s="62">
        <f>('1B'!N6/'1B'!$L6)*100</f>
        <v>0.13547936478218364</v>
      </c>
      <c r="O6" s="62">
        <f>('1B'!O6/'1B'!$L6)*100</f>
        <v>0.30019037123515591</v>
      </c>
      <c r="P6" s="62" t="s">
        <v>10</v>
      </c>
      <c r="Q6" s="62" t="s">
        <v>10</v>
      </c>
      <c r="R6" s="62" t="s">
        <v>10</v>
      </c>
      <c r="S6" s="62">
        <f>('1B'!S6/'1B'!$L6)*100</f>
        <v>1.0942942602977923</v>
      </c>
      <c r="T6" s="62">
        <f>('1B'!T6/'1B'!$L6)*100</f>
        <v>0.59447605024570405</v>
      </c>
      <c r="U6" s="62">
        <f>('1B'!U6/'1B'!$L6)*100</f>
        <v>0.49981821005208837</v>
      </c>
      <c r="X6" s="3">
        <f>((L6/L5)-1)*100</f>
        <v>0</v>
      </c>
      <c r="Y6" s="3">
        <f>((M6/M5)-1)*100</f>
        <v>-10.756164570114512</v>
      </c>
      <c r="Z6" s="3">
        <f>((N6/N5)-1)*100</f>
        <v>-0.2779878112402101</v>
      </c>
      <c r="AA6" s="3">
        <f>((O6/O5)-1)*100</f>
        <v>-18.174876845874198</v>
      </c>
      <c r="AB6" s="3">
        <f t="shared" ref="AB6:AD21" si="0">((S6/S5)-1)*100</f>
        <v>-9.6847594190459851</v>
      </c>
      <c r="AC6" s="3">
        <f t="shared" si="0"/>
        <v>-11.037507953078162</v>
      </c>
      <c r="AD6" s="3">
        <f t="shared" si="0"/>
        <v>-8.0212708354599034</v>
      </c>
      <c r="AF6" s="3" t="s">
        <v>21</v>
      </c>
      <c r="AG6" s="3">
        <f>((L29/L21)^(1/8)-1)*100</f>
        <v>0</v>
      </c>
      <c r="AH6" s="3">
        <f>((M29/M21)^(1/8)-1)*100</f>
        <v>-4.7729407967551873</v>
      </c>
      <c r="AI6" s="3">
        <f>((N29/N21)^(1/8)-1)*100</f>
        <v>-7.7574664244760001</v>
      </c>
      <c r="AJ6" s="3">
        <f>((O29/O21)^(1/8)-1)*100</f>
        <v>-2.9015434106491989</v>
      </c>
      <c r="AK6" s="3">
        <f t="shared" ref="AK6:AM6" si="1">((S29/S21)^(1/8)-1)*100</f>
        <v>-5.0325140869044604</v>
      </c>
      <c r="AL6" s="3">
        <f t="shared" si="1"/>
        <v>-7.116809129019841</v>
      </c>
      <c r="AM6" s="3">
        <f t="shared" si="1"/>
        <v>-2.5193162291295534</v>
      </c>
    </row>
    <row r="7" spans="1:39">
      <c r="A7" s="63">
        <v>1986</v>
      </c>
      <c r="B7" s="62">
        <f>('1B'!B7/'1B'!$B7)*100</f>
        <v>100</v>
      </c>
      <c r="C7" s="62" t="s">
        <v>10</v>
      </c>
      <c r="D7" s="62">
        <f>('1B'!D7/'1B'!$B7)*100</f>
        <v>0.27545325542394428</v>
      </c>
      <c r="E7" s="62" t="s">
        <v>10</v>
      </c>
      <c r="F7" s="62" t="s">
        <v>10</v>
      </c>
      <c r="G7" s="62" t="s">
        <v>10</v>
      </c>
      <c r="H7" s="62" t="s">
        <v>10</v>
      </c>
      <c r="I7" s="62">
        <f>('1B'!I7/'1B'!$B7)*100</f>
        <v>1.1878855552524337</v>
      </c>
      <c r="J7" s="62">
        <f>('1B'!J7/'1B'!$B7)*100</f>
        <v>0.7833763696001117</v>
      </c>
      <c r="K7" s="62">
        <f>('1B'!K7/'1B'!$B7)*100</f>
        <v>0.40450918565232202</v>
      </c>
      <c r="L7" s="62">
        <f>('1B'!L7/'1B'!$L7)*100</f>
        <v>100</v>
      </c>
      <c r="M7" s="62" t="s">
        <v>10</v>
      </c>
      <c r="N7" s="62">
        <f>('1B'!N7/'1B'!$L7)*100</f>
        <v>0.12548210961257272</v>
      </c>
      <c r="O7" s="62" t="s">
        <v>10</v>
      </c>
      <c r="P7" s="62" t="s">
        <v>10</v>
      </c>
      <c r="Q7" s="62" t="s">
        <v>10</v>
      </c>
      <c r="R7" s="62" t="s">
        <v>10</v>
      </c>
      <c r="S7" s="62">
        <f>('1B'!S7/'1B'!$L7)*100</f>
        <v>1.0719145439165301</v>
      </c>
      <c r="T7" s="62">
        <f>('1B'!T7/'1B'!$L7)*100</f>
        <v>0.59537702477741417</v>
      </c>
      <c r="U7" s="62">
        <f>('1B'!U7/'1B'!$L7)*100</f>
        <v>0.47653751913911585</v>
      </c>
      <c r="X7" s="3">
        <f t="shared" ref="X7:Y34" si="2">((L7/L6)-1)*100</f>
        <v>0</v>
      </c>
      <c r="Z7" s="3">
        <f t="shared" ref="Z7:AA34" si="3">((N7/N6)-1)*100</f>
        <v>-7.379171865533884</v>
      </c>
      <c r="AB7" s="3">
        <f t="shared" si="0"/>
        <v>-2.0451278228556191</v>
      </c>
      <c r="AC7" s="3">
        <f t="shared" si="0"/>
        <v>0.15155775095359036</v>
      </c>
      <c r="AD7" s="3">
        <f t="shared" si="0"/>
        <v>-4.6578316765502281</v>
      </c>
      <c r="AF7" s="3" t="s">
        <v>22</v>
      </c>
      <c r="AG7" s="3">
        <f>((L34/L29)^(1/5)-1)*100</f>
        <v>0</v>
      </c>
      <c r="AH7" s="3">
        <f>((M34/M29)^(1/5)-1)*100</f>
        <v>-5.9935076149328026</v>
      </c>
      <c r="AI7" s="3">
        <f>((N34/N29)^(1/5)-1)*100</f>
        <v>-6.4442782782666015</v>
      </c>
      <c r="AJ7" s="3">
        <f>((O34/O29)^(1/5)-1)*100</f>
        <v>-5.5343669042787536</v>
      </c>
      <c r="AK7" s="3">
        <f t="shared" ref="AK7:AM7" si="4">((S34/S29)^(1/5)-1)*100</f>
        <v>-6.1479422043516081</v>
      </c>
      <c r="AL7" s="3">
        <f t="shared" si="4"/>
        <v>-10.78632761776095</v>
      </c>
      <c r="AM7" s="3">
        <f t="shared" si="4"/>
        <v>-3.3886072178817561</v>
      </c>
    </row>
    <row r="8" spans="1:39">
      <c r="A8" s="63">
        <v>1987</v>
      </c>
      <c r="B8" s="62">
        <f>('1B'!B8/'1B'!$B8)*100</f>
        <v>100</v>
      </c>
      <c r="C8" s="62">
        <f>('1B'!C8/'1B'!$B8)*100</f>
        <v>1.8951526262569705</v>
      </c>
      <c r="D8" s="62">
        <f>('1B'!D8/'1B'!$B8)*100</f>
        <v>0.25726833288110385</v>
      </c>
      <c r="E8" s="62">
        <f>('1B'!E8/'1B'!$B8)*100</f>
        <v>0.37494371058843906</v>
      </c>
      <c r="F8" s="62" t="s">
        <v>10</v>
      </c>
      <c r="G8" s="62" t="s">
        <v>10</v>
      </c>
      <c r="H8" s="62" t="s">
        <v>10</v>
      </c>
      <c r="I8" s="62">
        <f>('1B'!I8/'1B'!$B8)*100</f>
        <v>1.2629405827874276</v>
      </c>
      <c r="J8" s="62">
        <f>('1B'!J8/'1B'!$B8)*100</f>
        <v>0.87081693702333451</v>
      </c>
      <c r="K8" s="62">
        <f>('1B'!K8/'1B'!$B8)*100</f>
        <v>0.39212364576409309</v>
      </c>
      <c r="L8" s="62">
        <f>('1B'!L8/'1B'!$L8)*100</f>
        <v>100</v>
      </c>
      <c r="M8" s="62">
        <f>('1B'!M8/'1B'!$L8)*100</f>
        <v>1.4481596869303563</v>
      </c>
      <c r="N8" s="62">
        <f>('1B'!N8/'1B'!$L8)*100</f>
        <v>0.12379788513750495</v>
      </c>
      <c r="O8" s="62">
        <f>('1B'!O8/'1B'!$L8)*100</f>
        <v>0.27191721290067328</v>
      </c>
      <c r="P8" s="62" t="s">
        <v>10</v>
      </c>
      <c r="Q8" s="62" t="s">
        <v>10</v>
      </c>
      <c r="R8" s="62" t="s">
        <v>10</v>
      </c>
      <c r="S8" s="62">
        <f>('1B'!S8/'1B'!$L8)*100</f>
        <v>1.0524445888921776</v>
      </c>
      <c r="T8" s="62">
        <f>('1B'!T8/'1B'!$L8)*100</f>
        <v>0.59831958860561052</v>
      </c>
      <c r="U8" s="62">
        <f>('1B'!U8/'1B'!$L8)*100</f>
        <v>0.45412500028656716</v>
      </c>
      <c r="X8" s="3">
        <f t="shared" si="2"/>
        <v>0</v>
      </c>
      <c r="Z8" s="3">
        <f t="shared" si="3"/>
        <v>-1.3422028688136023</v>
      </c>
      <c r="AB8" s="3">
        <f t="shared" si="0"/>
        <v>-1.8163719426003588</v>
      </c>
      <c r="AC8" s="3">
        <f t="shared" si="0"/>
        <v>0.49423536779849009</v>
      </c>
      <c r="AD8" s="3">
        <f t="shared" si="0"/>
        <v>-4.7032013120473337</v>
      </c>
      <c r="AF8" s="3" t="s">
        <v>15</v>
      </c>
      <c r="AG8" s="3">
        <f>((L34/L21)^(1/13)-1)*100</f>
        <v>0</v>
      </c>
      <c r="AH8" s="3">
        <f>((M34/M21)^(1/13)-1)*100</f>
        <v>-5.2442538836680042</v>
      </c>
      <c r="AI8" s="3">
        <f>((N34/N21)^(1/13)-1)*100</f>
        <v>-7.2545896690254574</v>
      </c>
      <c r="AJ8" s="3">
        <f>((O34/O21)^(1/13)-1)*100</f>
        <v>-3.9227418114940349</v>
      </c>
      <c r="AK8" s="3">
        <f t="shared" ref="AK8:AM8" si="5">((S34/S21)^(1/13)-1)*100</f>
        <v>-5.4630852105510774</v>
      </c>
      <c r="AL8" s="3">
        <f t="shared" si="5"/>
        <v>-8.5456933913952593</v>
      </c>
      <c r="AM8" s="3">
        <f t="shared" si="5"/>
        <v>-2.8545807403455803</v>
      </c>
    </row>
    <row r="9" spans="1:39">
      <c r="A9" s="63">
        <v>1988</v>
      </c>
      <c r="B9" s="62">
        <f>('1B'!B9/'1B'!$B9)*100</f>
        <v>100</v>
      </c>
      <c r="C9" s="62" t="s">
        <v>10</v>
      </c>
      <c r="D9" s="62">
        <f>('1B'!D9/'1B'!$B9)*100</f>
        <v>0.24753792006369915</v>
      </c>
      <c r="E9" s="62" t="s">
        <v>10</v>
      </c>
      <c r="F9" s="62" t="s">
        <v>10</v>
      </c>
      <c r="G9" s="62" t="s">
        <v>10</v>
      </c>
      <c r="H9" s="62" t="s">
        <v>10</v>
      </c>
      <c r="I9" s="62">
        <f>('1B'!I9/'1B'!$B9)*100</f>
        <v>1.2555792558932901</v>
      </c>
      <c r="J9" s="62">
        <f>('1B'!J9/'1B'!$B9)*100</f>
        <v>0.88474428517741222</v>
      </c>
      <c r="K9" s="62">
        <f>('1B'!K9/'1B'!$B9)*100</f>
        <v>0.3708349707158779</v>
      </c>
      <c r="L9" s="62">
        <f>('1B'!L9/'1B'!$L9)*100</f>
        <v>100</v>
      </c>
      <c r="M9" s="62" t="s">
        <v>10</v>
      </c>
      <c r="N9" s="62">
        <f>('1B'!N9/'1B'!$L9)*100</f>
        <v>0.11904015955520882</v>
      </c>
      <c r="O9" s="62" t="s">
        <v>10</v>
      </c>
      <c r="P9" s="62" t="s">
        <v>10</v>
      </c>
      <c r="Q9" s="62" t="s">
        <v>10</v>
      </c>
      <c r="R9" s="62" t="s">
        <v>10</v>
      </c>
      <c r="S9" s="62">
        <f>('1B'!S9/'1B'!$L9)*100</f>
        <v>1.0082465111461887</v>
      </c>
      <c r="T9" s="62">
        <f>('1B'!T9/'1B'!$L9)*100</f>
        <v>0.5685141213920325</v>
      </c>
      <c r="U9" s="62">
        <f>('1B'!U9/'1B'!$L9)*100</f>
        <v>0.43973238975415618</v>
      </c>
      <c r="X9" s="3">
        <f t="shared" si="2"/>
        <v>0</v>
      </c>
      <c r="Z9" s="3">
        <f t="shared" si="3"/>
        <v>-3.8431396279602237</v>
      </c>
      <c r="AB9" s="3">
        <f t="shared" si="0"/>
        <v>-4.1995633986310565</v>
      </c>
      <c r="AC9" s="3">
        <f t="shared" si="0"/>
        <v>-4.9815295673404147</v>
      </c>
      <c r="AD9" s="3">
        <f t="shared" si="0"/>
        <v>-3.1693059231112097</v>
      </c>
      <c r="AF9" s="3" t="s">
        <v>29</v>
      </c>
      <c r="AG9" s="3">
        <f>((L21/L5)^(1/16)-1)*100</f>
        <v>0</v>
      </c>
      <c r="AH9" s="3">
        <f>((M21/M5)^(1/16)-1)*100</f>
        <v>-1.7401568524287536</v>
      </c>
      <c r="AI9" s="3">
        <f>((N21/N5)^(1/16)-1)*100</f>
        <v>1.441517191656394</v>
      </c>
      <c r="AJ9" s="3">
        <f>((O21/O5)^(1/16)-1)*100</f>
        <v>-0.66318282980116772</v>
      </c>
      <c r="AK9" s="3">
        <f t="shared" ref="AK9:AM9" si="6">((S21/S5)^(1/16)-1)*100</f>
        <v>-2.6075804322148732</v>
      </c>
      <c r="AL9" s="3">
        <f t="shared" si="6"/>
        <v>-3.5307013370910245</v>
      </c>
      <c r="AM9" s="3">
        <f t="shared" si="6"/>
        <v>-2.0702833346682992</v>
      </c>
    </row>
    <row r="10" spans="1:39">
      <c r="A10" s="63">
        <v>1989</v>
      </c>
      <c r="B10" s="62">
        <f>('1B'!B10/'1B'!$B10)*100</f>
        <v>100</v>
      </c>
      <c r="C10" s="62" t="s">
        <v>10</v>
      </c>
      <c r="D10" s="62">
        <f>('1B'!D10/'1B'!$B10)*100</f>
        <v>0.22941780919669275</v>
      </c>
      <c r="E10" s="62" t="s">
        <v>10</v>
      </c>
      <c r="F10" s="62" t="s">
        <v>10</v>
      </c>
      <c r="G10" s="62" t="s">
        <v>10</v>
      </c>
      <c r="H10" s="62" t="s">
        <v>10</v>
      </c>
      <c r="I10" s="62">
        <f>('1B'!I10/'1B'!$B10)*100</f>
        <v>1.1897059709681614</v>
      </c>
      <c r="J10" s="62">
        <f>('1B'!J10/'1B'!$B10)*100</f>
        <v>0.80433003815304982</v>
      </c>
      <c r="K10" s="62">
        <f>('1B'!K10/'1B'!$B10)*100</f>
        <v>0.38537593281511151</v>
      </c>
      <c r="L10" s="62">
        <f>('1B'!L10/'1B'!$L10)*100</f>
        <v>100</v>
      </c>
      <c r="M10" s="62" t="s">
        <v>10</v>
      </c>
      <c r="N10" s="62">
        <f>('1B'!N10/'1B'!$L10)*100</f>
        <v>0.12715363783897854</v>
      </c>
      <c r="O10" s="62" t="s">
        <v>10</v>
      </c>
      <c r="P10" s="62" t="s">
        <v>10</v>
      </c>
      <c r="Q10" s="62" t="s">
        <v>10</v>
      </c>
      <c r="R10" s="62" t="s">
        <v>10</v>
      </c>
      <c r="S10" s="62">
        <f>('1B'!S10/'1B'!$L10)*100</f>
        <v>1.0301112113302782</v>
      </c>
      <c r="T10" s="62">
        <f>('1B'!T10/'1B'!$L10)*100</f>
        <v>0.59097000447500947</v>
      </c>
      <c r="U10" s="62">
        <f>('1B'!U10/'1B'!$L10)*100</f>
        <v>0.4391412068552687</v>
      </c>
      <c r="X10" s="3">
        <f t="shared" si="2"/>
        <v>0</v>
      </c>
      <c r="Z10" s="3">
        <f t="shared" si="3"/>
        <v>6.8157488313906667</v>
      </c>
      <c r="AB10" s="3">
        <f t="shared" si="0"/>
        <v>2.1685867436559203</v>
      </c>
      <c r="AC10" s="3">
        <f t="shared" si="0"/>
        <v>3.9499252943783869</v>
      </c>
      <c r="AD10" s="3">
        <f t="shared" si="0"/>
        <v>-0.134441517764472</v>
      </c>
      <c r="AF10" s="3" t="s">
        <v>15</v>
      </c>
      <c r="AG10" s="3">
        <f>AG8</f>
        <v>0</v>
      </c>
      <c r="AH10" s="3">
        <f t="shared" ref="AH10:AM10" si="7">AH8</f>
        <v>-5.2442538836680042</v>
      </c>
      <c r="AI10" s="3">
        <f t="shared" si="7"/>
        <v>-7.2545896690254574</v>
      </c>
      <c r="AJ10" s="3">
        <f t="shared" si="7"/>
        <v>-3.9227418114940349</v>
      </c>
      <c r="AK10" s="3">
        <f t="shared" si="7"/>
        <v>-5.4630852105510774</v>
      </c>
      <c r="AL10" s="3">
        <f t="shared" si="7"/>
        <v>-8.5456933913952593</v>
      </c>
      <c r="AM10" s="3">
        <f t="shared" si="7"/>
        <v>-2.8545807403455803</v>
      </c>
    </row>
    <row r="11" spans="1:39">
      <c r="A11" s="63">
        <v>1990</v>
      </c>
      <c r="B11" s="62">
        <f>('1B'!B11/'1B'!$B11)*100</f>
        <v>100</v>
      </c>
      <c r="C11" s="62" t="s">
        <v>10</v>
      </c>
      <c r="D11" s="62">
        <f>('1B'!D11/'1B'!$B11)*100</f>
        <v>0.19119541411888993</v>
      </c>
      <c r="E11" s="62" t="s">
        <v>10</v>
      </c>
      <c r="F11" s="62" t="s">
        <v>10</v>
      </c>
      <c r="G11" s="62" t="s">
        <v>10</v>
      </c>
      <c r="H11" s="62" t="s">
        <v>10</v>
      </c>
      <c r="I11" s="62">
        <f>('1B'!I11/'1B'!$B11)*100</f>
        <v>1.058148217212971</v>
      </c>
      <c r="J11" s="62">
        <f>('1B'!J11/'1B'!$B11)*100</f>
        <v>0.70142696303971452</v>
      </c>
      <c r="K11" s="62">
        <f>('1B'!K11/'1B'!$B11)*100</f>
        <v>0.35672125417325634</v>
      </c>
      <c r="L11" s="62">
        <f>('1B'!L11/'1B'!$L11)*100</f>
        <v>100</v>
      </c>
      <c r="M11" s="62" t="s">
        <v>10</v>
      </c>
      <c r="N11" s="62">
        <f>('1B'!N11/'1B'!$L11)*100</f>
        <v>0.15323069421661864</v>
      </c>
      <c r="O11" s="62" t="s">
        <v>10</v>
      </c>
      <c r="P11" s="62" t="s">
        <v>10</v>
      </c>
      <c r="Q11" s="62" t="s">
        <v>10</v>
      </c>
      <c r="R11" s="62" t="s">
        <v>10</v>
      </c>
      <c r="S11" s="62">
        <f>('1B'!S11/'1B'!$L11)*100</f>
        <v>1.0141041801743889</v>
      </c>
      <c r="T11" s="62">
        <f>('1B'!T11/'1B'!$L11)*100</f>
        <v>0.58515293561100545</v>
      </c>
      <c r="U11" s="62">
        <f>('1B'!U11/'1B'!$L11)*100</f>
        <v>0.4289512445633834</v>
      </c>
      <c r="X11" s="3">
        <f t="shared" si="2"/>
        <v>0</v>
      </c>
      <c r="Z11" s="3">
        <f t="shared" si="3"/>
        <v>20.508305401897253</v>
      </c>
      <c r="AB11" s="3">
        <f t="shared" si="0"/>
        <v>-1.553912915404343</v>
      </c>
      <c r="AC11" s="3">
        <f t="shared" si="0"/>
        <v>-0.98432556981832287</v>
      </c>
      <c r="AD11" s="3">
        <f t="shared" si="0"/>
        <v>-2.3204295412986964</v>
      </c>
      <c r="AF11" s="3" t="s">
        <v>12</v>
      </c>
      <c r="AG11" s="3">
        <f>((L34/L5)^(1/29)-1)*100</f>
        <v>0</v>
      </c>
      <c r="AH11" s="3">
        <f>((M34/M5)^(1/29)-1)*100</f>
        <v>-3.3267036895661239</v>
      </c>
      <c r="AI11" s="3">
        <f>((N34/N5)^(1/29)-1)*100</f>
        <v>-2.5532507139631844</v>
      </c>
      <c r="AJ11" s="3">
        <f>((O34/O5)^(1/29)-1)*100</f>
        <v>-2.1378202338716679</v>
      </c>
      <c r="AK11" s="3">
        <f t="shared" ref="AK11:AM11" si="8">((S34/S5)^(1/29)-1)*100</f>
        <v>-3.8981475884906192</v>
      </c>
      <c r="AL11" s="3">
        <f t="shared" si="8"/>
        <v>-5.8119374971210895</v>
      </c>
      <c r="AM11" s="3">
        <f t="shared" si="8"/>
        <v>-2.4226449201551037</v>
      </c>
    </row>
    <row r="12" spans="1:39">
      <c r="A12" s="63">
        <v>1991</v>
      </c>
      <c r="B12" s="62">
        <f>('1B'!B12/'1B'!$B12)*100</f>
        <v>100</v>
      </c>
      <c r="C12" s="62" t="s">
        <v>10</v>
      </c>
      <c r="D12" s="62">
        <f>('1B'!D12/'1B'!$B12)*100</f>
        <v>0.16307590784156281</v>
      </c>
      <c r="E12" s="62">
        <f>('1B'!E12/'1B'!$B12)*100</f>
        <v>0.22092404253001063</v>
      </c>
      <c r="F12" s="62" t="s">
        <v>10</v>
      </c>
      <c r="G12" s="62" t="s">
        <v>10</v>
      </c>
      <c r="H12" s="62" t="s">
        <v>10</v>
      </c>
      <c r="I12" s="62" t="s">
        <v>10</v>
      </c>
      <c r="J12" s="62">
        <f>('1B'!J12/'1B'!$B12)*100</f>
        <v>0.4295960672573742</v>
      </c>
      <c r="K12" s="62" t="s">
        <v>10</v>
      </c>
      <c r="L12" s="62">
        <f>('1B'!L12/'1B'!$L12)*100</f>
        <v>100</v>
      </c>
      <c r="M12" s="62">
        <f>('1B'!M12/'1B'!$L12)*100</f>
        <v>0.86355279245296845</v>
      </c>
      <c r="N12" s="62">
        <f>('1B'!N12/'1B'!$L12)*100</f>
        <v>0.18812608389064911</v>
      </c>
      <c r="O12" s="62">
        <f>('1B'!O12/'1B'!$L12)*100</f>
        <v>0.19849375055566118</v>
      </c>
      <c r="P12" s="62" t="s">
        <v>10</v>
      </c>
      <c r="Q12" s="62" t="s">
        <v>10</v>
      </c>
      <c r="R12" s="62" t="s">
        <v>10</v>
      </c>
      <c r="S12" s="62">
        <f>('1B'!S12/'1B'!$L12)*100</f>
        <v>0.47693295800665819</v>
      </c>
      <c r="T12" s="62">
        <f>('1B'!T12/'1B'!$L12)*100</f>
        <v>0.47693295800665819</v>
      </c>
      <c r="U12" s="62" t="s">
        <v>10</v>
      </c>
      <c r="X12" s="3">
        <f t="shared" si="2"/>
        <v>0</v>
      </c>
      <c r="Z12" s="3">
        <f t="shared" si="3"/>
        <v>22.773106819381539</v>
      </c>
      <c r="AB12" s="3">
        <f t="shared" si="0"/>
        <v>-52.970023462023086</v>
      </c>
      <c r="AC12" s="3">
        <f t="shared" si="0"/>
        <v>-18.494306533956983</v>
      </c>
    </row>
    <row r="13" spans="1:39">
      <c r="A13" s="63">
        <v>1992</v>
      </c>
      <c r="B13" s="62">
        <f>('1B'!B13/'1B'!$B13)*100</f>
        <v>100</v>
      </c>
      <c r="C13" s="62" t="s">
        <v>10</v>
      </c>
      <c r="D13" s="62">
        <f>('1B'!D13/'1B'!$B13)*100</f>
        <v>0.1837074981885454</v>
      </c>
      <c r="E13" s="62" t="s">
        <v>10</v>
      </c>
      <c r="F13" s="62" t="s">
        <v>10</v>
      </c>
      <c r="G13" s="62" t="s">
        <v>10</v>
      </c>
      <c r="H13" s="62" t="s">
        <v>10</v>
      </c>
      <c r="I13" s="62">
        <f>('1B'!I13/'1B'!$B13)*100</f>
        <v>0.82205309829907358</v>
      </c>
      <c r="J13" s="62">
        <f>('1B'!J13/'1B'!$B13)*100</f>
        <v>0.46955484712613527</v>
      </c>
      <c r="K13" s="62">
        <f>('1B'!K13/'1B'!$B13)*100</f>
        <v>0.35249825117293826</v>
      </c>
      <c r="L13" s="62">
        <f>('1B'!L13/'1B'!$L13)*100</f>
        <v>100</v>
      </c>
      <c r="M13" s="62" t="s">
        <v>10</v>
      </c>
      <c r="N13" s="62">
        <f>('1B'!N13/'1B'!$L13)*100</f>
        <v>0.18068315574715632</v>
      </c>
      <c r="O13" s="62" t="s">
        <v>10</v>
      </c>
      <c r="P13" s="62" t="s">
        <v>10</v>
      </c>
      <c r="Q13" s="62" t="s">
        <v>10</v>
      </c>
      <c r="R13" s="62" t="s">
        <v>10</v>
      </c>
      <c r="S13" s="62">
        <f>('1B'!S13/'1B'!$L13)*100</f>
        <v>0.95655973875955935</v>
      </c>
      <c r="T13" s="62">
        <f>('1B'!T13/'1B'!$L13)*100</f>
        <v>0.51251699456823174</v>
      </c>
      <c r="U13" s="62">
        <f>('1B'!U13/'1B'!$L13)*100</f>
        <v>0.44404274419132761</v>
      </c>
      <c r="X13" s="3">
        <f t="shared" si="2"/>
        <v>0</v>
      </c>
      <c r="Z13" s="3">
        <f t="shared" si="3"/>
        <v>-3.9563509692888132</v>
      </c>
      <c r="AB13" s="3">
        <f t="shared" si="0"/>
        <v>100.56482209942081</v>
      </c>
      <c r="AC13" s="3">
        <f t="shared" si="0"/>
        <v>7.4610143761708381</v>
      </c>
    </row>
    <row r="14" spans="1:39">
      <c r="A14" s="63">
        <v>1993</v>
      </c>
      <c r="B14" s="62">
        <f>('1B'!B14/'1B'!$B14)*100</f>
        <v>100</v>
      </c>
      <c r="C14" s="62" t="s">
        <v>10</v>
      </c>
      <c r="D14" s="62">
        <f>('1B'!D14/'1B'!$B14)*100</f>
        <v>0.19050318438964597</v>
      </c>
      <c r="E14" s="62" t="s">
        <v>10</v>
      </c>
      <c r="F14" s="62" t="s">
        <v>10</v>
      </c>
      <c r="G14" s="62" t="s">
        <v>10</v>
      </c>
      <c r="H14" s="62" t="s">
        <v>10</v>
      </c>
      <c r="I14" s="62">
        <f>('1B'!I14/'1B'!$B14)*100</f>
        <v>0.78909498188272054</v>
      </c>
      <c r="J14" s="62">
        <f>('1B'!J14/'1B'!$B14)*100</f>
        <v>0.45475911085652976</v>
      </c>
      <c r="K14" s="62">
        <f>('1B'!K14/'1B'!$B14)*100</f>
        <v>0.33433587102619078</v>
      </c>
      <c r="L14" s="62">
        <f>('1B'!L14/'1B'!$L14)*100</f>
        <v>100</v>
      </c>
      <c r="M14" s="62" t="s">
        <v>10</v>
      </c>
      <c r="N14" s="62">
        <f>('1B'!N14/'1B'!$L14)*100</f>
        <v>0.19843915742187479</v>
      </c>
      <c r="O14" s="62" t="s">
        <v>10</v>
      </c>
      <c r="P14" s="62" t="s">
        <v>10</v>
      </c>
      <c r="Q14" s="62" t="s">
        <v>10</v>
      </c>
      <c r="R14" s="62" t="s">
        <v>10</v>
      </c>
      <c r="S14" s="62">
        <f>('1B'!S14/'1B'!$L14)*100</f>
        <v>0.94044900562288003</v>
      </c>
      <c r="T14" s="62">
        <f>('1B'!T14/'1B'!$L14)*100</f>
        <v>0.49824207528360043</v>
      </c>
      <c r="U14" s="62">
        <f>('1B'!U14/'1B'!$L14)*100</f>
        <v>0.44220693033927966</v>
      </c>
      <c r="X14" s="3">
        <f t="shared" si="2"/>
        <v>0</v>
      </c>
      <c r="Z14" s="3">
        <f t="shared" si="3"/>
        <v>9.8271483035008433</v>
      </c>
      <c r="AB14" s="3">
        <f t="shared" si="0"/>
        <v>-1.6842370093446801</v>
      </c>
      <c r="AC14" s="3">
        <f t="shared" si="0"/>
        <v>-2.7852577448006732</v>
      </c>
      <c r="AD14" s="3">
        <f t="shared" si="0"/>
        <v>-0.4134317869310622</v>
      </c>
    </row>
    <row r="15" spans="1:39">
      <c r="A15" s="63">
        <v>1994</v>
      </c>
      <c r="B15" s="62">
        <f>('1B'!B15/'1B'!$B15)*100</f>
        <v>100</v>
      </c>
      <c r="C15" s="62" t="s">
        <v>10</v>
      </c>
      <c r="D15" s="62">
        <f>('1B'!D15/'1B'!$B15)*100</f>
        <v>0.20500258363757173</v>
      </c>
      <c r="E15" s="62" t="s">
        <v>10</v>
      </c>
      <c r="F15" s="62" t="s">
        <v>10</v>
      </c>
      <c r="G15" s="62" t="s">
        <v>10</v>
      </c>
      <c r="H15" s="62" t="s">
        <v>10</v>
      </c>
      <c r="I15" s="62" t="s">
        <v>10</v>
      </c>
      <c r="J15" s="62">
        <f>('1B'!J15/'1B'!$B15)*100</f>
        <v>0.50293873384523013</v>
      </c>
      <c r="K15" s="62" t="s">
        <v>10</v>
      </c>
      <c r="L15" s="62">
        <f>('1B'!L15/'1B'!$L15)*100</f>
        <v>100</v>
      </c>
      <c r="M15" s="62" t="s">
        <v>10</v>
      </c>
      <c r="N15" s="62">
        <f>('1B'!N15/'1B'!$L15)*100</f>
        <v>0.17513373893485418</v>
      </c>
      <c r="O15" s="62" t="s">
        <v>10</v>
      </c>
      <c r="P15" s="62" t="s">
        <v>10</v>
      </c>
      <c r="Q15" s="62" t="s">
        <v>10</v>
      </c>
      <c r="R15" s="62" t="s">
        <v>10</v>
      </c>
      <c r="S15" s="62">
        <f>('1B'!S15/'1B'!$L15)*100</f>
        <v>0.47392763176848618</v>
      </c>
      <c r="T15" s="62">
        <f>('1B'!T15/'1B'!$L15)*100</f>
        <v>0.47392763176848618</v>
      </c>
      <c r="U15" s="62" t="s">
        <v>10</v>
      </c>
      <c r="X15" s="3">
        <f t="shared" si="2"/>
        <v>0</v>
      </c>
      <c r="Z15" s="3">
        <f t="shared" si="3"/>
        <v>-11.744364766412563</v>
      </c>
      <c r="AB15" s="3">
        <f t="shared" si="0"/>
        <v>-49.606238197403009</v>
      </c>
      <c r="AC15" s="3">
        <f t="shared" si="0"/>
        <v>-4.8800462107248643</v>
      </c>
    </row>
    <row r="16" spans="1:39">
      <c r="A16" s="63">
        <v>1995</v>
      </c>
      <c r="B16" s="62">
        <f>('1B'!B16/'1B'!$B16)*100</f>
        <v>100</v>
      </c>
      <c r="C16" s="62" t="s">
        <v>10</v>
      </c>
      <c r="D16" s="62">
        <f>('1B'!D16/'1B'!$B16)*100</f>
        <v>0.22911128484932444</v>
      </c>
      <c r="E16" s="62" t="s">
        <v>10</v>
      </c>
      <c r="F16" s="62" t="s">
        <v>10</v>
      </c>
      <c r="G16" s="62" t="s">
        <v>10</v>
      </c>
      <c r="H16" s="62" t="s">
        <v>10</v>
      </c>
      <c r="I16" s="62" t="s">
        <v>10</v>
      </c>
      <c r="J16" s="62">
        <f>('1B'!J16/'1B'!$B16)*100</f>
        <v>0.87925971171019501</v>
      </c>
      <c r="K16" s="62" t="s">
        <v>10</v>
      </c>
      <c r="L16" s="62">
        <f>('1B'!L16/'1B'!$L16)*100</f>
        <v>100</v>
      </c>
      <c r="M16" s="62" t="s">
        <v>10</v>
      </c>
      <c r="N16" s="62">
        <f>('1B'!N16/'1B'!$L16)*100</f>
        <v>0.1628823989640473</v>
      </c>
      <c r="O16" s="62" t="s">
        <v>10</v>
      </c>
      <c r="P16" s="62" t="s">
        <v>10</v>
      </c>
      <c r="Q16" s="62" t="s">
        <v>10</v>
      </c>
      <c r="R16" s="62" t="s">
        <v>10</v>
      </c>
      <c r="S16" s="62">
        <f>('1B'!S16/'1B'!$L16)*100</f>
        <v>0.42496473825581166</v>
      </c>
      <c r="T16" s="62">
        <f>('1B'!T16/'1B'!$L16)*100</f>
        <v>0.42496473825581166</v>
      </c>
      <c r="U16" s="62" t="s">
        <v>10</v>
      </c>
      <c r="X16" s="3">
        <f t="shared" si="2"/>
        <v>0</v>
      </c>
      <c r="Z16" s="3">
        <f t="shared" si="3"/>
        <v>-6.9954196406233908</v>
      </c>
      <c r="AB16" s="3">
        <f t="shared" si="0"/>
        <v>-10.331301707386608</v>
      </c>
      <c r="AC16" s="3">
        <f t="shared" si="0"/>
        <v>-10.331301707386608</v>
      </c>
    </row>
    <row r="17" spans="1:46" ht="15.75" thickBot="1">
      <c r="A17" s="63">
        <v>1996</v>
      </c>
      <c r="B17" s="62">
        <f>('1B'!B17/'1B'!$B17)*100</f>
        <v>100</v>
      </c>
      <c r="C17" s="62" t="s">
        <v>10</v>
      </c>
      <c r="D17" s="62">
        <f>('1B'!D17/'1B'!$B17)*100</f>
        <v>0.19101364272890597</v>
      </c>
      <c r="E17" s="62" t="s">
        <v>10</v>
      </c>
      <c r="F17" s="62" t="s">
        <v>10</v>
      </c>
      <c r="G17" s="62" t="s">
        <v>10</v>
      </c>
      <c r="H17" s="62" t="s">
        <v>10</v>
      </c>
      <c r="I17" s="62" t="s">
        <v>10</v>
      </c>
      <c r="J17" s="62">
        <f>('1B'!J17/'1B'!$B17)*100</f>
        <v>0.74839138788666681</v>
      </c>
      <c r="K17" s="62" t="s">
        <v>10</v>
      </c>
      <c r="L17" s="78">
        <f>('1B'!L17/'1B'!$L17)*100</f>
        <v>100</v>
      </c>
      <c r="M17" s="92" t="s">
        <v>10</v>
      </c>
      <c r="N17" s="78">
        <f>('1B'!N17/'1B'!$L17)*100</f>
        <v>0.19589475419741315</v>
      </c>
      <c r="O17" s="78" t="s">
        <v>10</v>
      </c>
      <c r="P17" s="78" t="s">
        <v>10</v>
      </c>
      <c r="Q17" s="78" t="s">
        <v>10</v>
      </c>
      <c r="R17" s="78" t="s">
        <v>10</v>
      </c>
      <c r="S17" s="62">
        <f>('1B'!S17/'1B'!$L17)*100</f>
        <v>0.40450576467784499</v>
      </c>
      <c r="T17" s="62">
        <f>('1B'!T17/'1B'!$L17)*100</f>
        <v>0.40450576467784499</v>
      </c>
      <c r="U17" s="62" t="s">
        <v>10</v>
      </c>
      <c r="X17" s="3">
        <f t="shared" si="2"/>
        <v>0</v>
      </c>
      <c r="Z17" s="3">
        <f t="shared" si="3"/>
        <v>20.267601314401439</v>
      </c>
      <c r="AB17" s="3">
        <f t="shared" si="0"/>
        <v>-4.8142755707065721</v>
      </c>
      <c r="AC17" s="3">
        <f t="shared" si="0"/>
        <v>-4.8142755707065721</v>
      </c>
    </row>
    <row r="18" spans="1:46" ht="15.75" thickBot="1">
      <c r="A18" s="63">
        <v>1997</v>
      </c>
      <c r="B18" s="62">
        <f>('1B'!B18/'1B'!$B18)*100</f>
        <v>100</v>
      </c>
      <c r="C18" s="62">
        <f>('1B'!C18/'1B'!$B18)*100</f>
        <v>1.7209273408366303</v>
      </c>
      <c r="D18" s="62">
        <f>('1B'!D18/'1B'!$B18)*100</f>
        <v>0.22472466249047804</v>
      </c>
      <c r="E18" s="62">
        <f>('1B'!E18/'1B'!$B18)*100</f>
        <v>0.4523768420722234</v>
      </c>
      <c r="F18" s="62" t="s">
        <v>10</v>
      </c>
      <c r="G18" s="62" t="s">
        <v>10</v>
      </c>
      <c r="H18" s="62" t="s">
        <v>10</v>
      </c>
      <c r="I18" s="62">
        <f>('1B'!I18/'1B'!$B18)*100</f>
        <v>1.0438258362739288</v>
      </c>
      <c r="J18" s="62">
        <f>('1B'!J18/'1B'!$B18)*100</f>
        <v>0.5945575948243913</v>
      </c>
      <c r="K18" s="62">
        <f>('1B'!K18/'1B'!$B18)*100</f>
        <v>0.44926824144953742</v>
      </c>
      <c r="L18" s="62">
        <f>('1B'!L18/'1B'!$L18)*100</f>
        <v>100</v>
      </c>
      <c r="M18" s="78">
        <f>('1B'!M18/'1B'!$L18)*100</f>
        <v>1.3481749280107391</v>
      </c>
      <c r="N18" s="62">
        <f>('1B'!N18/'1B'!$L18)*100</f>
        <v>0.15490873089229462</v>
      </c>
      <c r="O18" s="62">
        <f>('1B'!O18/'1B'!$L18)*100</f>
        <v>0.30470594511571009</v>
      </c>
      <c r="P18" s="62">
        <f>('1B'!P18/'1B'!$L18)*100</f>
        <v>7.1213848736326385E-2</v>
      </c>
      <c r="Q18" s="62">
        <f>('1B'!Q18/'1B'!$L18)*100</f>
        <v>6.7988134333635639E-2</v>
      </c>
      <c r="R18" s="62">
        <f>('1B'!R18/'1B'!$L18)*100</f>
        <v>0.18163253405920179</v>
      </c>
      <c r="S18" s="78">
        <f>('1B'!S18/'1B'!$L18)*100</f>
        <v>0.88856025200273436</v>
      </c>
      <c r="T18" s="78">
        <f>('1B'!T18/'1B'!$L18)*100</f>
        <v>0.38738348657544514</v>
      </c>
      <c r="U18" s="78">
        <f>('1B'!U18/'1B'!$L18)*100</f>
        <v>0.48906792982334252</v>
      </c>
      <c r="X18" s="3">
        <f t="shared" si="2"/>
        <v>0</v>
      </c>
      <c r="Z18" s="3">
        <f t="shared" si="3"/>
        <v>-20.922471085578344</v>
      </c>
      <c r="AB18" s="3">
        <f t="shared" si="0"/>
        <v>119.66565858718931</v>
      </c>
      <c r="AC18" s="3">
        <f t="shared" si="0"/>
        <v>-4.2328885265791705</v>
      </c>
    </row>
    <row r="19" spans="1:46">
      <c r="A19" s="63">
        <v>1998</v>
      </c>
      <c r="B19" s="62">
        <f>('1B'!B19/'1B'!$B19)*100</f>
        <v>100</v>
      </c>
      <c r="C19" s="62">
        <f>('1B'!C19/'1B'!$B19)*100</f>
        <v>1.6937593895149841</v>
      </c>
      <c r="D19" s="62">
        <f>('1B'!D19/'1B'!$B19)*100</f>
        <v>0.22483150558432072</v>
      </c>
      <c r="E19" s="62">
        <f>('1B'!E19/'1B'!$B19)*100</f>
        <v>0.48857063442110055</v>
      </c>
      <c r="F19" s="62" t="s">
        <v>10</v>
      </c>
      <c r="G19" s="62" t="s">
        <v>10</v>
      </c>
      <c r="H19" s="62" t="s">
        <v>10</v>
      </c>
      <c r="I19" s="62">
        <f>('1B'!I19/'1B'!$B19)*100</f>
        <v>0.98035724950956293</v>
      </c>
      <c r="J19" s="62">
        <f>('1B'!J19/'1B'!$B19)*100</f>
        <v>0.59438214119992838</v>
      </c>
      <c r="K19" s="62">
        <f>('1B'!K19/'1B'!$B19)*100</f>
        <v>0.38597510830963466</v>
      </c>
      <c r="L19" s="62">
        <f>('1B'!L19/'1B'!$L19)*100</f>
        <v>100</v>
      </c>
      <c r="M19" s="62">
        <f>('1B'!M19/'1B'!$L19)*100</f>
        <v>1.2836030490343049</v>
      </c>
      <c r="N19" s="62">
        <f>('1B'!N19/'1B'!$L19)*100</f>
        <v>0.14758744544289984</v>
      </c>
      <c r="O19" s="62">
        <f>('1B'!O19/'1B'!$L19)*100</f>
        <v>0.31752872337096744</v>
      </c>
      <c r="P19" s="62">
        <f>('1B'!P19/'1B'!$L19)*100</f>
        <v>7.7278360447133543E-2</v>
      </c>
      <c r="Q19" s="62">
        <f>('1B'!Q19/'1B'!$L19)*100</f>
        <v>7.0166854884513893E-2</v>
      </c>
      <c r="R19" s="62">
        <f>('1B'!R19/'1B'!$L19)*100</f>
        <v>0.18276569295932504</v>
      </c>
      <c r="S19" s="62">
        <f>('1B'!S19/'1B'!$L19)*100</f>
        <v>0.8184868802204377</v>
      </c>
      <c r="T19" s="62">
        <f>('1B'!T19/'1B'!$L19)*100</f>
        <v>0.36240232347109741</v>
      </c>
      <c r="U19" s="62">
        <f>('1B'!U19/'1B'!$L19)*100</f>
        <v>0.44060517964137158</v>
      </c>
      <c r="X19" s="3">
        <f t="shared" si="2"/>
        <v>0</v>
      </c>
      <c r="Y19" s="3">
        <f t="shared" si="2"/>
        <v>-4.7895772006167903</v>
      </c>
      <c r="Z19" s="3">
        <f t="shared" si="3"/>
        <v>-4.7261929054761564</v>
      </c>
      <c r="AA19" s="3">
        <f t="shared" si="3"/>
        <v>4.2082468231422254</v>
      </c>
      <c r="AB19" s="3">
        <f t="shared" si="0"/>
        <v>-7.886169972644808</v>
      </c>
      <c r="AC19" s="3">
        <f t="shared" si="0"/>
        <v>-6.4486907599460856</v>
      </c>
      <c r="AD19" s="3">
        <f t="shared" si="0"/>
        <v>-9.9092063140341793</v>
      </c>
    </row>
    <row r="20" spans="1:46">
      <c r="A20" s="63">
        <v>1999</v>
      </c>
      <c r="B20" s="62">
        <f>('1B'!B20/'1B'!$B20)*100</f>
        <v>100</v>
      </c>
      <c r="C20" s="62">
        <f>('1B'!C20/'1B'!$B20)*100</f>
        <v>1.5739887480500925</v>
      </c>
      <c r="D20" s="62">
        <f>('1B'!D20/'1B'!$B20)*100</f>
        <v>0.20855616250292866</v>
      </c>
      <c r="E20" s="62">
        <f>('1B'!E20/'1B'!$B20)*100</f>
        <v>0.51934729881295449</v>
      </c>
      <c r="F20" s="62" t="s">
        <v>10</v>
      </c>
      <c r="G20" s="62" t="s">
        <v>10</v>
      </c>
      <c r="H20" s="62" t="s">
        <v>10</v>
      </c>
      <c r="I20" s="62">
        <f>('1B'!I20/'1B'!$B20)*100</f>
        <v>0.84608528673420935</v>
      </c>
      <c r="J20" s="62">
        <f>('1B'!J20/'1B'!$B20)*100</f>
        <v>0.47461120594018891</v>
      </c>
      <c r="K20" s="62">
        <f>('1B'!K20/'1B'!$B20)*100</f>
        <v>0.3714740807940205</v>
      </c>
      <c r="L20" s="62">
        <f>('1B'!L20/'1B'!$L20)*100</f>
        <v>100</v>
      </c>
      <c r="M20" s="62">
        <f>('1B'!M20/'1B'!$L20)*100</f>
        <v>1.1829397138822795</v>
      </c>
      <c r="N20" s="62">
        <f>('1B'!N20/'1B'!$L20)*100</f>
        <v>0.14659827469512471</v>
      </c>
      <c r="O20" s="62">
        <f>('1B'!O20/'1B'!$L20)*100</f>
        <v>0.29341679920199087</v>
      </c>
      <c r="P20" s="62">
        <f>('1B'!P20/'1B'!$L20)*100</f>
        <v>5.5282702747109821E-2</v>
      </c>
      <c r="Q20" s="62">
        <f>('1B'!Q20/'1B'!$L20)*100</f>
        <v>7.7968433356481584E-2</v>
      </c>
      <c r="R20" s="62">
        <f>('1B'!R20/'1B'!$L20)*100</f>
        <v>0.18853383885070121</v>
      </c>
      <c r="S20" s="62">
        <f>('1B'!S20/'1B'!$L20)*100</f>
        <v>0.74292463998516389</v>
      </c>
      <c r="T20" s="62">
        <f>('1B'!T20/'1B'!$L20)*100</f>
        <v>0.34350160639200189</v>
      </c>
      <c r="U20" s="62">
        <f>('1B'!U20/'1B'!$L20)*100</f>
        <v>0.37768437717427855</v>
      </c>
      <c r="X20" s="3">
        <f t="shared" si="2"/>
        <v>0</v>
      </c>
      <c r="Y20" s="3">
        <f t="shared" si="2"/>
        <v>-7.8422480554060421</v>
      </c>
      <c r="Z20" s="3">
        <f t="shared" si="3"/>
        <v>-0.67022689145861403</v>
      </c>
      <c r="AA20" s="3">
        <f t="shared" si="3"/>
        <v>-7.5936198505124564</v>
      </c>
      <c r="AB20" s="3">
        <f t="shared" si="0"/>
        <v>-9.2319427545280988</v>
      </c>
      <c r="AC20" s="3">
        <f t="shared" si="0"/>
        <v>-5.2153962198873476</v>
      </c>
      <c r="AD20" s="3">
        <f t="shared" si="0"/>
        <v>-14.280540804878218</v>
      </c>
      <c r="AF20" s="4" t="s">
        <v>30</v>
      </c>
      <c r="AO20" s="4" t="s">
        <v>25</v>
      </c>
    </row>
    <row r="21" spans="1:46">
      <c r="A21" s="63">
        <v>2000</v>
      </c>
      <c r="B21" s="62">
        <f>('1B'!B21/'1B'!$B21)*100</f>
        <v>100</v>
      </c>
      <c r="C21" s="62">
        <f>('1B'!C21/'1B'!$B21)*100</f>
        <v>1.8485168344167671</v>
      </c>
      <c r="D21" s="62">
        <f>('1B'!D21/'1B'!$B21)*100</f>
        <v>0.22742758453640119</v>
      </c>
      <c r="E21" s="62">
        <f>('1B'!E21/'1B'!$B21)*100</f>
        <v>0.56336266908757204</v>
      </c>
      <c r="F21" s="62" t="s">
        <v>10</v>
      </c>
      <c r="G21" s="62" t="s">
        <v>10</v>
      </c>
      <c r="H21" s="62" t="s">
        <v>10</v>
      </c>
      <c r="I21" s="62">
        <f>('1B'!I21/'1B'!$B21)*100</f>
        <v>1.0577265807927938</v>
      </c>
      <c r="J21" s="62">
        <f>('1B'!J21/'1B'!$B21)*100</f>
        <v>0.65951291751263774</v>
      </c>
      <c r="K21" s="62">
        <f>('1B'!K21/'1B'!$B21)*100</f>
        <v>0.39821366328015612</v>
      </c>
      <c r="L21" s="62">
        <f>('1B'!L21/'1B'!$L21)*100</f>
        <v>100</v>
      </c>
      <c r="M21" s="62">
        <f>('1B'!M21/'1B'!$L21)*100</f>
        <v>1.2945536359289627</v>
      </c>
      <c r="N21" s="62">
        <f>('1B'!N21/'1B'!$L21)*100</f>
        <v>0.17081810322946744</v>
      </c>
      <c r="O21" s="62">
        <f>('1B'!O21/'1B'!$L21)*100</f>
        <v>0.32981768740037865</v>
      </c>
      <c r="P21" s="62">
        <f>('1B'!P21/'1B'!$L21)*100</f>
        <v>7.4774461530408912E-2</v>
      </c>
      <c r="Q21" s="62">
        <f>('1B'!Q21/'1B'!$L21)*100</f>
        <v>7.726694358142254E-2</v>
      </c>
      <c r="R21" s="62">
        <f>('1B'!R21/'1B'!$L21)*100</f>
        <v>0.19669837519249231</v>
      </c>
      <c r="S21" s="62">
        <f>('1B'!S21/'1B'!$L21)*100</f>
        <v>0.79391784529911658</v>
      </c>
      <c r="T21" s="62">
        <f>('1B'!T21/'1B'!$L21)*100</f>
        <v>0.37597014671164763</v>
      </c>
      <c r="U21" s="62">
        <f>('1B'!U21/'1B'!$L21)*100</f>
        <v>0.38882719995812631</v>
      </c>
      <c r="X21" s="3">
        <f t="shared" si="2"/>
        <v>0</v>
      </c>
      <c r="Y21" s="3">
        <f t="shared" si="2"/>
        <v>9.4353009487168507</v>
      </c>
      <c r="Z21" s="3">
        <f t="shared" si="3"/>
        <v>16.521223448715116</v>
      </c>
      <c r="AA21" s="3">
        <f t="shared" si="3"/>
        <v>12.405863705618669</v>
      </c>
      <c r="AB21" s="3">
        <f t="shared" si="0"/>
        <v>6.8638462866127403</v>
      </c>
      <c r="AC21" s="3">
        <f t="shared" si="0"/>
        <v>9.4522237204890622</v>
      </c>
      <c r="AD21" s="3">
        <f t="shared" si="0"/>
        <v>2.9503001599417544</v>
      </c>
      <c r="AF21" s="3" t="s">
        <v>2</v>
      </c>
      <c r="AG21" s="3" t="s">
        <v>3</v>
      </c>
      <c r="AH21" s="3" t="s">
        <v>4</v>
      </c>
      <c r="AI21" s="3" t="s">
        <v>5</v>
      </c>
      <c r="AJ21" s="3" t="s">
        <v>6</v>
      </c>
      <c r="AK21" s="3" t="s">
        <v>7</v>
      </c>
      <c r="AO21" s="3" t="s">
        <v>2</v>
      </c>
      <c r="AP21" s="3" t="s">
        <v>3</v>
      </c>
      <c r="AQ21" s="3" t="s">
        <v>4</v>
      </c>
      <c r="AR21" s="3" t="s">
        <v>5</v>
      </c>
      <c r="AS21" s="3" t="s">
        <v>6</v>
      </c>
      <c r="AT21" s="3" t="s">
        <v>7</v>
      </c>
    </row>
    <row r="22" spans="1:46">
      <c r="A22" s="63">
        <v>2001</v>
      </c>
      <c r="B22" s="62">
        <f>('1B'!B22/'1B'!$B22)*100</f>
        <v>100</v>
      </c>
      <c r="C22" s="62">
        <f>('1B'!C22/'1B'!$B22)*100</f>
        <v>1.7484999850447165</v>
      </c>
      <c r="D22" s="62">
        <f>('1B'!D22/'1B'!$B22)*100</f>
        <v>0.18628301378877157</v>
      </c>
      <c r="E22" s="62">
        <f>('1B'!E22/'1B'!$B22)*100</f>
        <v>0.51915173630843769</v>
      </c>
      <c r="F22" s="62" t="s">
        <v>10</v>
      </c>
      <c r="G22" s="62" t="s">
        <v>10</v>
      </c>
      <c r="H22" s="62" t="s">
        <v>10</v>
      </c>
      <c r="I22" s="62">
        <f>('1B'!I22/'1B'!$B22)*100</f>
        <v>1.0430652349475071</v>
      </c>
      <c r="J22" s="62">
        <f>('1B'!J22/'1B'!$B22)*100</f>
        <v>0.56054796159483145</v>
      </c>
      <c r="K22" s="62">
        <f>('1B'!K22/'1B'!$B22)*100</f>
        <v>0.48251727335267547</v>
      </c>
      <c r="L22" s="62">
        <f>('1B'!L22/'1B'!$L22)*100</f>
        <v>100</v>
      </c>
      <c r="M22" s="62">
        <f>('1B'!M22/'1B'!$L22)*100</f>
        <v>1.2584709499151856</v>
      </c>
      <c r="N22" s="62">
        <f>('1B'!N22/'1B'!$L22)*100</f>
        <v>0.15544360686481873</v>
      </c>
      <c r="O22" s="62">
        <f>('1B'!O22/'1B'!$L22)*100</f>
        <v>0.32687371056416781</v>
      </c>
      <c r="P22" s="62">
        <f>('1B'!P22/'1B'!$L22)*100</f>
        <v>7.5531591958280367E-2</v>
      </c>
      <c r="Q22" s="62">
        <f>('1B'!Q22/'1B'!$L22)*100</f>
        <v>7.1437738735609338E-2</v>
      </c>
      <c r="R22" s="62">
        <f>('1B'!R22/'1B'!$L22)*100</f>
        <v>0.200189422588613</v>
      </c>
      <c r="S22" s="62">
        <f>('1B'!S22/'1B'!$L22)*100</f>
        <v>0.77615363248619917</v>
      </c>
      <c r="T22" s="62">
        <f>('1B'!T22/'1B'!$L22)*100</f>
        <v>0.32537945413789282</v>
      </c>
      <c r="U22" s="62">
        <f>('1B'!U22/'1B'!$L22)*100</f>
        <v>0.45044667009049255</v>
      </c>
      <c r="X22" s="3">
        <f t="shared" si="2"/>
        <v>0</v>
      </c>
      <c r="Y22" s="3">
        <f t="shared" si="2"/>
        <v>-2.7872685234771599</v>
      </c>
      <c r="Z22" s="3">
        <f t="shared" si="3"/>
        <v>-9.000507600763763</v>
      </c>
      <c r="AA22" s="3">
        <f t="shared" si="3"/>
        <v>-0.89260732479669036</v>
      </c>
      <c r="AB22" s="3">
        <f t="shared" ref="AB22:AD34" si="9">((S22/S21)-1)*100</f>
        <v>-2.2375379163097842</v>
      </c>
      <c r="AC22" s="3">
        <f t="shared" si="9"/>
        <v>-13.456039798967234</v>
      </c>
      <c r="AD22" s="3">
        <f t="shared" si="9"/>
        <v>15.847520476705901</v>
      </c>
      <c r="AE22" s="3">
        <v>2007</v>
      </c>
      <c r="AF22" s="3">
        <f>((B28/L28))*100</f>
        <v>100</v>
      </c>
      <c r="AG22" s="3">
        <f t="shared" ref="AG22:AH26" si="10">((D28/N28))*100</f>
        <v>100</v>
      </c>
      <c r="AH22" s="3">
        <f t="shared" si="10"/>
        <v>100</v>
      </c>
      <c r="AI22" s="3">
        <f t="shared" ref="AI22:AK26" si="11">((I28/S28))*100</f>
        <v>100</v>
      </c>
      <c r="AJ22" s="3">
        <f t="shared" si="11"/>
        <v>100</v>
      </c>
      <c r="AK22" s="3">
        <f t="shared" si="11"/>
        <v>100</v>
      </c>
      <c r="AN22" s="3">
        <v>2007</v>
      </c>
      <c r="AO22" s="3">
        <f>((AF23/AF22)-1)*100</f>
        <v>0</v>
      </c>
      <c r="AP22" s="3">
        <f t="shared" ref="AP22:AT25" si="12">((AG23/AG22)-1)*100</f>
        <v>0.53375953015348809</v>
      </c>
      <c r="AQ22" s="3">
        <f t="shared" si="12"/>
        <v>-6.197119345126989</v>
      </c>
      <c r="AR22" s="3">
        <f t="shared" si="12"/>
        <v>-1.4268352265454753</v>
      </c>
      <c r="AS22" s="3">
        <f t="shared" si="12"/>
        <v>-3.7259985377649185</v>
      </c>
      <c r="AT22" s="3">
        <f t="shared" si="12"/>
        <v>6.6875075493566527E-2</v>
      </c>
    </row>
    <row r="23" spans="1:46">
      <c r="A23" s="63">
        <v>2002</v>
      </c>
      <c r="B23" s="62">
        <f>('1B'!B23/'1B'!$B23)*100</f>
        <v>100</v>
      </c>
      <c r="C23" s="62">
        <f>('1B'!C23/'1B'!$B23)*100</f>
        <v>1.6310451482528767</v>
      </c>
      <c r="D23" s="62">
        <f>('1B'!D23/'1B'!$B23)*100</f>
        <v>0.1957426818541968</v>
      </c>
      <c r="E23" s="62">
        <f>('1B'!E23/'1B'!$B23)*100</f>
        <v>0.52262410136004478</v>
      </c>
      <c r="F23" s="62" t="s">
        <v>10</v>
      </c>
      <c r="G23" s="62" t="s">
        <v>10</v>
      </c>
      <c r="H23" s="62" t="s">
        <v>10</v>
      </c>
      <c r="I23" s="62">
        <f>('1B'!I23/'1B'!$B23)*100</f>
        <v>0.9126783650386352</v>
      </c>
      <c r="J23" s="62">
        <f>('1B'!J23/'1B'!$B23)*100</f>
        <v>0.44954713634612448</v>
      </c>
      <c r="K23" s="62">
        <f>('1B'!K23/'1B'!$B23)*100</f>
        <v>0.46313122869251061</v>
      </c>
      <c r="L23" s="62">
        <f>('1B'!L23/'1B'!$L23)*100</f>
        <v>100</v>
      </c>
      <c r="M23" s="62">
        <f>('1B'!M23/'1B'!$L23)*100</f>
        <v>1.2891238241713361</v>
      </c>
      <c r="N23" s="62">
        <f>('1B'!N23/'1B'!$L23)*100</f>
        <v>0.15521496764476891</v>
      </c>
      <c r="O23" s="62">
        <f>('1B'!O23/'1B'!$L23)*100</f>
        <v>0.34860049266742399</v>
      </c>
      <c r="P23" s="62">
        <f>('1B'!P23/'1B'!$L23)*100</f>
        <v>8.2164418180193752E-2</v>
      </c>
      <c r="Q23" s="62">
        <f>('1B'!Q23/'1B'!$L23)*100</f>
        <v>7.9372423387662899E-2</v>
      </c>
      <c r="R23" s="62">
        <f>('1B'!R23/'1B'!$L23)*100</f>
        <v>0.20361619165528594</v>
      </c>
      <c r="S23" s="62">
        <f>('1B'!S23/'1B'!$L23)*100</f>
        <v>0.78530836385914315</v>
      </c>
      <c r="T23" s="62">
        <f>('1B'!T23/'1B'!$L23)*100</f>
        <v>0.33294537900930454</v>
      </c>
      <c r="U23" s="62">
        <f>('1B'!U23/'1B'!$L23)*100</f>
        <v>0.45026898875544047</v>
      </c>
      <c r="X23" s="3">
        <f t="shared" si="2"/>
        <v>0</v>
      </c>
      <c r="Y23" s="3">
        <f t="shared" si="2"/>
        <v>2.435723626216113</v>
      </c>
      <c r="Z23" s="3">
        <f t="shared" si="3"/>
        <v>-0.14708821074169709</v>
      </c>
      <c r="AA23" s="3">
        <f t="shared" si="3"/>
        <v>6.6468429246747451</v>
      </c>
      <c r="AB23" s="3">
        <f t="shared" si="9"/>
        <v>1.1794999069474565</v>
      </c>
      <c r="AC23" s="3">
        <f t="shared" si="9"/>
        <v>2.325262021063379</v>
      </c>
      <c r="AD23" s="3">
        <f t="shared" si="9"/>
        <v>-3.9445587424680184E-2</v>
      </c>
      <c r="AE23" s="3">
        <v>2008</v>
      </c>
      <c r="AF23" s="3">
        <f>((B29/L29))*100</f>
        <v>100</v>
      </c>
      <c r="AG23" s="3">
        <f t="shared" si="10"/>
        <v>100.53375953015349</v>
      </c>
      <c r="AH23" s="3">
        <f t="shared" si="10"/>
        <v>93.802880654873007</v>
      </c>
      <c r="AI23" s="3">
        <f t="shared" si="11"/>
        <v>98.573164773454522</v>
      </c>
      <c r="AJ23" s="3">
        <f t="shared" si="11"/>
        <v>96.274001462235077</v>
      </c>
      <c r="AK23" s="3">
        <f t="shared" si="11"/>
        <v>100.06687507549357</v>
      </c>
      <c r="AN23" s="3">
        <v>2008</v>
      </c>
      <c r="AO23" s="3">
        <f t="shared" ref="AO23:AO25" si="13">((AF24/AF23)-1)*100</f>
        <v>0</v>
      </c>
      <c r="AP23" s="3">
        <f t="shared" si="12"/>
        <v>9.2456045643877438</v>
      </c>
      <c r="AQ23" s="3">
        <f t="shared" si="12"/>
        <v>2.2802611906367787</v>
      </c>
      <c r="AR23" s="3">
        <f t="shared" si="12"/>
        <v>10.136924258644431</v>
      </c>
      <c r="AS23" s="3">
        <f t="shared" si="12"/>
        <v>21.099827618046497</v>
      </c>
      <c r="AT23" s="3">
        <f t="shared" si="12"/>
        <v>4.1679425342960874</v>
      </c>
    </row>
    <row r="24" spans="1:46">
      <c r="A24" s="63">
        <v>2003</v>
      </c>
      <c r="B24" s="62">
        <f>('1B'!B24/'1B'!$B24)*100</f>
        <v>100</v>
      </c>
      <c r="C24" s="62">
        <f>('1B'!C24/'1B'!$B24)*100</f>
        <v>1.5426919005447832</v>
      </c>
      <c r="D24" s="62">
        <f>('1B'!D24/'1B'!$B24)*100</f>
        <v>0.17283488153185225</v>
      </c>
      <c r="E24" s="62">
        <f>('1B'!E24/'1B'!$B24)*100</f>
        <v>0.5229682875671352</v>
      </c>
      <c r="F24" s="62" t="s">
        <v>10</v>
      </c>
      <c r="G24" s="62" t="s">
        <v>10</v>
      </c>
      <c r="H24" s="62" t="s">
        <v>10</v>
      </c>
      <c r="I24" s="62">
        <f>('1B'!I24/'1B'!$B24)*100</f>
        <v>0.84688873144579591</v>
      </c>
      <c r="J24" s="62">
        <f>('1B'!J24/'1B'!$B24)*100</f>
        <v>0.37091997869704513</v>
      </c>
      <c r="K24" s="62">
        <f>('1B'!K24/'1B'!$B24)*100</f>
        <v>0.47596875274875078</v>
      </c>
      <c r="L24" s="62">
        <f>('1B'!L24/'1B'!$L24)*100</f>
        <v>100</v>
      </c>
      <c r="M24" s="62">
        <f>('1B'!M24/'1B'!$L24)*100</f>
        <v>1.2898641650596234</v>
      </c>
      <c r="N24" s="62">
        <f>('1B'!N24/'1B'!$L24)*100</f>
        <v>0.14387391498848087</v>
      </c>
      <c r="O24" s="62">
        <f>('1B'!O24/'1B'!$L24)*100</f>
        <v>0.35029062099362818</v>
      </c>
      <c r="P24" s="62">
        <f>('1B'!P24/'1B'!$L24)*100</f>
        <v>7.9820997001515417E-2</v>
      </c>
      <c r="Q24" s="62">
        <f>('1B'!Q24/'1B'!$L24)*100</f>
        <v>8.0017117387268522E-2</v>
      </c>
      <c r="R24" s="62">
        <f>('1B'!R24/'1B'!$L24)*100</f>
        <v>0.20926045159856743</v>
      </c>
      <c r="S24" s="62">
        <f>('1B'!S24/'1B'!$L24)*100</f>
        <v>0.79569962907751424</v>
      </c>
      <c r="T24" s="62">
        <f>('1B'!T24/'1B'!$L24)*100</f>
        <v>0.32144131224934586</v>
      </c>
      <c r="U24" s="62">
        <f>('1B'!U24/'1B'!$L24)*100</f>
        <v>0.47655292534147986</v>
      </c>
      <c r="X24" s="3">
        <f t="shared" si="2"/>
        <v>0</v>
      </c>
      <c r="Y24" s="3">
        <f t="shared" si="2"/>
        <v>5.7429773184369814E-2</v>
      </c>
      <c r="Z24" s="3">
        <f t="shared" si="3"/>
        <v>-7.306674625763943</v>
      </c>
      <c r="AA24" s="3">
        <f t="shared" si="3"/>
        <v>0.48483245484585158</v>
      </c>
      <c r="AB24" s="3">
        <f t="shared" si="9"/>
        <v>1.3232082703546588</v>
      </c>
      <c r="AC24" s="3">
        <f t="shared" si="9"/>
        <v>-3.4552414555773736</v>
      </c>
      <c r="AD24" s="3">
        <f t="shared" si="9"/>
        <v>5.8373854834393724</v>
      </c>
      <c r="AE24" s="3">
        <v>2009</v>
      </c>
      <c r="AF24" s="3">
        <f>((B30/L30))*100</f>
        <v>100</v>
      </c>
      <c r="AG24" s="3">
        <f t="shared" si="10"/>
        <v>109.82871339002396</v>
      </c>
      <c r="AH24" s="3">
        <f t="shared" si="10"/>
        <v>95.941831338145406</v>
      </c>
      <c r="AI24" s="3">
        <f t="shared" si="11"/>
        <v>108.56545182588837</v>
      </c>
      <c r="AJ24" s="3">
        <f t="shared" si="11"/>
        <v>116.58764981176223</v>
      </c>
      <c r="AK24" s="3">
        <f t="shared" si="11"/>
        <v>104.237604924506</v>
      </c>
      <c r="AN24" s="3">
        <v>2009</v>
      </c>
      <c r="AO24" s="3">
        <f t="shared" si="13"/>
        <v>0</v>
      </c>
      <c r="AP24" s="3">
        <f t="shared" si="12"/>
        <v>-10.593526461686608</v>
      </c>
      <c r="AQ24" s="3">
        <f t="shared" si="12"/>
        <v>-0.63717979565243166</v>
      </c>
      <c r="AR24" s="3">
        <f t="shared" si="12"/>
        <v>0.10908848010848793</v>
      </c>
      <c r="AS24" s="3">
        <f t="shared" si="12"/>
        <v>6.6655946595271409</v>
      </c>
      <c r="AT24" s="3">
        <f t="shared" si="12"/>
        <v>-3.5300406420097796</v>
      </c>
    </row>
    <row r="25" spans="1:46">
      <c r="A25" s="63">
        <v>2004</v>
      </c>
      <c r="B25" s="62">
        <f>('1B'!B25/'1B'!$B25)*100</f>
        <v>100</v>
      </c>
      <c r="C25" s="62">
        <f>('1B'!C25/'1B'!$B25)*100</f>
        <v>1.4984180524337349</v>
      </c>
      <c r="D25" s="62">
        <f>('1B'!D25/'1B'!$B25)*100</f>
        <v>0.1759861658695808</v>
      </c>
      <c r="E25" s="62">
        <f>('1B'!E25/'1B'!$B25)*100</f>
        <v>0.53187721790138487</v>
      </c>
      <c r="F25" s="62" t="s">
        <v>10</v>
      </c>
      <c r="G25" s="62" t="s">
        <v>10</v>
      </c>
      <c r="H25" s="62" t="s">
        <v>10</v>
      </c>
      <c r="I25" s="62">
        <f>('1B'!I25/'1B'!$B25)*100</f>
        <v>0.79055466866276913</v>
      </c>
      <c r="J25" s="62">
        <f>('1B'!J25/'1B'!$B25)*100</f>
        <v>0.34493120864649918</v>
      </c>
      <c r="K25" s="62">
        <f>('1B'!K25/'1B'!$B25)*100</f>
        <v>0.44562346001627007</v>
      </c>
      <c r="L25" s="62">
        <f>('1B'!L25/'1B'!$L25)*100</f>
        <v>100</v>
      </c>
      <c r="M25" s="62">
        <f>('1B'!M25/'1B'!$L25)*100</f>
        <v>1.2421887926728936</v>
      </c>
      <c r="N25" s="62">
        <f>('1B'!N25/'1B'!$L25)*100</f>
        <v>0.13158633855997506</v>
      </c>
      <c r="O25" s="62">
        <f>('1B'!O25/'1B'!$L25)*100</f>
        <v>0.33999983950555485</v>
      </c>
      <c r="P25" s="62">
        <f>('1B'!P25/'1B'!$L25)*100</f>
        <v>7.6234861456991501E-2</v>
      </c>
      <c r="Q25" s="62">
        <f>('1B'!Q25/'1B'!$L25)*100</f>
        <v>7.8145509613808325E-2</v>
      </c>
      <c r="R25" s="62">
        <f>('1B'!R25/'1B'!$L25)*100</f>
        <v>0.20463041759508246</v>
      </c>
      <c r="S25" s="62">
        <f>('1B'!S25/'1B'!$L25)*100</f>
        <v>0.77060261460736368</v>
      </c>
      <c r="T25" s="62">
        <f>('1B'!T25/'1B'!$L25)*100</f>
        <v>0.33552892281860341</v>
      </c>
      <c r="U25" s="62">
        <f>('1B'!U25/'1B'!$L25)*100</f>
        <v>0.43419479363662455</v>
      </c>
      <c r="X25" s="3">
        <f t="shared" si="2"/>
        <v>0</v>
      </c>
      <c r="Y25" s="3">
        <f t="shared" si="2"/>
        <v>-3.6961545004644769</v>
      </c>
      <c r="Z25" s="3">
        <f t="shared" si="3"/>
        <v>-8.5405171809563978</v>
      </c>
      <c r="AA25" s="3">
        <f t="shared" si="3"/>
        <v>-2.9377839060842348</v>
      </c>
      <c r="AB25" s="3">
        <f t="shared" si="9"/>
        <v>-3.1540814590106714</v>
      </c>
      <c r="AC25" s="3">
        <f t="shared" si="9"/>
        <v>4.3826384576011179</v>
      </c>
      <c r="AD25" s="3">
        <f t="shared" si="9"/>
        <v>-8.8884422804671797</v>
      </c>
      <c r="AE25" s="3">
        <v>2010</v>
      </c>
      <c r="AF25" s="3">
        <f>((B31/L31))*100</f>
        <v>100</v>
      </c>
      <c r="AG25" s="3">
        <f t="shared" si="10"/>
        <v>98.193979574521833</v>
      </c>
      <c r="AH25" s="3">
        <f t="shared" si="10"/>
        <v>95.33050937327981</v>
      </c>
      <c r="AI25" s="3">
        <f t="shared" si="11"/>
        <v>108.68388422720814</v>
      </c>
      <c r="AJ25" s="3">
        <f t="shared" si="11"/>
        <v>124.35890997128327</v>
      </c>
      <c r="AK25" s="3">
        <f t="shared" si="11"/>
        <v>100.55797510641335</v>
      </c>
      <c r="AN25" s="3">
        <v>2010</v>
      </c>
      <c r="AO25" s="3">
        <f t="shared" si="13"/>
        <v>0</v>
      </c>
      <c r="AP25" s="3">
        <f t="shared" si="12"/>
        <v>-4.8253475129269363</v>
      </c>
      <c r="AQ25" s="3">
        <f t="shared" si="12"/>
        <v>-7.7546817906615555</v>
      </c>
      <c r="AR25" s="3">
        <f t="shared" si="12"/>
        <v>-8.6467681980871962</v>
      </c>
      <c r="AS25" s="3">
        <f t="shared" si="12"/>
        <v>-12.821341609328519</v>
      </c>
      <c r="AT25" s="3">
        <f t="shared" si="12"/>
        <v>-6.0310933234725583</v>
      </c>
    </row>
    <row r="26" spans="1:46">
      <c r="A26" s="63">
        <v>2005</v>
      </c>
      <c r="B26" s="62">
        <f>('1B'!B26/'1B'!$B26)*100</f>
        <v>100</v>
      </c>
      <c r="C26" s="62" t="s">
        <v>10</v>
      </c>
      <c r="D26" s="62">
        <f>('1B'!D26/'1B'!$B26)*100</f>
        <v>0.17449818205936798</v>
      </c>
      <c r="E26" s="62">
        <f>('1B'!E26/'1B'!$B26)*100</f>
        <v>0.47429257086350674</v>
      </c>
      <c r="F26" s="62" t="s">
        <v>10</v>
      </c>
      <c r="G26" s="62" t="s">
        <v>10</v>
      </c>
      <c r="H26" s="62" t="s">
        <v>10</v>
      </c>
      <c r="I26" s="62" t="s">
        <v>10</v>
      </c>
      <c r="J26" s="62">
        <f>('1B'!J26/'1B'!$B26)*100</f>
        <v>0.29895023726687853</v>
      </c>
      <c r="K26" s="62">
        <f>('1B'!K26/'1B'!$B26)*100</f>
        <v>0.44022502668121827</v>
      </c>
      <c r="L26" s="62">
        <f>('1B'!L26/'1B'!$L26)*100</f>
        <v>100</v>
      </c>
      <c r="M26" s="62">
        <f>('1B'!M26/'1B'!$L26)*100</f>
        <v>1.1838006230529596</v>
      </c>
      <c r="N26" s="62">
        <f>('1B'!N26/'1B'!$L26)*100</f>
        <v>0.13421033293055351</v>
      </c>
      <c r="O26" s="62">
        <f>('1B'!O26/'1B'!$L26)*100</f>
        <v>0.33720020576189108</v>
      </c>
      <c r="P26" s="62">
        <f>('1B'!P26/'1B'!$L26)*100</f>
        <v>8.1672215354190447E-2</v>
      </c>
      <c r="Q26" s="62">
        <f>('1B'!Q26/'1B'!$L26)*100</f>
        <v>8.7625543124883146E-2</v>
      </c>
      <c r="R26" s="62">
        <f>('1B'!R26/'1B'!$L26)*100</f>
        <v>0.16892567549340529</v>
      </c>
      <c r="S26" s="62">
        <f>('1B'!S26/'1B'!$L26)*100</f>
        <v>0.71239008436051487</v>
      </c>
      <c r="T26" s="62">
        <f>('1B'!T26/'1B'!$L26)*100</f>
        <v>0.29256885163097923</v>
      </c>
      <c r="U26" s="62">
        <f>('1B'!U26/'1B'!$L26)*100</f>
        <v>0.41943054559458398</v>
      </c>
      <c r="X26" s="3">
        <f t="shared" si="2"/>
        <v>0</v>
      </c>
      <c r="Y26" s="3">
        <f t="shared" si="2"/>
        <v>-4.700426373538324</v>
      </c>
      <c r="Z26" s="3">
        <f t="shared" si="3"/>
        <v>1.994123705617401</v>
      </c>
      <c r="AA26" s="3">
        <f t="shared" si="3"/>
        <v>-0.82342207800307765</v>
      </c>
      <c r="AB26" s="3">
        <f t="shared" si="9"/>
        <v>-7.5541568563855961</v>
      </c>
      <c r="AC26" s="3">
        <f t="shared" si="9"/>
        <v>-12.803686438337126</v>
      </c>
      <c r="AD26" s="3">
        <f t="shared" si="9"/>
        <v>-3.4003742694337036</v>
      </c>
      <c r="AE26" s="3">
        <v>2011</v>
      </c>
      <c r="AF26" s="3">
        <f>((B32/L32))*100</f>
        <v>100</v>
      </c>
      <c r="AG26" s="3">
        <f t="shared" si="10"/>
        <v>93.455778823278663</v>
      </c>
      <c r="AH26" s="3">
        <f t="shared" si="10"/>
        <v>87.937931721965171</v>
      </c>
      <c r="AI26" s="3">
        <f t="shared" si="11"/>
        <v>99.286240689403996</v>
      </c>
      <c r="AJ26" s="3">
        <f t="shared" si="11"/>
        <v>108.41442930222773</v>
      </c>
      <c r="AK26" s="3">
        <f t="shared" si="11"/>
        <v>94.493229783551257</v>
      </c>
      <c r="AN26" s="3" t="s">
        <v>28</v>
      </c>
      <c r="AO26" s="3">
        <f>((AF26/AF22)^(1/4)-1)*100</f>
        <v>0</v>
      </c>
      <c r="AP26" s="3">
        <f>((AG26/AG22)^(1/4)-1)*100</f>
        <v>-1.6778106943084681</v>
      </c>
      <c r="AQ26" s="3">
        <f t="shared" ref="AQ26:AT26" si="14">((AH26/AH22)^(1/4)-1)*100</f>
        <v>-3.1623901277961219</v>
      </c>
      <c r="AR26" s="3">
        <f t="shared" si="14"/>
        <v>-0.17891943762272655</v>
      </c>
      <c r="AS26" s="3">
        <f t="shared" si="14"/>
        <v>2.0403106270942883</v>
      </c>
      <c r="AT26" s="3">
        <f t="shared" si="14"/>
        <v>-1.4060710843951107</v>
      </c>
    </row>
    <row r="27" spans="1:46" ht="15.75" thickBot="1">
      <c r="A27" s="63">
        <v>2006</v>
      </c>
      <c r="B27" s="78">
        <f>('1B'!B27/'1B'!$B27)*100</f>
        <v>100</v>
      </c>
      <c r="C27" s="78" t="s">
        <v>10</v>
      </c>
      <c r="D27" s="78">
        <f>('1B'!D27/'1B'!$B27)*100</f>
        <v>0.14016579677383839</v>
      </c>
      <c r="E27" s="78">
        <f>('1B'!E27/'1B'!$B27)*100</f>
        <v>0.38758287336418701</v>
      </c>
      <c r="F27" s="78" t="s">
        <v>10</v>
      </c>
      <c r="G27" s="78" t="s">
        <v>10</v>
      </c>
      <c r="H27" s="78" t="s">
        <v>10</v>
      </c>
      <c r="I27" s="78" t="s">
        <v>10</v>
      </c>
      <c r="J27" s="78">
        <f>('1B'!J27/'1B'!$B27)*100</f>
        <v>0.25644450843420064</v>
      </c>
      <c r="K27" s="78">
        <f>('1B'!K27/'1B'!$B27)*100</f>
        <v>0.3993820540044456</v>
      </c>
      <c r="L27" s="62">
        <f>('1B'!L27/'1B'!$L27)*100</f>
        <v>100</v>
      </c>
      <c r="M27" s="62">
        <f>('1B'!M27/'1B'!$L27)*100</f>
        <v>1.048128954384645</v>
      </c>
      <c r="N27" s="62">
        <f>('1B'!N27/'1B'!$L27)*100</f>
        <v>0.11206387276193516</v>
      </c>
      <c r="O27" s="62">
        <f>('1B'!O27/'1B'!$L27)*100</f>
        <v>0.33456935337432014</v>
      </c>
      <c r="P27" s="62">
        <f>('1B'!P27/'1B'!$L27)*100</f>
        <v>8.3118292094083349E-2</v>
      </c>
      <c r="Q27" s="62">
        <f>('1B'!Q27/'1B'!$L27)*100</f>
        <v>8.8951154697176918E-2</v>
      </c>
      <c r="R27" s="62">
        <f>('1B'!R27/'1B'!$L27)*100</f>
        <v>0.16167966027949987</v>
      </c>
      <c r="S27" s="62">
        <f>('1B'!S27/'1B'!$L27)*100</f>
        <v>0.60149572824838959</v>
      </c>
      <c r="T27" s="62">
        <f>('1B'!T27/'1B'!$L27)*100</f>
        <v>0.22764569078136121</v>
      </c>
      <c r="U27" s="62">
        <f>('1B'!U27/'1B'!$L27)*100</f>
        <v>0.37410522520591377</v>
      </c>
      <c r="X27" s="3">
        <f t="shared" si="2"/>
        <v>0</v>
      </c>
      <c r="Y27" s="3">
        <f t="shared" si="2"/>
        <v>-11.460685695402361</v>
      </c>
      <c r="Z27" s="3">
        <f t="shared" si="3"/>
        <v>-16.50130782409871</v>
      </c>
      <c r="AA27" s="3">
        <f t="shared" si="3"/>
        <v>-0.78020485830565534</v>
      </c>
      <c r="AB27" s="3">
        <f t="shared" si="9"/>
        <v>-15.566521565452563</v>
      </c>
      <c r="AC27" s="3">
        <f t="shared" si="9"/>
        <v>-22.190728947286033</v>
      </c>
      <c r="AD27" s="3">
        <f t="shared" si="9"/>
        <v>-10.806394733225044</v>
      </c>
    </row>
    <row r="28" spans="1:46">
      <c r="A28" s="63">
        <v>2007</v>
      </c>
      <c r="B28" s="62">
        <f>('1B'!B28/'1B'!$B28)*100</f>
        <v>100</v>
      </c>
      <c r="C28" s="62">
        <f>('1B'!C28/'1B'!$B28)*100</f>
        <v>0.95040954415954426</v>
      </c>
      <c r="D28" s="62">
        <f>('1B'!D28/'1B'!$B28)*100</f>
        <v>9.5206093189964161E-2</v>
      </c>
      <c r="E28" s="62">
        <f>('1B'!E28/'1B'!$B28)*100</f>
        <v>0.29448551373954601</v>
      </c>
      <c r="F28" s="62">
        <f>('1B'!F28/'1B'!$B28)*100</f>
        <v>6.8388992280121325E-2</v>
      </c>
      <c r="G28" s="62">
        <f>('1B'!G28/'1B'!$B28)*100</f>
        <v>7.6466432313206517E-2</v>
      </c>
      <c r="H28" s="62">
        <f>('1B'!H28/'1B'!$B28)*100</f>
        <v>0.14970188861317893</v>
      </c>
      <c r="I28" s="62">
        <f>('1B'!I28/'1B'!$B28)*100</f>
        <v>0.56071793723003416</v>
      </c>
      <c r="J28" s="62">
        <f>('1B'!J28/'1B'!$B28)*100</f>
        <v>0.22026281476886317</v>
      </c>
      <c r="K28" s="62">
        <f>('1B'!K28/'1B'!$B28)*100</f>
        <v>0.34045512246117088</v>
      </c>
      <c r="L28" s="62">
        <f>('1B'!L28/'1B'!$L28)*100</f>
        <v>100</v>
      </c>
      <c r="M28" s="62">
        <f>('1B'!M28/'1B'!$L28)*100</f>
        <v>0.95040954415954426</v>
      </c>
      <c r="N28" s="62">
        <f>('1B'!N28/'1B'!$L28)*100</f>
        <v>9.5206093189964161E-2</v>
      </c>
      <c r="O28" s="62">
        <f>('1B'!O28/'1B'!$L28)*100</f>
        <v>0.29448551373954601</v>
      </c>
      <c r="P28" s="62">
        <f>('1B'!P28/'1B'!$L28)*100</f>
        <v>6.8388992280121325E-2</v>
      </c>
      <c r="Q28" s="62">
        <f>('1B'!Q28/'1B'!$L28)*100</f>
        <v>7.6466432313206517E-2</v>
      </c>
      <c r="R28" s="62">
        <f>('1B'!R28/'1B'!$L28)*100</f>
        <v>0.14970188861317893</v>
      </c>
      <c r="S28" s="62">
        <f>('1B'!S28/'1B'!$L28)*100</f>
        <v>0.56071793723003416</v>
      </c>
      <c r="T28" s="62">
        <f>('1B'!T28/'1B'!$L28)*100</f>
        <v>0.22026281476886317</v>
      </c>
      <c r="U28" s="62">
        <f>('1B'!U28/'1B'!$L28)*100</f>
        <v>0.34045512246117088</v>
      </c>
      <c r="X28" s="3">
        <f t="shared" si="2"/>
        <v>0</v>
      </c>
      <c r="Y28" s="3">
        <f t="shared" si="2"/>
        <v>-9.3232239999010087</v>
      </c>
      <c r="Z28" s="3">
        <f t="shared" si="3"/>
        <v>-15.043009987512313</v>
      </c>
      <c r="AA28" s="3">
        <f t="shared" si="3"/>
        <v>-11.980726635750127</v>
      </c>
      <c r="AB28" s="3">
        <f t="shared" si="9"/>
        <v>-6.779398273883686</v>
      </c>
      <c r="AC28" s="3">
        <f t="shared" si="9"/>
        <v>-3.2431433194089365</v>
      </c>
      <c r="AD28" s="3">
        <f t="shared" si="9"/>
        <v>-8.9948229742638048</v>
      </c>
      <c r="AF28" s="4" t="s">
        <v>31</v>
      </c>
    </row>
    <row r="29" spans="1:46">
      <c r="A29" s="63">
        <v>2008</v>
      </c>
      <c r="B29" s="62">
        <f>('1B'!B29/'1B'!$B29)*100</f>
        <v>100</v>
      </c>
      <c r="C29" s="62">
        <f>('1B'!C29/'1B'!$B29)*100</f>
        <v>0.85222658054236855</v>
      </c>
      <c r="D29" s="62">
        <f>('1B'!D29/'1B'!$B29)*100</f>
        <v>9.0011003306641968E-2</v>
      </c>
      <c r="E29" s="62">
        <f>('1B'!E29/'1B'!$B29)*100</f>
        <v>0.24444926260895608</v>
      </c>
      <c r="F29" s="62">
        <f>('1B'!F29/'1B'!$B29)*100</f>
        <v>4.8377824452765589E-2</v>
      </c>
      <c r="G29" s="62">
        <f>('1B'!G29/'1B'!$B29)*100</f>
        <v>6.0383999864400843E-2</v>
      </c>
      <c r="H29" s="62">
        <f>('1B'!H29/'1B'!$B29)*100</f>
        <v>0.1355991575902335</v>
      </c>
      <c r="I29" s="62">
        <f>('1B'!I29/'1B'!$B29)*100</f>
        <v>0.51776631462677047</v>
      </c>
      <c r="J29" s="62">
        <f>('1B'!J29/'1B'!$B29)*100</f>
        <v>0.20052078551462002</v>
      </c>
      <c r="K29" s="62">
        <f>('1B'!K29/'1B'!$B29)*100</f>
        <v>0.31724552911215037</v>
      </c>
      <c r="L29" s="62">
        <f>('1B'!L29/'1B'!$L29)*100</f>
        <v>100</v>
      </c>
      <c r="M29" s="62">
        <f>('1B'!M29/'1B'!$L29)*100</f>
        <v>0.87539292091529453</v>
      </c>
      <c r="N29" s="62">
        <f>('1B'!N29/'1B'!$L29)*100</f>
        <v>8.9533111789820832E-2</v>
      </c>
      <c r="O29" s="62">
        <f>('1B'!O29/'1B'!$L29)*100</f>
        <v>0.26059888662519137</v>
      </c>
      <c r="P29" s="62">
        <f>('1B'!P29/'1B'!$L29)*100</f>
        <v>5.699196071761687E-2</v>
      </c>
      <c r="Q29" s="62">
        <f>('1B'!Q29/'1B'!$L29)*100</f>
        <v>6.7958867985044732E-2</v>
      </c>
      <c r="R29" s="62">
        <f>('1B'!R29/'1B'!$L29)*100</f>
        <v>0.13537837987497006</v>
      </c>
      <c r="S29" s="62">
        <f>('1B'!S29/'1B'!$L29)*100</f>
        <v>0.52526092250028222</v>
      </c>
      <c r="T29" s="62">
        <f>('1B'!T29/'1B'!$L29)*100</f>
        <v>0.20828134539860932</v>
      </c>
      <c r="U29" s="62">
        <f>('1B'!U29/'1B'!$L29)*100</f>
        <v>0.31703351271118485</v>
      </c>
      <c r="X29" s="3">
        <f t="shared" si="2"/>
        <v>0</v>
      </c>
      <c r="Y29" s="3">
        <f t="shared" si="2"/>
        <v>-7.893083955779046</v>
      </c>
      <c r="Z29" s="3">
        <f t="shared" si="3"/>
        <v>-5.9586326988799616</v>
      </c>
      <c r="AA29" s="3">
        <f t="shared" si="3"/>
        <v>-11.507060800391432</v>
      </c>
      <c r="AB29" s="3">
        <f t="shared" si="9"/>
        <v>-6.3235028479578848</v>
      </c>
      <c r="AC29" s="3">
        <f t="shared" si="9"/>
        <v>-5.4396241974964399</v>
      </c>
      <c r="AD29" s="3">
        <f t="shared" si="9"/>
        <v>-6.8794998825894567</v>
      </c>
      <c r="AF29" s="3" t="s">
        <v>2</v>
      </c>
      <c r="AG29" s="3" t="s">
        <v>23</v>
      </c>
      <c r="AH29" s="3" t="s">
        <v>3</v>
      </c>
      <c r="AI29" s="3" t="s">
        <v>4</v>
      </c>
      <c r="AJ29" s="3" t="s">
        <v>5</v>
      </c>
      <c r="AK29" s="3" t="s">
        <v>6</v>
      </c>
      <c r="AL29" s="3" t="s">
        <v>7</v>
      </c>
    </row>
    <row r="30" spans="1:46">
      <c r="A30" s="63">
        <v>2009</v>
      </c>
      <c r="B30" s="62">
        <f>('1B'!B30/'1B'!$B30)*100</f>
        <v>100</v>
      </c>
      <c r="C30" s="62">
        <f>('1B'!C30/'1B'!$B30)*100</f>
        <v>0.73744430305742403</v>
      </c>
      <c r="D30" s="62">
        <f>('1B'!D30/'1B'!$B30)*100</f>
        <v>7.9195878224310665E-2</v>
      </c>
      <c r="E30" s="62">
        <f>('1B'!E30/'1B'!$B30)*100</f>
        <v>0.18698627911664648</v>
      </c>
      <c r="F30" s="62">
        <f>('1B'!F30/'1B'!$B30)*100</f>
        <v>3.1771691853361254E-2</v>
      </c>
      <c r="G30" s="62">
        <f>('1B'!G30/'1B'!$B30)*100</f>
        <v>4.5413774231075697E-2</v>
      </c>
      <c r="H30" s="62">
        <f>('1B'!H30/'1B'!$B30)*100</f>
        <v>0.1098546633573847</v>
      </c>
      <c r="I30" s="62">
        <f>('1B'!I30/'1B'!$B30)*100</f>
        <v>0.47126214571646702</v>
      </c>
      <c r="J30" s="62">
        <f>('1B'!J30/'1B'!$B30)*100</f>
        <v>0.16309468484725448</v>
      </c>
      <c r="K30" s="62">
        <f>('1B'!K30/'1B'!$B30)*100</f>
        <v>0.30816746086921248</v>
      </c>
      <c r="L30" s="62">
        <f>('1B'!L30/'1B'!$L30)*100</f>
        <v>100</v>
      </c>
      <c r="M30" s="62">
        <f>('1B'!M30/'1B'!$L30)*100</f>
        <v>0.7010851378418842</v>
      </c>
      <c r="N30" s="62">
        <f>('1B'!N30/'1B'!$L30)*100</f>
        <v>7.2108536811380186E-2</v>
      </c>
      <c r="O30" s="62">
        <f>('1B'!O30/'1B'!$L30)*100</f>
        <v>0.19489546583451842</v>
      </c>
      <c r="P30" s="62">
        <f>('1B'!P30/'1B'!$L30)*100</f>
        <v>3.8997663482847895E-2</v>
      </c>
      <c r="Q30" s="62">
        <f>('1B'!Q30/'1B'!$L30)*100</f>
        <v>5.6268057310966249E-2</v>
      </c>
      <c r="R30" s="62">
        <f>('1B'!R30/'1B'!$L30)*100</f>
        <v>9.9722596620425333E-2</v>
      </c>
      <c r="S30" s="62">
        <f>('1B'!S30/'1B'!$L30)*100</f>
        <v>0.43408113519598551</v>
      </c>
      <c r="T30" s="62">
        <f>('1B'!T30/'1B'!$L30)*100</f>
        <v>0.13989019000775865</v>
      </c>
      <c r="U30" s="62">
        <f>('1B'!U30/'1B'!$L30)*100</f>
        <v>0.29563942983187547</v>
      </c>
      <c r="X30" s="3">
        <f t="shared" si="2"/>
        <v>0</v>
      </c>
      <c r="Y30" s="3">
        <f t="shared" si="2"/>
        <v>-19.911947984587009</v>
      </c>
      <c r="Z30" s="3">
        <f t="shared" si="3"/>
        <v>-19.461598765096955</v>
      </c>
      <c r="AA30" s="3">
        <f t="shared" si="3"/>
        <v>-25.212471795849023</v>
      </c>
      <c r="AB30" s="3">
        <f t="shared" si="9"/>
        <v>-17.358951218048723</v>
      </c>
      <c r="AC30" s="3">
        <f t="shared" si="9"/>
        <v>-32.835948538724637</v>
      </c>
      <c r="AD30" s="3">
        <f t="shared" si="9"/>
        <v>-6.7482086345866055</v>
      </c>
      <c r="AE30" s="3">
        <v>1984</v>
      </c>
      <c r="AF30" s="3">
        <f t="shared" ref="AF30:AF34" si="15">(L5/$L$21)*100</f>
        <v>100</v>
      </c>
      <c r="AG30" s="3">
        <f>(M5/$M$21)*100</f>
        <v>132.42894994411697</v>
      </c>
      <c r="AH30" s="3">
        <f t="shared" ref="AH30:AH34" si="16">(N5/$N$21)*100</f>
        <v>79.533157317600029</v>
      </c>
      <c r="AI30" s="3">
        <f>(O5/$O$21)*100</f>
        <v>111.23363969488187</v>
      </c>
      <c r="AJ30" s="3">
        <f t="shared" ref="AJ30:AJ34" si="17">(S5/$S$21)*100</f>
        <v>152.61510304586409</v>
      </c>
      <c r="AK30" s="3">
        <f t="shared" ref="AK30:AK34" si="18">(T5/$T$21)*100</f>
        <v>177.73545116235948</v>
      </c>
      <c r="AL30" s="3">
        <f t="shared" ref="AL30:AL34" si="19">(U5/$U$21)*100</f>
        <v>139.75521806795911</v>
      </c>
    </row>
    <row r="31" spans="1:46">
      <c r="A31" s="63">
        <v>2010</v>
      </c>
      <c r="B31" s="62">
        <f>('1B'!B31/'1B'!$B31)*100</f>
        <v>100</v>
      </c>
      <c r="C31" s="62">
        <f>('1B'!C31/'1B'!$B31)*100</f>
        <v>0.74414079506391018</v>
      </c>
      <c r="D31" s="62">
        <f>('1B'!D31/'1B'!$B31)*100</f>
        <v>7.0591705822517281E-2</v>
      </c>
      <c r="E31" s="62">
        <f>('1B'!E31/'1B'!$B31)*100</f>
        <v>0.18699418683497784</v>
      </c>
      <c r="F31" s="62">
        <f>('1B'!F31/'1B'!$B31)*100</f>
        <v>3.2928085909036675E-2</v>
      </c>
      <c r="G31" s="62">
        <f>('1B'!G31/'1B'!$B31)*100</f>
        <v>4.3112030004615026E-2</v>
      </c>
      <c r="H31" s="62">
        <f>('1B'!H31/'1B'!$B31)*100</f>
        <v>0.11100499064180405</v>
      </c>
      <c r="I31" s="62">
        <f>('1B'!I31/'1B'!$B31)*100</f>
        <v>0.48655490240641514</v>
      </c>
      <c r="J31" s="62">
        <f>('1B'!J31/'1B'!$B31)*100</f>
        <v>0.19101684475273131</v>
      </c>
      <c r="K31" s="62">
        <f>('1B'!K31/'1B'!$B31)*100</f>
        <v>0.29553805765368385</v>
      </c>
      <c r="L31" s="62">
        <f>('1B'!L31/'1B'!$L31)*100</f>
        <v>100</v>
      </c>
      <c r="M31" s="62">
        <f>('1B'!M31/'1B'!$L31)*100</f>
        <v>0.71572259200634303</v>
      </c>
      <c r="N31" s="62">
        <f>('1B'!N31/'1B'!$L31)*100</f>
        <v>7.1890054897860101E-2</v>
      </c>
      <c r="O31" s="62">
        <f>('1B'!O31/'1B'!$L31)*100</f>
        <v>0.1961535588808995</v>
      </c>
      <c r="P31" s="62">
        <f>('1B'!P31/'1B'!$L31)*100</f>
        <v>3.6806846288864437E-2</v>
      </c>
      <c r="Q31" s="62">
        <f>('1B'!Q31/'1B'!$L31)*100</f>
        <v>5.7634134920612125E-2</v>
      </c>
      <c r="R31" s="62">
        <f>('1B'!R31/'1B'!$L31)*100</f>
        <v>0.10144325928394346</v>
      </c>
      <c r="S31" s="62">
        <f>('1B'!S31/'1B'!$L31)*100</f>
        <v>0.44767897822758346</v>
      </c>
      <c r="T31" s="62">
        <f>('1B'!T31/'1B'!$L31)*100</f>
        <v>0.15360125365913915</v>
      </c>
      <c r="U31" s="62">
        <f>('1B'!U31/'1B'!$L31)*100</f>
        <v>0.29389817897679121</v>
      </c>
      <c r="X31" s="3">
        <f t="shared" si="2"/>
        <v>0</v>
      </c>
      <c r="Y31" s="3">
        <f t="shared" si="2"/>
        <v>2.0878283355879601</v>
      </c>
      <c r="Z31" s="3">
        <f t="shared" si="3"/>
        <v>-0.30299035756554682</v>
      </c>
      <c r="AA31" s="3">
        <f t="shared" si="3"/>
        <v>0.6455219678888291</v>
      </c>
      <c r="AB31" s="3">
        <f t="shared" si="9"/>
        <v>3.1325579319309904</v>
      </c>
      <c r="AC31" s="3">
        <f t="shared" si="9"/>
        <v>9.8013046165853712</v>
      </c>
      <c r="AD31" s="3">
        <f t="shared" si="9"/>
        <v>-0.5889778829821446</v>
      </c>
      <c r="AE31" s="3">
        <v>1985</v>
      </c>
      <c r="AF31" s="3">
        <f t="shared" si="15"/>
        <v>100</v>
      </c>
      <c r="AG31" s="3">
        <f>(M6/$M$21)*100</f>
        <v>118.18467414965316</v>
      </c>
      <c r="AH31" s="3">
        <f t="shared" si="16"/>
        <v>79.312064834362587</v>
      </c>
      <c r="AI31" s="3">
        <f>(O6/$O$21)*100</f>
        <v>91.017062669153646</v>
      </c>
      <c r="AJ31" s="3">
        <f t="shared" si="17"/>
        <v>137.83469747874301</v>
      </c>
      <c r="AK31" s="3">
        <f t="shared" si="18"/>
        <v>158.11788660487468</v>
      </c>
      <c r="AL31" s="3">
        <f t="shared" si="19"/>
        <v>128.54507352004049</v>
      </c>
    </row>
    <row r="32" spans="1:46">
      <c r="A32" s="63">
        <v>2011</v>
      </c>
      <c r="B32" s="62">
        <f>('1B'!B32/'1B'!$B32)*100</f>
        <v>100</v>
      </c>
      <c r="C32" s="62">
        <f>('1B'!C32/'1B'!$B32)*100</f>
        <v>0.64606225935148043</v>
      </c>
      <c r="D32" s="62">
        <f>('1B'!D32/'1B'!$B32)*100</f>
        <v>6.4377981144066496E-2</v>
      </c>
      <c r="E32" s="62">
        <f>('1B'!E32/'1B'!$B32)*100</f>
        <v>0.15965804074023832</v>
      </c>
      <c r="F32" s="62">
        <f>('1B'!F32/'1B'!$B32)*100</f>
        <v>2.7842626997182388E-2</v>
      </c>
      <c r="G32" s="62">
        <f>('1B'!G32/'1B'!$B32)*100</f>
        <v>3.4803283746477981E-2</v>
      </c>
      <c r="H32" s="62">
        <f>('1B'!H32/'1B'!$B32)*100</f>
        <v>9.696356727507123E-2</v>
      </c>
      <c r="I32" s="62">
        <f>('1B'!I32/'1B'!$B32)*100</f>
        <v>0.4220262374671756</v>
      </c>
      <c r="J32" s="62">
        <f>('1B'!J32/'1B'!$B32)*100</f>
        <v>0.152082256185191</v>
      </c>
      <c r="K32" s="62">
        <f>('1B'!K32/'1B'!$B32)*100</f>
        <v>0.2699439812819846</v>
      </c>
      <c r="L32" s="62">
        <f>('1B'!L32/'1B'!$L32)*100</f>
        <v>100</v>
      </c>
      <c r="M32" s="62">
        <f>('1B'!M32/'1B'!$L32)*100</f>
        <v>0.67550382773232609</v>
      </c>
      <c r="N32" s="62">
        <f>('1B'!N32/'1B'!$L32)*100</f>
        <v>6.8886035678759699E-2</v>
      </c>
      <c r="O32" s="62">
        <f>('1B'!O32/'1B'!$L32)*100</f>
        <v>0.18155764823424755</v>
      </c>
      <c r="P32" s="62">
        <f>('1B'!P32/'1B'!$L32)*100</f>
        <v>3.3128398837876799E-2</v>
      </c>
      <c r="Q32" s="62">
        <f>('1B'!Q32/'1B'!$L32)*100</f>
        <v>5.2409477526588165E-2</v>
      </c>
      <c r="R32" s="62">
        <f>('1B'!R32/'1B'!$L32)*100</f>
        <v>9.5353698242354387E-2</v>
      </c>
      <c r="S32" s="62">
        <f>('1B'!S32/'1B'!$L32)*100</f>
        <v>0.42506014381931878</v>
      </c>
      <c r="T32" s="62">
        <f>('1B'!T32/'1B'!$L32)*100</f>
        <v>0.14027861158705188</v>
      </c>
      <c r="U32" s="62">
        <f>('1B'!U32/'1B'!$L32)*100</f>
        <v>0.28567547315328895</v>
      </c>
      <c r="X32" s="3">
        <f t="shared" si="2"/>
        <v>0</v>
      </c>
      <c r="Y32" s="3">
        <f t="shared" si="2"/>
        <v>-5.6193230063164563</v>
      </c>
      <c r="Z32" s="3">
        <f t="shared" si="3"/>
        <v>-4.1786297470052691</v>
      </c>
      <c r="AA32" s="3">
        <f t="shared" si="3"/>
        <v>-7.4410633841796798</v>
      </c>
      <c r="AB32" s="3">
        <f t="shared" si="9"/>
        <v>-5.0524673947870973</v>
      </c>
      <c r="AC32" s="3">
        <f t="shared" si="9"/>
        <v>-8.6735243070684369</v>
      </c>
      <c r="AD32" s="3">
        <f t="shared" si="9"/>
        <v>-2.7978076802413931</v>
      </c>
      <c r="AE32" s="3">
        <v>1986</v>
      </c>
      <c r="AF32" s="3">
        <f t="shared" si="15"/>
        <v>100</v>
      </c>
      <c r="AH32" s="3">
        <f t="shared" si="16"/>
        <v>73.459491260131315</v>
      </c>
      <c r="AJ32" s="3">
        <f t="shared" si="17"/>
        <v>135.01580173105637</v>
      </c>
      <c r="AK32" s="3">
        <f t="shared" si="18"/>
        <v>158.35752651766839</v>
      </c>
      <c r="AL32" s="3">
        <f t="shared" si="19"/>
        <v>122.55766036697928</v>
      </c>
    </row>
    <row r="33" spans="1:47">
      <c r="A33" s="63">
        <v>2012</v>
      </c>
      <c r="B33" s="62" t="s">
        <v>10</v>
      </c>
      <c r="C33" s="62" t="s">
        <v>10</v>
      </c>
      <c r="D33" s="62" t="s">
        <v>10</v>
      </c>
      <c r="E33" s="62" t="s">
        <v>10</v>
      </c>
      <c r="F33" s="62" t="s">
        <v>10</v>
      </c>
      <c r="G33" s="62" t="s">
        <v>10</v>
      </c>
      <c r="H33" s="62" t="s">
        <v>10</v>
      </c>
      <c r="I33" s="62" t="s">
        <v>10</v>
      </c>
      <c r="J33" s="62" t="s">
        <v>10</v>
      </c>
      <c r="K33" s="62" t="s">
        <v>10</v>
      </c>
      <c r="L33" s="62">
        <f>('1B'!L33/'1B'!$L33)*100</f>
        <v>100</v>
      </c>
      <c r="M33" s="62">
        <f>('1B'!M33/'1B'!$L33)*100</f>
        <v>0.65234234758018972</v>
      </c>
      <c r="N33" s="62">
        <f>('1B'!N33/'1B'!$L33)*100</f>
        <v>5.8485151758617453E-2</v>
      </c>
      <c r="O33" s="62">
        <f>('1B'!O33/'1B'!$L33)*100</f>
        <v>0.1899300990296813</v>
      </c>
      <c r="P33" s="62">
        <f>('1B'!P33/'1B'!$L33)*100</f>
        <v>3.1744153166919212E-2</v>
      </c>
      <c r="Q33" s="62">
        <f>('1B'!Q33/'1B'!$L33)*100</f>
        <v>5.6759926043024024E-2</v>
      </c>
      <c r="R33" s="62">
        <f>('1B'!R33/'1B'!$L33)*100</f>
        <v>0.10092570436221597</v>
      </c>
      <c r="S33" s="62">
        <f>('1B'!S33/'1B'!$L33)*100</f>
        <v>0.40392709679189104</v>
      </c>
      <c r="T33" s="62">
        <f>('1B'!T33/'1B'!$L33)*100</f>
        <v>0.11490003265852279</v>
      </c>
      <c r="U33" s="62">
        <f>('1B'!U33/'1B'!$L33)*100</f>
        <v>0.29247751556455509</v>
      </c>
      <c r="X33" s="3">
        <f t="shared" si="2"/>
        <v>0</v>
      </c>
      <c r="Y33" s="3">
        <f t="shared" si="2"/>
        <v>-3.4287711188683789</v>
      </c>
      <c r="Z33" s="3">
        <f t="shared" si="3"/>
        <v>-15.098682654123541</v>
      </c>
      <c r="AA33" s="3">
        <f t="shared" si="3"/>
        <v>4.6114558526510141</v>
      </c>
      <c r="AB33" s="3">
        <f t="shared" si="9"/>
        <v>-4.9717780729897854</v>
      </c>
      <c r="AC33" s="3">
        <f t="shared" si="9"/>
        <v>-18.091552690325884</v>
      </c>
      <c r="AD33" s="3">
        <f t="shared" si="9"/>
        <v>2.381038293622173</v>
      </c>
      <c r="AE33" s="3">
        <v>1987</v>
      </c>
      <c r="AF33" s="3">
        <f t="shared" si="15"/>
        <v>100</v>
      </c>
      <c r="AG33" s="3">
        <f>(M8/$M$21)*100</f>
        <v>111.86556097315868</v>
      </c>
      <c r="AH33" s="3">
        <f t="shared" si="16"/>
        <v>72.473515861021951</v>
      </c>
      <c r="AI33" s="3">
        <f>(O8/$O$21)*100</f>
        <v>82.444703024850909</v>
      </c>
      <c r="AJ33" s="3">
        <f t="shared" si="17"/>
        <v>132.56341259033653</v>
      </c>
      <c r="AK33" s="3">
        <f t="shared" si="18"/>
        <v>159.14018542128957</v>
      </c>
      <c r="AL33" s="3">
        <f t="shared" si="19"/>
        <v>116.79352687658499</v>
      </c>
    </row>
    <row r="34" spans="1:47">
      <c r="A34" s="63">
        <v>2013</v>
      </c>
      <c r="B34" s="62" t="s">
        <v>10</v>
      </c>
      <c r="C34" s="62" t="s">
        <v>10</v>
      </c>
      <c r="D34" s="62" t="s">
        <v>10</v>
      </c>
      <c r="E34" s="62" t="s">
        <v>10</v>
      </c>
      <c r="F34" s="62" t="s">
        <v>10</v>
      </c>
      <c r="G34" s="62" t="s">
        <v>10</v>
      </c>
      <c r="H34" s="62" t="s">
        <v>10</v>
      </c>
      <c r="I34" s="62" t="s">
        <v>10</v>
      </c>
      <c r="J34" s="62" t="s">
        <v>10</v>
      </c>
      <c r="K34" s="62" t="s">
        <v>10</v>
      </c>
      <c r="L34" s="62">
        <f>('1B'!L34/'1B'!$L34)*100</f>
        <v>100</v>
      </c>
      <c r="M34" s="62">
        <f>('1B'!M34/'1B'!$L34)*100</f>
        <v>0.64267628145053279</v>
      </c>
      <c r="N34" s="62">
        <f>('1B'!N34/'1B'!$L34)*100</f>
        <v>6.4170503378919497E-2</v>
      </c>
      <c r="O34" s="62">
        <f>('1B'!O34/'1B'!$L34)*100</f>
        <v>0.19603867269635389</v>
      </c>
      <c r="P34" s="62">
        <f>('1B'!P34/'1B'!$L34)*100</f>
        <v>3.3567682330449121E-2</v>
      </c>
      <c r="Q34" s="62">
        <f>('1B'!Q34/'1B'!$L34)*100</f>
        <v>6.3386689476787189E-2</v>
      </c>
      <c r="R34" s="62">
        <f>('1B'!R34/'1B'!$L34)*100</f>
        <v>9.985107535859486E-2</v>
      </c>
      <c r="S34" s="62">
        <f>('1B'!S34/'1B'!$L34)*100</f>
        <v>0.38246710537525941</v>
      </c>
      <c r="T34" s="62">
        <f>('1B'!T34/'1B'!$L34)*100</f>
        <v>0.11770840078108757</v>
      </c>
      <c r="U34" s="62">
        <f>('1B'!U34/'1B'!$L34)*100</f>
        <v>0.26683751537808797</v>
      </c>
      <c r="X34" s="3">
        <f t="shared" si="2"/>
        <v>0</v>
      </c>
      <c r="Y34" s="3">
        <f t="shared" si="2"/>
        <v>-1.4817474544635001</v>
      </c>
      <c r="Z34" s="3">
        <f t="shared" si="3"/>
        <v>9.7210171288721003</v>
      </c>
      <c r="AA34" s="3">
        <f t="shared" si="3"/>
        <v>3.2162220195114832</v>
      </c>
      <c r="AB34" s="3">
        <f t="shared" si="9"/>
        <v>-5.3128377836181961</v>
      </c>
      <c r="AC34" s="3">
        <f t="shared" si="9"/>
        <v>2.4441839202179461</v>
      </c>
      <c r="AD34" s="3">
        <f t="shared" si="9"/>
        <v>-8.7664859081476703</v>
      </c>
      <c r="AE34" s="3">
        <v>1988</v>
      </c>
      <c r="AF34" s="3">
        <f t="shared" si="15"/>
        <v>100</v>
      </c>
      <c r="AH34" s="3">
        <f t="shared" si="16"/>
        <v>69.688257453190985</v>
      </c>
      <c r="AJ34" s="3">
        <f t="shared" si="17"/>
        <v>126.99632803521649</v>
      </c>
      <c r="AK34" s="3">
        <f t="shared" si="18"/>
        <v>151.21257003100769</v>
      </c>
      <c r="AL34" s="3">
        <f t="shared" si="19"/>
        <v>113.09198271147491</v>
      </c>
    </row>
    <row r="35" spans="1:47">
      <c r="A35" s="63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47" ht="15" customHeight="1">
      <c r="A36" s="454" t="s">
        <v>45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31"/>
      <c r="AE36" s="3">
        <v>1989</v>
      </c>
      <c r="AF36" s="3">
        <f t="shared" ref="AF36" si="20">(L10/$L$21)*100</f>
        <v>100</v>
      </c>
      <c r="AH36" s="3">
        <f t="shared" ref="AH36" si="21">(N10/$N$21)*100</f>
        <v>74.438034046173357</v>
      </c>
      <c r="AJ36" s="3">
        <f t="shared" ref="AJ36" si="22">(S10/$S$21)*100</f>
        <v>129.75035356991796</v>
      </c>
      <c r="AK36" s="3">
        <f t="shared" ref="AK36" si="23">(T10/$T$21)*100</f>
        <v>157.1853535829421</v>
      </c>
      <c r="AL36" s="3">
        <f>(U10/$U$21)*100</f>
        <v>112.93994013344766</v>
      </c>
    </row>
    <row r="37" spans="1:47" ht="30" customHeight="1">
      <c r="A37" s="63" t="s">
        <v>29</v>
      </c>
      <c r="B37" s="7">
        <f>((B21/B5)^(1/16)-1)*100</f>
        <v>0</v>
      </c>
      <c r="C37" s="7">
        <f>((C21/C5)^(1/16)-1)*100</f>
        <v>-0.36202718270373913</v>
      </c>
      <c r="D37" s="7">
        <f>((D21/D5)^(1/16)-1)*100</f>
        <v>-2.0609501757449689</v>
      </c>
      <c r="E37" s="7">
        <f t="shared" ref="E37:M37" si="24">((E21/E5)^(1/16)-1)*100</f>
        <v>2.8290541408440228</v>
      </c>
      <c r="F37" s="12" t="s">
        <v>10</v>
      </c>
      <c r="G37" s="12" t="s">
        <v>10</v>
      </c>
      <c r="H37" s="12" t="s">
        <v>10</v>
      </c>
      <c r="I37" s="7">
        <f t="shared" si="24"/>
        <v>-1.1902290373137836</v>
      </c>
      <c r="J37" s="7">
        <f t="shared" si="24"/>
        <v>-1.4495641198419285</v>
      </c>
      <c r="K37" s="7">
        <f t="shared" si="24"/>
        <v>-0.73353402534811485</v>
      </c>
      <c r="L37" s="7">
        <f t="shared" si="24"/>
        <v>0</v>
      </c>
      <c r="M37" s="7">
        <f t="shared" si="24"/>
        <v>-1.7401568524287536</v>
      </c>
      <c r="N37" s="7">
        <f>((N21/N5)^(1/16)-1)*100</f>
        <v>1.441517191656394</v>
      </c>
      <c r="O37" s="7">
        <f t="shared" ref="O37:U37" si="25">((O21/O5)^(1/16)-1)*100</f>
        <v>-0.66318282980116772</v>
      </c>
      <c r="P37" s="12" t="s">
        <v>10</v>
      </c>
      <c r="Q37" s="12" t="s">
        <v>10</v>
      </c>
      <c r="R37" s="12" t="s">
        <v>10</v>
      </c>
      <c r="S37" s="7">
        <f t="shared" si="25"/>
        <v>-2.6075804322148732</v>
      </c>
      <c r="T37" s="7">
        <f t="shared" si="25"/>
        <v>-3.5307013370910245</v>
      </c>
      <c r="U37" s="7">
        <f t="shared" si="25"/>
        <v>-2.0702833346682992</v>
      </c>
      <c r="AE37" s="3">
        <v>1991</v>
      </c>
      <c r="AF37" s="3">
        <f t="shared" ref="AF37:AF39" si="26">(L12/$L$21)*100</f>
        <v>100</v>
      </c>
      <c r="AG37" s="3">
        <f>(M12/$M$21)*100</f>
        <v>66.706605928559227</v>
      </c>
      <c r="AH37" s="3">
        <f t="shared" ref="AH37:AH39" si="27">(N12/$N$21)*100</f>
        <v>110.13240419718929</v>
      </c>
      <c r="AI37" s="3">
        <f>(O12/$O$21)*100</f>
        <v>60.182870154777909</v>
      </c>
      <c r="AJ37" s="3">
        <f>(S12/$S$21)*100</f>
        <v>60.073338926771299</v>
      </c>
      <c r="AK37" s="3">
        <f t="shared" ref="AK37:AK39" si="28">(T12/$T$21)*100</f>
        <v>126.8539436383614</v>
      </c>
    </row>
    <row r="38" spans="1:47" ht="30" customHeight="1">
      <c r="A38" s="325" t="s">
        <v>68</v>
      </c>
      <c r="B38" s="7">
        <f>((B28/B21)^(1/7)-1)*100</f>
        <v>0</v>
      </c>
      <c r="C38" s="7">
        <f t="shared" ref="C38:U38" si="29">((C28/C21)^(1/7)-1)*100</f>
        <v>-9.0659009240067974</v>
      </c>
      <c r="D38" s="7">
        <f t="shared" si="29"/>
        <v>-11.697191832401954</v>
      </c>
      <c r="E38" s="7">
        <f t="shared" si="29"/>
        <v>-8.8506248520751072</v>
      </c>
      <c r="F38" s="7" t="e">
        <f t="shared" si="29"/>
        <v>#VALUE!</v>
      </c>
      <c r="G38" s="7" t="e">
        <f t="shared" si="29"/>
        <v>#VALUE!</v>
      </c>
      <c r="H38" s="7" t="e">
        <f t="shared" si="29"/>
        <v>#VALUE!</v>
      </c>
      <c r="I38" s="7">
        <f t="shared" si="29"/>
        <v>-8.6676919101007055</v>
      </c>
      <c r="J38" s="7">
        <f t="shared" si="29"/>
        <v>-14.501263467146686</v>
      </c>
      <c r="K38" s="7">
        <f t="shared" si="29"/>
        <v>-2.2137765773930784</v>
      </c>
      <c r="L38" s="7">
        <f t="shared" si="29"/>
        <v>0</v>
      </c>
      <c r="M38" s="7">
        <f t="shared" si="29"/>
        <v>-4.3186600704403943</v>
      </c>
      <c r="N38" s="7">
        <f t="shared" si="29"/>
        <v>-8.0116183422337279</v>
      </c>
      <c r="O38" s="7">
        <f t="shared" si="29"/>
        <v>-1.6056866995159291</v>
      </c>
      <c r="P38" s="7">
        <f t="shared" si="29"/>
        <v>-1.2671111551490477</v>
      </c>
      <c r="Q38" s="7">
        <f t="shared" si="29"/>
        <v>-0.14866616609050531</v>
      </c>
      <c r="R38" s="7">
        <f t="shared" si="29"/>
        <v>-3.825280229459993</v>
      </c>
      <c r="S38" s="7">
        <f t="shared" si="29"/>
        <v>-4.8466404304123856</v>
      </c>
      <c r="T38" s="7">
        <f t="shared" si="29"/>
        <v>-7.3539661880270835</v>
      </c>
      <c r="U38" s="7">
        <f t="shared" si="29"/>
        <v>-1.8799852081379576</v>
      </c>
      <c r="AE38" s="3">
        <v>1992</v>
      </c>
      <c r="AF38" s="3">
        <f t="shared" si="26"/>
        <v>100</v>
      </c>
      <c r="AH38" s="3">
        <f t="shared" si="27"/>
        <v>105.77517975623269</v>
      </c>
      <c r="AJ38" s="3">
        <f>(S13/$S$21)*100</f>
        <v>120.48598534766097</v>
      </c>
      <c r="AK38" s="3">
        <f t="shared" si="28"/>
        <v>136.31853460995919</v>
      </c>
      <c r="AL38" s="3">
        <f>(U13/$U$21)*100</f>
        <v>114.20053541499864</v>
      </c>
    </row>
    <row r="39" spans="1:47" ht="30" customHeight="1">
      <c r="A39" s="63" t="s">
        <v>69</v>
      </c>
      <c r="B39" s="11" t="s">
        <v>10</v>
      </c>
      <c r="C39" s="11" t="s">
        <v>10</v>
      </c>
      <c r="D39" s="11" t="s">
        <v>10</v>
      </c>
      <c r="E39" s="11" t="s">
        <v>10</v>
      </c>
      <c r="F39" s="11" t="s">
        <v>10</v>
      </c>
      <c r="G39" s="11" t="s">
        <v>10</v>
      </c>
      <c r="H39" s="11" t="s">
        <v>10</v>
      </c>
      <c r="I39" s="11" t="s">
        <v>10</v>
      </c>
      <c r="J39" s="11" t="s">
        <v>10</v>
      </c>
      <c r="K39" s="11" t="s">
        <v>10</v>
      </c>
      <c r="L39" s="11">
        <f t="shared" ref="L39:U39" si="30">((L34/L28)^(1/6)-1)*100</f>
        <v>0</v>
      </c>
      <c r="M39" s="11">
        <f t="shared" si="30"/>
        <v>-6.3128026555429262</v>
      </c>
      <c r="N39" s="11">
        <f t="shared" si="30"/>
        <v>-6.3635118627451632</v>
      </c>
      <c r="O39" s="11">
        <f t="shared" si="30"/>
        <v>-6.5571011604728335</v>
      </c>
      <c r="P39" s="11">
        <f t="shared" si="30"/>
        <v>-11.184412684855561</v>
      </c>
      <c r="Q39" s="11">
        <f t="shared" si="30"/>
        <v>-3.0782589258230075</v>
      </c>
      <c r="R39" s="11">
        <f t="shared" si="30"/>
        <v>-6.5266994697067204</v>
      </c>
      <c r="S39" s="11">
        <f t="shared" si="30"/>
        <v>-6.1772251436676857</v>
      </c>
      <c r="T39" s="11">
        <f t="shared" si="30"/>
        <v>-9.916680943298239</v>
      </c>
      <c r="U39" s="11">
        <f t="shared" si="30"/>
        <v>-3.9793807351628185</v>
      </c>
      <c r="AE39" s="3">
        <v>1993</v>
      </c>
      <c r="AF39" s="3">
        <f t="shared" si="26"/>
        <v>100</v>
      </c>
      <c r="AH39" s="3">
        <f t="shared" si="27"/>
        <v>116.1698635391723</v>
      </c>
      <c r="AJ39" s="3">
        <f>(S14/$S$21)*100</f>
        <v>118.45671579136206</v>
      </c>
      <c r="AK39" s="3">
        <f t="shared" si="28"/>
        <v>132.52171206713652</v>
      </c>
      <c r="AL39" s="3">
        <f>(U14/$U$21)*100</f>
        <v>113.72839410074755</v>
      </c>
    </row>
    <row r="40" spans="1:47" ht="30" customHeight="1">
      <c r="A40" s="325" t="s">
        <v>15</v>
      </c>
      <c r="B40" s="11" t="s">
        <v>10</v>
      </c>
      <c r="C40" s="11" t="s">
        <v>10</v>
      </c>
      <c r="D40" s="11" t="s">
        <v>10</v>
      </c>
      <c r="E40" s="11" t="s">
        <v>10</v>
      </c>
      <c r="F40" s="11" t="s">
        <v>10</v>
      </c>
      <c r="G40" s="11" t="s">
        <v>10</v>
      </c>
      <c r="H40" s="11" t="s">
        <v>10</v>
      </c>
      <c r="I40" s="11" t="s">
        <v>10</v>
      </c>
      <c r="J40" s="11" t="s">
        <v>10</v>
      </c>
      <c r="K40" s="11" t="s">
        <v>10</v>
      </c>
      <c r="L40" s="11">
        <f t="shared" ref="L40:U40" si="31">((L34/L21)^(1/13)-1)*100</f>
        <v>0</v>
      </c>
      <c r="M40" s="11">
        <f t="shared" si="31"/>
        <v>-5.2442538836680042</v>
      </c>
      <c r="N40" s="11">
        <f t="shared" si="31"/>
        <v>-7.2545896690254574</v>
      </c>
      <c r="O40" s="11">
        <f t="shared" si="31"/>
        <v>-3.9227418114940349</v>
      </c>
      <c r="P40" s="11">
        <f t="shared" si="31"/>
        <v>-5.9749231408567134</v>
      </c>
      <c r="Q40" s="11">
        <f t="shared" si="31"/>
        <v>-1.511630195944369</v>
      </c>
      <c r="R40" s="11">
        <f t="shared" si="31"/>
        <v>-5.0816561790385624</v>
      </c>
      <c r="S40" s="11">
        <f t="shared" si="31"/>
        <v>-5.4630852105510774</v>
      </c>
      <c r="T40" s="11">
        <f t="shared" si="31"/>
        <v>-8.5456933913952593</v>
      </c>
      <c r="U40" s="11">
        <f t="shared" si="31"/>
        <v>-2.8545807403455803</v>
      </c>
    </row>
    <row r="41" spans="1:47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7"/>
      <c r="M41" s="7"/>
      <c r="N41" s="7"/>
      <c r="O41" s="7"/>
      <c r="P41" s="7"/>
      <c r="Q41" s="7"/>
      <c r="R41" s="7"/>
      <c r="S41" s="7"/>
      <c r="T41" s="7"/>
      <c r="U41" s="7"/>
      <c r="AE41" s="3">
        <v>1995</v>
      </c>
      <c r="AF41" s="3">
        <f>(L16/$L$21)*100</f>
        <v>100</v>
      </c>
      <c r="AH41" s="3">
        <f>(N16/$N$21)*100</f>
        <v>95.354295525246656</v>
      </c>
      <c r="AJ41" s="3">
        <f>(S16/$S$21)*100</f>
        <v>53.527545799868236</v>
      </c>
      <c r="AK41" s="3">
        <f>(T16/$T$21)*100</f>
        <v>113.03151113796828</v>
      </c>
    </row>
    <row r="42" spans="1:47" s="64" customFormat="1">
      <c r="A42" s="64" t="s">
        <v>39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X42" s="24"/>
      <c r="Y42" s="24"/>
      <c r="Z42" s="24"/>
      <c r="AA42" s="24"/>
      <c r="AB42" s="24"/>
      <c r="AC42" s="24"/>
      <c r="AD42" s="24"/>
      <c r="AE42" s="24">
        <v>1996</v>
      </c>
      <c r="AF42" s="24">
        <f>(L17/$L$21)*100</f>
        <v>100</v>
      </c>
      <c r="AG42" s="24"/>
      <c r="AH42" s="24">
        <f>(N17/$N$21)*100</f>
        <v>114.6803239784598</v>
      </c>
      <c r="AI42" s="24" t="e">
        <f t="shared" ref="AI42:AI44" si="32">(O17/$O$21)*100</f>
        <v>#VALUE!</v>
      </c>
      <c r="AJ42" s="24"/>
      <c r="AK42" s="24">
        <f>(T17/$T$21)*100</f>
        <v>107.5898627100526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</row>
    <row r="43" spans="1:47" s="64" customFormat="1">
      <c r="A43" s="64" t="s">
        <v>9</v>
      </c>
      <c r="B43" s="28" t="s">
        <v>42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X43" s="24"/>
      <c r="Y43" s="24"/>
      <c r="Z43" s="24"/>
      <c r="AA43" s="24"/>
      <c r="AB43" s="24"/>
      <c r="AC43" s="24"/>
      <c r="AD43" s="24"/>
      <c r="AE43" s="24">
        <v>1997</v>
      </c>
      <c r="AF43" s="24">
        <f>(L18/$L$21)*100</f>
        <v>100</v>
      </c>
      <c r="AG43" s="24">
        <f t="shared" ref="AG43:AG44" si="33">(M18/$M$21)*100</f>
        <v>104.14206801430039</v>
      </c>
      <c r="AH43" s="24">
        <f>(N18/$N$21)*100</f>
        <v>90.686366353218972</v>
      </c>
      <c r="AI43" s="24">
        <f t="shared" si="32"/>
        <v>92.386174773524374</v>
      </c>
      <c r="AJ43" s="24">
        <f t="shared" ref="AJ43:AJ44" si="34">(S18/$S$21)*100</f>
        <v>111.92093202892552</v>
      </c>
      <c r="AK43" s="24">
        <f>(T18/$T$21)*100</f>
        <v>103.03570375563649</v>
      </c>
      <c r="AL43" s="24">
        <f t="shared" ref="AL43:AL44" si="35">(U18/$U$21)*100</f>
        <v>125.78027717094157</v>
      </c>
      <c r="AM43" s="24"/>
      <c r="AN43" s="24"/>
      <c r="AO43" s="24"/>
      <c r="AP43" s="24"/>
      <c r="AQ43" s="24"/>
      <c r="AR43" s="24"/>
      <c r="AS43" s="24"/>
      <c r="AT43" s="24"/>
      <c r="AU43" s="24"/>
    </row>
    <row r="44" spans="1:47" s="64" customFormat="1">
      <c r="A44" s="64" t="s">
        <v>10</v>
      </c>
      <c r="B44" s="49" t="s">
        <v>43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X44" s="24"/>
      <c r="Y44" s="24"/>
      <c r="Z44" s="24"/>
      <c r="AA44" s="24"/>
      <c r="AB44" s="24"/>
      <c r="AC44" s="24"/>
      <c r="AD44" s="24"/>
      <c r="AE44" s="24">
        <v>1998</v>
      </c>
      <c r="AF44" s="24">
        <f>(L19/$L$21)*100</f>
        <v>100</v>
      </c>
      <c r="AG44" s="24">
        <f t="shared" si="33"/>
        <v>99.154103268436629</v>
      </c>
      <c r="AH44" s="24">
        <f>(N19/$N$21)*100</f>
        <v>86.400353740399026</v>
      </c>
      <c r="AI44" s="24">
        <f t="shared" si="32"/>
        <v>96.27401303845383</v>
      </c>
      <c r="AJ44" s="24">
        <f t="shared" si="34"/>
        <v>103.09465709415619</v>
      </c>
      <c r="AK44" s="24">
        <f>(T19/$T$21)*100</f>
        <v>96.391249848101339</v>
      </c>
      <c r="AL44" s="24">
        <f t="shared" si="35"/>
        <v>113.31645000370894</v>
      </c>
      <c r="AM44" s="24"/>
      <c r="AN44" s="24"/>
      <c r="AO44" s="24"/>
      <c r="AP44" s="24"/>
      <c r="AQ44" s="24"/>
      <c r="AR44" s="24"/>
      <c r="AS44" s="24"/>
      <c r="AT44" s="24"/>
      <c r="AU44" s="24"/>
    </row>
    <row r="45" spans="1:47" s="131" customFormat="1">
      <c r="A45" s="231" t="s">
        <v>144</v>
      </c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</row>
    <row r="46" spans="1:47" s="64" customFormat="1">
      <c r="A46" s="64" t="s">
        <v>41</v>
      </c>
      <c r="X46" s="24"/>
      <c r="Y46" s="24"/>
      <c r="Z46" s="24"/>
      <c r="AA46" s="24"/>
      <c r="AB46" s="24"/>
      <c r="AC46" s="24"/>
      <c r="AD46" s="24"/>
      <c r="AE46" s="24">
        <v>2002</v>
      </c>
      <c r="AF46" s="24">
        <f>(L23/$L$21)*100</f>
        <v>100</v>
      </c>
      <c r="AG46" s="24">
        <f>(M23/$M$21)*100</f>
        <v>99.580564944786531</v>
      </c>
      <c r="AH46" s="24">
        <f>(N23/$N$21)*100</f>
        <v>90.86564287408217</v>
      </c>
      <c r="AI46" s="24">
        <f>(O23/$O$21)*100</f>
        <v>105.69490539306467</v>
      </c>
      <c r="AJ46" s="24">
        <f>(S23/$S$21)*100</f>
        <v>98.91557023299687</v>
      </c>
      <c r="AK46" s="24">
        <f>(T23/$T$21)*100</f>
        <v>88.556334039111576</v>
      </c>
      <c r="AL46" s="24">
        <f>(U23/$U$21)*100</f>
        <v>115.80182374173692</v>
      </c>
      <c r="AM46" s="24"/>
      <c r="AN46" s="24"/>
      <c r="AO46" s="24"/>
      <c r="AP46" s="24"/>
      <c r="AQ46" s="24"/>
      <c r="AR46" s="24"/>
      <c r="AS46" s="24"/>
      <c r="AT46" s="24"/>
      <c r="AU46" s="24"/>
    </row>
    <row r="47" spans="1:47" s="64" customFormat="1" ht="15" customHeight="1">
      <c r="A47" s="28" t="s">
        <v>303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X47" s="24"/>
      <c r="Y47" s="24"/>
      <c r="Z47" s="24"/>
      <c r="AA47" s="24"/>
      <c r="AB47" s="24"/>
      <c r="AC47" s="24"/>
      <c r="AD47" s="24"/>
      <c r="AE47" s="24">
        <v>2003</v>
      </c>
      <c r="AF47" s="24">
        <f>(L24/$L$21)*100</f>
        <v>100</v>
      </c>
      <c r="AG47" s="24">
        <f>(M24/$M$21)*100</f>
        <v>99.637753837370042</v>
      </c>
      <c r="AH47" s="24">
        <f>(N24/$N$21)*100</f>
        <v>84.226386002664327</v>
      </c>
      <c r="AI47" s="24">
        <f>(O24/$O$21)*100</f>
        <v>106.20734859752888</v>
      </c>
      <c r="AJ47" s="24">
        <f>(S24/$S$21)*100</f>
        <v>100.22442923898838</v>
      </c>
      <c r="AK47" s="24">
        <f>(T24/$T$21)*100</f>
        <v>85.496498873852616</v>
      </c>
      <c r="AL47" s="24">
        <f>(U24/$U$21)*100</f>
        <v>122.56162259039516</v>
      </c>
      <c r="AM47" s="24"/>
      <c r="AN47" s="24"/>
      <c r="AO47" s="24"/>
      <c r="AP47" s="24"/>
      <c r="AQ47" s="24"/>
      <c r="AR47" s="24"/>
      <c r="AS47" s="24"/>
      <c r="AT47" s="24"/>
      <c r="AU47" s="24"/>
    </row>
    <row r="48" spans="1:47">
      <c r="AE48" s="3">
        <v>2010</v>
      </c>
      <c r="AF48" s="3">
        <f>(L31/$L$21)*100</f>
        <v>100</v>
      </c>
      <c r="AG48" s="3">
        <f>(M31/$M$21)*100</f>
        <v>55.287210366741235</v>
      </c>
      <c r="AH48" s="3">
        <f>(N31/$N$21)*100</f>
        <v>42.085735375065624</v>
      </c>
      <c r="AI48" s="3">
        <f>(O31/$O$21)*100</f>
        <v>59.473329167692881</v>
      </c>
      <c r="AJ48" s="3">
        <f>(S31/$S$21)*100</f>
        <v>56.38857734189309</v>
      </c>
      <c r="AK48" s="3">
        <f>(T31/$T$21)*100</f>
        <v>40.854640987478312</v>
      </c>
      <c r="AL48" s="3">
        <f>(U31/$U$21)*100</f>
        <v>75.585807527982041</v>
      </c>
    </row>
    <row r="49" spans="31:38">
      <c r="AE49" s="3">
        <v>2011</v>
      </c>
      <c r="AF49" s="3">
        <f>(L32/$L$21)*100</f>
        <v>100</v>
      </c>
      <c r="AG49" s="3">
        <f>(M32/$M$21)*100</f>
        <v>52.180443435052361</v>
      </c>
      <c r="AH49" s="3">
        <f>(N32/$N$21)*100</f>
        <v>40.327128317437214</v>
      </c>
      <c r="AI49" s="3">
        <f>(O32/$O$21)*100</f>
        <v>55.047881047643024</v>
      </c>
      <c r="AJ49" s="3">
        <f>(S32/$S$21)*100</f>
        <v>53.539562857309633</v>
      </c>
      <c r="AK49" s="3">
        <f>(T32/$T$21)*100</f>
        <v>37.311103770863838</v>
      </c>
      <c r="AL49" s="3">
        <f>(U32/$U$21)*100</f>
        <v>73.471061999791672</v>
      </c>
    </row>
    <row r="50" spans="31:38">
      <c r="AE50" s="3">
        <v>2012</v>
      </c>
      <c r="AF50" s="3">
        <f>(L33/$L$21)*100</f>
        <v>100</v>
      </c>
      <c r="AG50" s="3">
        <f>(M33/$M$21)*100</f>
        <v>50.391295460853833</v>
      </c>
      <c r="AH50" s="3">
        <f>(N33/$N$21)*100</f>
        <v>34.238263189266178</v>
      </c>
      <c r="AI50" s="3">
        <f>(O33/$O$21)*100</f>
        <v>57.586389779974937</v>
      </c>
      <c r="AJ50" s="3">
        <f>(S33/$S$21)*100</f>
        <v>50.877694610795331</v>
      </c>
      <c r="AK50" s="3">
        <f>(T33/$T$21)*100</f>
        <v>30.560945772815838</v>
      </c>
      <c r="AL50" s="3">
        <f>(U33/$U$21)*100</f>
        <v>75.220436120737617</v>
      </c>
    </row>
    <row r="51" spans="31:38">
      <c r="AE51" s="3">
        <v>2013</v>
      </c>
      <c r="AF51" s="3">
        <f>(L34/$L$21)*100</f>
        <v>100</v>
      </c>
      <c r="AG51" s="3">
        <f>(M34/$M$21)*100</f>
        <v>49.644623723091456</v>
      </c>
      <c r="AH51" s="3">
        <f>(N34/$N$21)*100</f>
        <v>37.566570618523052</v>
      </c>
      <c r="AI51" s="3">
        <f>(O34/$O$21)*100</f>
        <v>59.438495928320187</v>
      </c>
      <c r="AJ51" s="3">
        <f>(S34/$S$21)*100</f>
        <v>48.174645228079115</v>
      </c>
      <c r="AK51" s="3">
        <f>(T34/$T$21)*100</f>
        <v>31.307911495261532</v>
      </c>
      <c r="AL51" s="3">
        <f>(U34/$U$21)*100</f>
        <v>68.626247188165934</v>
      </c>
    </row>
  </sheetData>
  <mergeCells count="4">
    <mergeCell ref="A1:U1"/>
    <mergeCell ref="B2:K2"/>
    <mergeCell ref="L2:U2"/>
    <mergeCell ref="A36:U36"/>
  </mergeCells>
  <printOptions gridLines="1"/>
  <pageMargins left="0.7" right="0.7" top="0.75" bottom="0.75" header="0.3" footer="0.3"/>
  <pageSetup scale="47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zoomScaleNormal="100" zoomScaleSheetLayoutView="100" workbookViewId="0">
      <selection activeCell="G5" sqref="G5"/>
    </sheetView>
  </sheetViews>
  <sheetFormatPr defaultRowHeight="15"/>
  <cols>
    <col min="1" max="6" width="9.140625" style="239"/>
    <col min="7" max="7" width="15.140625" style="239" customWidth="1"/>
    <col min="8" max="16384" width="9.140625" style="239"/>
  </cols>
  <sheetData>
    <row r="1" spans="1:20">
      <c r="A1" s="454" t="s">
        <v>336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'7G'!G5-'7Q'!G5</f>
        <v>2140.9</v>
      </c>
      <c r="C5" s="129" t="s">
        <v>9</v>
      </c>
      <c r="D5" s="129">
        <f>'7G'!I5-'7Q'!I5</f>
        <v>0</v>
      </c>
      <c r="E5" s="129">
        <f>'7G'!J5-'7Q'!J5</f>
        <v>1.2999999999999989</v>
      </c>
      <c r="F5" s="129" t="s">
        <v>9</v>
      </c>
      <c r="G5" s="129">
        <f>'7G'!L5-'7Q'!L5</f>
        <v>2156.6</v>
      </c>
      <c r="H5" s="129" t="s">
        <v>9</v>
      </c>
      <c r="I5" s="129">
        <f>'7G'!N5-'7Q'!N5</f>
        <v>-9.9999999999999645E-2</v>
      </c>
      <c r="J5" s="129">
        <f>'7G'!O5-'7Q'!O5</f>
        <v>1.1999999999999993</v>
      </c>
      <c r="K5" s="129" t="s">
        <v>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'7G'!G6-'7Q'!G6</f>
        <v>2293.4</v>
      </c>
      <c r="C6" s="129" t="s">
        <v>9</v>
      </c>
      <c r="D6" s="129">
        <f>'7G'!I6-'7Q'!I6</f>
        <v>0.20000000000000018</v>
      </c>
      <c r="E6" s="129">
        <f>'7G'!J6-'7Q'!J6</f>
        <v>-0.30000000000000071</v>
      </c>
      <c r="F6" s="129" t="s">
        <v>9</v>
      </c>
      <c r="G6" s="129">
        <f>'7G'!L6-'7Q'!L6</f>
        <v>2312.5</v>
      </c>
      <c r="H6" s="129" t="s">
        <v>9</v>
      </c>
      <c r="I6" s="129">
        <f>'7G'!N6-'7Q'!N6</f>
        <v>0.20000000000000018</v>
      </c>
      <c r="J6" s="129">
        <f>'7G'!O6-'7Q'!O6</f>
        <v>-0.30000000000000071</v>
      </c>
      <c r="K6" s="129" t="s">
        <v>9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'7G'!G7-'7Q'!G7</f>
        <v>2048.4</v>
      </c>
      <c r="C7" s="129" t="s">
        <v>9</v>
      </c>
      <c r="D7" s="129">
        <f>'7G'!I7-'7Q'!I7</f>
        <v>-0.19999999999999929</v>
      </c>
      <c r="E7" s="129">
        <f>'7G'!J7-'7Q'!J7</f>
        <v>4.3000000000000007</v>
      </c>
      <c r="F7" s="129" t="s">
        <v>9</v>
      </c>
      <c r="G7" s="129">
        <f>'7G'!L7-'7Q'!L7</f>
        <v>2071.6000000000004</v>
      </c>
      <c r="H7" s="129" t="s">
        <v>9</v>
      </c>
      <c r="I7" s="129">
        <f>'7G'!N7-'7Q'!N7</f>
        <v>-9.9999999999999645E-2</v>
      </c>
      <c r="J7" s="129">
        <f>'7G'!O7-'7Q'!O7</f>
        <v>4.3000000000000007</v>
      </c>
      <c r="K7" s="129" t="s">
        <v>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'7G'!G8-'7Q'!G8</f>
        <v>2502</v>
      </c>
      <c r="C8" s="129" t="s">
        <v>9</v>
      </c>
      <c r="D8" s="129">
        <f>'7G'!I8-'7Q'!I8</f>
        <v>4.2</v>
      </c>
      <c r="E8" s="129">
        <f>'7G'!J8-'7Q'!J8</f>
        <v>12.200000000000001</v>
      </c>
      <c r="F8" s="129" t="s">
        <v>9</v>
      </c>
      <c r="G8" s="129">
        <f>'7G'!L8-'7Q'!L8</f>
        <v>2530.1999999999998</v>
      </c>
      <c r="H8" s="129" t="s">
        <v>9</v>
      </c>
      <c r="I8" s="129">
        <f>'7G'!N8-'7Q'!N8</f>
        <v>3.9999999999999991</v>
      </c>
      <c r="J8" s="129">
        <f>'7G'!O8-'7Q'!O8</f>
        <v>12.100000000000001</v>
      </c>
      <c r="K8" s="129" t="s">
        <v>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'7G'!G9-'7Q'!G9</f>
        <v>3249.4000000000005</v>
      </c>
      <c r="C9" s="129" t="s">
        <v>9</v>
      </c>
      <c r="D9" s="129">
        <f>'7G'!I9-'7Q'!I9</f>
        <v>3.7999999999999989</v>
      </c>
      <c r="E9" s="129">
        <f>'7G'!J9-'7Q'!J9</f>
        <v>5.7000000000000011</v>
      </c>
      <c r="F9" s="129" t="s">
        <v>9</v>
      </c>
      <c r="G9" s="129">
        <f>'7G'!L9-'7Q'!L9</f>
        <v>3289.6</v>
      </c>
      <c r="H9" s="129" t="s">
        <v>9</v>
      </c>
      <c r="I9" s="129">
        <f>'7G'!N9-'7Q'!N9</f>
        <v>3.6999999999999993</v>
      </c>
      <c r="J9" s="129">
        <f>'7G'!O9-'7Q'!O9</f>
        <v>5.6</v>
      </c>
      <c r="K9" s="129" t="s">
        <v>9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'7G'!G10-'7Q'!G10</f>
        <v>3437.2000000000003</v>
      </c>
      <c r="C10" s="129" t="s">
        <v>9</v>
      </c>
      <c r="D10" s="129">
        <f>'7G'!I10-'7Q'!I10</f>
        <v>4</v>
      </c>
      <c r="E10" s="129">
        <f>'7G'!J10-'7Q'!J10</f>
        <v>17</v>
      </c>
      <c r="F10" s="129" t="s">
        <v>9</v>
      </c>
      <c r="G10" s="129">
        <f>'7G'!L10-'7Q'!L10</f>
        <v>3457.3</v>
      </c>
      <c r="H10" s="129" t="s">
        <v>9</v>
      </c>
      <c r="I10" s="129">
        <f>'7G'!N10-'7Q'!N10</f>
        <v>3.9000000000000004</v>
      </c>
      <c r="J10" s="129">
        <f>'7G'!O10-'7Q'!O10</f>
        <v>16.8</v>
      </c>
      <c r="K10" s="129" t="s">
        <v>9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'7G'!G11-'7Q'!G11</f>
        <v>2077.7999999999997</v>
      </c>
      <c r="C11" s="129" t="s">
        <v>9</v>
      </c>
      <c r="D11" s="129">
        <f>'7G'!I11-'7Q'!I11</f>
        <v>4.1999999999999993</v>
      </c>
      <c r="E11" s="129">
        <f>'7G'!J11-'7Q'!J11</f>
        <v>10.4</v>
      </c>
      <c r="F11" s="129" t="s">
        <v>9</v>
      </c>
      <c r="G11" s="129">
        <f>'7G'!L11-'7Q'!L11</f>
        <v>2105.1</v>
      </c>
      <c r="H11" s="129" t="s">
        <v>9</v>
      </c>
      <c r="I11" s="129">
        <f>'7G'!N11-'7Q'!N11</f>
        <v>4.0999999999999996</v>
      </c>
      <c r="J11" s="129">
        <f>'7G'!O11-'7Q'!O11</f>
        <v>10.200000000000001</v>
      </c>
      <c r="K11" s="129" t="s">
        <v>9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'7G'!G12-'7Q'!G12</f>
        <v>1879.9</v>
      </c>
      <c r="C12" s="129" t="s">
        <v>9</v>
      </c>
      <c r="D12" s="129">
        <f>'7G'!I12-'7Q'!I12</f>
        <v>-4</v>
      </c>
      <c r="E12" s="129">
        <f>'7G'!J12-'7Q'!J12</f>
        <v>1.9000000000000004</v>
      </c>
      <c r="F12" s="129" t="s">
        <v>9</v>
      </c>
      <c r="G12" s="129">
        <f>'7G'!L12-'7Q'!L12</f>
        <v>1910.6999999999998</v>
      </c>
      <c r="H12" s="129" t="s">
        <v>9</v>
      </c>
      <c r="I12" s="129">
        <f>'7G'!N12-'7Q'!N12</f>
        <v>-4</v>
      </c>
      <c r="J12" s="129">
        <f>'7G'!O12-'7Q'!O12</f>
        <v>1.7999999999999989</v>
      </c>
      <c r="K12" s="129" t="s">
        <v>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'7G'!G13-'7Q'!G13</f>
        <v>1662.5</v>
      </c>
      <c r="C13" s="129" t="s">
        <v>9</v>
      </c>
      <c r="D13" s="129">
        <f>'7G'!I13-'7Q'!I13</f>
        <v>-1.8000000000000007</v>
      </c>
      <c r="E13" s="129">
        <f>'7G'!J13-'7Q'!J13</f>
        <v>8.5</v>
      </c>
      <c r="F13" s="129" t="s">
        <v>9</v>
      </c>
      <c r="G13" s="129">
        <f>'7G'!L13-'7Q'!L13</f>
        <v>1669.7999999999997</v>
      </c>
      <c r="H13" s="129" t="s">
        <v>9</v>
      </c>
      <c r="I13" s="129">
        <f>'7G'!N13-'7Q'!N13</f>
        <v>-1.5999999999999996</v>
      </c>
      <c r="J13" s="129">
        <f>'7G'!O13-'7Q'!O13</f>
        <v>8.3000000000000007</v>
      </c>
      <c r="K13" s="129" t="s">
        <v>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'7G'!G14-'7Q'!G14</f>
        <v>1492.9</v>
      </c>
      <c r="C14" s="129" t="s">
        <v>9</v>
      </c>
      <c r="D14" s="129">
        <f>'7G'!I14-'7Q'!I14</f>
        <v>-4.5</v>
      </c>
      <c r="E14" s="129">
        <f>'7G'!J14-'7Q'!J14</f>
        <v>3.0999999999999996</v>
      </c>
      <c r="F14" s="129" t="s">
        <v>9</v>
      </c>
      <c r="G14" s="129">
        <f>'7G'!L14-'7Q'!L14</f>
        <v>1506.1999999999998</v>
      </c>
      <c r="H14" s="129" t="s">
        <v>9</v>
      </c>
      <c r="I14" s="129">
        <f>'7G'!N14-'7Q'!N14</f>
        <v>-4.3999999999999995</v>
      </c>
      <c r="J14" s="129">
        <f>'7G'!O14-'7Q'!O14</f>
        <v>3</v>
      </c>
      <c r="K14" s="129" t="s">
        <v>9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'7G'!G15-'7Q'!G15</f>
        <v>1699</v>
      </c>
      <c r="C15" s="129" t="s">
        <v>9</v>
      </c>
      <c r="D15" s="129">
        <f>'7G'!I15-'7Q'!I15</f>
        <v>-5.6000000000000005</v>
      </c>
      <c r="E15" s="129">
        <f>'7G'!J15-'7Q'!J15</f>
        <v>5.6</v>
      </c>
      <c r="F15" s="129" t="s">
        <v>9</v>
      </c>
      <c r="G15" s="129">
        <f>'7G'!L15-'7Q'!L15</f>
        <v>1733.2999999999997</v>
      </c>
      <c r="H15" s="129" t="s">
        <v>9</v>
      </c>
      <c r="I15" s="129">
        <f>'7G'!N15-'7Q'!N15</f>
        <v>-5.6000000000000005</v>
      </c>
      <c r="J15" s="129">
        <f>'7G'!O15-'7Q'!O15</f>
        <v>5.4999999999999982</v>
      </c>
      <c r="K15" s="129" t="s">
        <v>9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'7G'!G16-'7Q'!G16</f>
        <v>1857.7999999999997</v>
      </c>
      <c r="C16" s="129" t="s">
        <v>9</v>
      </c>
      <c r="D16" s="129">
        <f>'7G'!I16-'7Q'!I16</f>
        <v>-5.0999999999999996</v>
      </c>
      <c r="E16" s="129">
        <f>'7G'!J16-'7Q'!J16</f>
        <v>38.700000000000003</v>
      </c>
      <c r="F16" s="129" t="s">
        <v>9</v>
      </c>
      <c r="G16" s="129">
        <f>'7G'!L16-'7Q'!L16</f>
        <v>1892.1</v>
      </c>
      <c r="H16" s="129" t="s">
        <v>9</v>
      </c>
      <c r="I16" s="129">
        <f>'7G'!N16-'7Q'!N16</f>
        <v>-5.0999999999999996</v>
      </c>
      <c r="J16" s="129">
        <f>'7G'!O16-'7Q'!O16</f>
        <v>38.299999999999997</v>
      </c>
      <c r="K16" s="129" t="s">
        <v>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'7G'!G17-'7Q'!G17</f>
        <v>2034.1999999999998</v>
      </c>
      <c r="C17" s="129" t="s">
        <v>9</v>
      </c>
      <c r="D17" s="129">
        <f>'7G'!I17-'7Q'!I17</f>
        <v>2.4999999999999991</v>
      </c>
      <c r="E17" s="129">
        <f>'7G'!J17-'7Q'!J17</f>
        <v>57.499999999999993</v>
      </c>
      <c r="F17" s="129" t="s">
        <v>9</v>
      </c>
      <c r="G17" s="129">
        <f>'7G'!L17-'7Q'!L17</f>
        <v>2069.3999999999996</v>
      </c>
      <c r="H17" s="129" t="s">
        <v>9</v>
      </c>
      <c r="I17" s="129">
        <f>'7G'!N17-'7Q'!N17</f>
        <v>2.4999999999999991</v>
      </c>
      <c r="J17" s="129">
        <f>'7G'!O17-'7Q'!O17</f>
        <v>56.800000000000004</v>
      </c>
      <c r="K17" s="129" t="s">
        <v>9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'7G'!G18-'7Q'!G18</f>
        <v>2895.2</v>
      </c>
      <c r="C18" s="129" t="s">
        <v>9</v>
      </c>
      <c r="D18" s="129">
        <f>'7G'!I18-'7Q'!I18</f>
        <v>12.200000000000001</v>
      </c>
      <c r="E18" s="129">
        <f>'7G'!J18-'7Q'!J18</f>
        <v>59.7</v>
      </c>
      <c r="F18" s="129" t="s">
        <v>9</v>
      </c>
      <c r="G18" s="129">
        <f>'7G'!L18-'7Q'!L18</f>
        <v>2928.8</v>
      </c>
      <c r="H18" s="129" t="s">
        <v>9</v>
      </c>
      <c r="I18" s="129">
        <f>'7G'!N18-'7Q'!N18</f>
        <v>12.299999999999999</v>
      </c>
      <c r="J18" s="129">
        <f>'7G'!O18-'7Q'!O18</f>
        <v>59</v>
      </c>
      <c r="K18" s="129" t="s">
        <v>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'7G'!G19-'7Q'!G19</f>
        <v>3885.0999999999995</v>
      </c>
      <c r="C19" s="129" t="s">
        <v>9</v>
      </c>
      <c r="D19" s="129">
        <f>'7G'!I19-'7Q'!I19</f>
        <v>-2.6000000000000005</v>
      </c>
      <c r="E19" s="129">
        <f>'7G'!J19-'7Q'!J19</f>
        <v>35</v>
      </c>
      <c r="F19" s="129" t="s">
        <v>9</v>
      </c>
      <c r="G19" s="129">
        <f>'7G'!L19-'7Q'!L19</f>
        <v>3933.5</v>
      </c>
      <c r="H19" s="129" t="s">
        <v>9</v>
      </c>
      <c r="I19" s="129">
        <f>'7G'!N19-'7Q'!N19</f>
        <v>-2.7000000000000011</v>
      </c>
      <c r="J19" s="129">
        <f>'7G'!O19-'7Q'!O19</f>
        <v>34.5</v>
      </c>
      <c r="K19" s="129" t="s">
        <v>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'7G'!G20-'7Q'!G20</f>
        <v>2878.9</v>
      </c>
      <c r="C20" s="129" t="s">
        <v>9</v>
      </c>
      <c r="D20" s="129">
        <f>'7G'!I20-'7Q'!I20</f>
        <v>-0.40000000000000036</v>
      </c>
      <c r="E20" s="129">
        <f>'7G'!J20-'7Q'!J20</f>
        <v>7</v>
      </c>
      <c r="F20" s="129" t="s">
        <v>9</v>
      </c>
      <c r="G20" s="129">
        <f>'7G'!L20-'7Q'!L20</f>
        <v>2929.2000000000003</v>
      </c>
      <c r="H20" s="129" t="s">
        <v>9</v>
      </c>
      <c r="I20" s="129">
        <f>'7G'!N20-'7Q'!N20</f>
        <v>-0.40000000000000036</v>
      </c>
      <c r="J20" s="129">
        <f>'7G'!O20-'7Q'!O20</f>
        <v>6.8999999999999986</v>
      </c>
      <c r="K20" s="129" t="s">
        <v>9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'7G'!G21-'7Q'!G21</f>
        <v>2185.6999999999998</v>
      </c>
      <c r="C21" s="129" t="s">
        <v>9</v>
      </c>
      <c r="D21" s="129">
        <f>'7G'!I21-'7Q'!I21</f>
        <v>-1.3000000000000007</v>
      </c>
      <c r="E21" s="129">
        <f>'7G'!J21-'7Q'!J21</f>
        <v>10.5</v>
      </c>
      <c r="F21" s="129" t="s">
        <v>9</v>
      </c>
      <c r="G21" s="129">
        <f>'7G'!L21-'7Q'!L21</f>
        <v>2217.3000000000002</v>
      </c>
      <c r="H21" s="129" t="s">
        <v>9</v>
      </c>
      <c r="I21" s="129">
        <f>'7G'!N21-'7Q'!N21</f>
        <v>-1.4000000000000004</v>
      </c>
      <c r="J21" s="129">
        <f>'7G'!O21-'7Q'!O21</f>
        <v>10.199999999999996</v>
      </c>
      <c r="K21" s="129" t="s">
        <v>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'7G'!G22-'7Q'!G22</f>
        <v>1113.1999999999998</v>
      </c>
      <c r="C22" s="129" t="s">
        <v>9</v>
      </c>
      <c r="D22" s="129">
        <f>'7G'!I22-'7Q'!I22</f>
        <v>-2.4999999999999991</v>
      </c>
      <c r="E22" s="129">
        <f>'7G'!J22-'7Q'!J22</f>
        <v>0</v>
      </c>
      <c r="F22" s="129" t="s">
        <v>9</v>
      </c>
      <c r="G22" s="129">
        <f>'7G'!L22-'7Q'!L22</f>
        <v>1124.4000000000001</v>
      </c>
      <c r="H22" s="129" t="s">
        <v>9</v>
      </c>
      <c r="I22" s="129">
        <f>'7G'!N22-'7Q'!N22</f>
        <v>-2.4999999999999991</v>
      </c>
      <c r="J22" s="129">
        <f>'7G'!O22-'7Q'!O22</f>
        <v>-0.19999999999999929</v>
      </c>
      <c r="K22" s="129" t="s">
        <v>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'7G'!G23-'7Q'!G23</f>
        <v>706.40000000000009</v>
      </c>
      <c r="C23" s="129" t="s">
        <v>9</v>
      </c>
      <c r="D23" s="129">
        <f>'7G'!I23-'7Q'!I23</f>
        <v>-5</v>
      </c>
      <c r="E23" s="129">
        <f>'7G'!J23-'7Q'!J23</f>
        <v>10.800000000000004</v>
      </c>
      <c r="F23" s="129" t="s">
        <v>9</v>
      </c>
      <c r="G23" s="129">
        <f>'7G'!L23-'7Q'!L23</f>
        <v>703</v>
      </c>
      <c r="H23" s="129" t="s">
        <v>9</v>
      </c>
      <c r="I23" s="129">
        <f>'7G'!N23-'7Q'!N23</f>
        <v>-5</v>
      </c>
      <c r="J23" s="129">
        <f>'7G'!O23-'7Q'!O23</f>
        <v>10.5</v>
      </c>
      <c r="K23" s="129" t="s">
        <v>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'7G'!G24-'7Q'!G24</f>
        <v>854.09999999999991</v>
      </c>
      <c r="C24" s="129" t="s">
        <v>9</v>
      </c>
      <c r="D24" s="129">
        <f>'7G'!I24-'7Q'!I24</f>
        <v>3.8000000000000007</v>
      </c>
      <c r="E24" s="129">
        <f>'7G'!J24-'7Q'!J24</f>
        <v>21.9</v>
      </c>
      <c r="F24" s="129" t="s">
        <v>9</v>
      </c>
      <c r="G24" s="129">
        <f>'7G'!L24-'7Q'!L24</f>
        <v>833.59999999999991</v>
      </c>
      <c r="H24" s="129" t="s">
        <v>9</v>
      </c>
      <c r="I24" s="129">
        <f>'7G'!N24-'7Q'!N24</f>
        <v>4</v>
      </c>
      <c r="J24" s="129">
        <f>'7G'!O24-'7Q'!O24</f>
        <v>21.6</v>
      </c>
      <c r="K24" s="129" t="s">
        <v>9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'7G'!G25-'7Q'!G25</f>
        <v>970.80000000000018</v>
      </c>
      <c r="C25" s="129" t="s">
        <v>9</v>
      </c>
      <c r="D25" s="129">
        <f>'7G'!I25-'7Q'!I25</f>
        <v>-1.8999999999999995</v>
      </c>
      <c r="E25" s="129">
        <f>'7G'!J25-'7Q'!J25</f>
        <v>6.3999999999999986</v>
      </c>
      <c r="F25" s="129" t="s">
        <v>9</v>
      </c>
      <c r="G25" s="129">
        <f>'7G'!L25-'7Q'!L25</f>
        <v>945.39999999999964</v>
      </c>
      <c r="H25" s="129" t="s">
        <v>9</v>
      </c>
      <c r="I25" s="129">
        <f>'7G'!N25-'7Q'!N25</f>
        <v>-1.7999999999999989</v>
      </c>
      <c r="J25" s="129">
        <f>'7G'!O25-'7Q'!O25</f>
        <v>6.1999999999999993</v>
      </c>
      <c r="K25" s="129" t="s">
        <v>9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'7G'!G26-'7Q'!G26</f>
        <v>659.20000000000027</v>
      </c>
      <c r="C26" s="129" t="s">
        <v>9</v>
      </c>
      <c r="D26" s="129">
        <f>'7G'!I26-'7Q'!I26</f>
        <v>-2.8999999999999995</v>
      </c>
      <c r="E26" s="129">
        <f>'7G'!J26-'7Q'!J26</f>
        <v>47.7</v>
      </c>
      <c r="F26" s="129" t="s">
        <v>9</v>
      </c>
      <c r="G26" s="129">
        <f>'7G'!L26-'7Q'!L26</f>
        <v>631.70000000000027</v>
      </c>
      <c r="H26" s="129" t="s">
        <v>9</v>
      </c>
      <c r="I26" s="129">
        <f>'7G'!N26-'7Q'!N26</f>
        <v>-2.8999999999999995</v>
      </c>
      <c r="J26" s="129">
        <f>'7G'!O26-'7Q'!O26</f>
        <v>47.099999999999994</v>
      </c>
      <c r="K26" s="129" t="s">
        <v>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'7G'!G27-'7Q'!G27</f>
        <v>315</v>
      </c>
      <c r="C27" s="129" t="s">
        <v>9</v>
      </c>
      <c r="D27" s="129">
        <f>'7G'!I27-'7Q'!I27</f>
        <v>-5.8000000000000007</v>
      </c>
      <c r="E27" s="129">
        <f>'7G'!J27-'7Q'!J27</f>
        <v>16.399999999999999</v>
      </c>
      <c r="F27" s="129" t="s">
        <v>9</v>
      </c>
      <c r="G27" s="129">
        <f>'7G'!L27-'7Q'!L27</f>
        <v>307.59999999999991</v>
      </c>
      <c r="H27" s="129" t="s">
        <v>9</v>
      </c>
      <c r="I27" s="129">
        <f>'7G'!N27-'7Q'!N27</f>
        <v>-5.8000000000000007</v>
      </c>
      <c r="J27" s="129">
        <f>'7G'!O27-'7Q'!O27</f>
        <v>16</v>
      </c>
      <c r="K27" s="129" t="s">
        <v>9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'7G'!G28-'7Q'!G28</f>
        <v>1001.9000000000001</v>
      </c>
      <c r="C28" s="129" t="s">
        <v>9</v>
      </c>
      <c r="D28" s="129">
        <f>'7G'!I28-'7Q'!I28</f>
        <v>-1.5</v>
      </c>
      <c r="E28" s="129">
        <f>'7G'!J28-'7Q'!J28</f>
        <v>2.0999999999999943</v>
      </c>
      <c r="F28" s="129" t="s">
        <v>9</v>
      </c>
      <c r="G28" s="129">
        <f>'7G'!L28-'7Q'!L28</f>
        <v>986.60000000000036</v>
      </c>
      <c r="H28" s="129" t="s">
        <v>9</v>
      </c>
      <c r="I28" s="129">
        <f>'7G'!N28-'7Q'!N28</f>
        <v>-1.4000000000000004</v>
      </c>
      <c r="J28" s="129">
        <f>'7G'!O28-'7Q'!O28</f>
        <v>1.8999999999999986</v>
      </c>
      <c r="K28" s="129" t="s">
        <v>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'7G'!G29-'7Q'!G29</f>
        <v>2301.5</v>
      </c>
      <c r="C29" s="129" t="s">
        <v>9</v>
      </c>
      <c r="D29" s="129">
        <f>'7G'!I29-'7Q'!I29</f>
        <v>0.20000000000000018</v>
      </c>
      <c r="E29" s="129">
        <f>'7G'!J29-'7Q'!J29</f>
        <v>6.8999999999999986</v>
      </c>
      <c r="F29" s="129" t="s">
        <v>9</v>
      </c>
      <c r="G29" s="129">
        <f>'7G'!L29-'7Q'!L29</f>
        <v>2273.8000000000002</v>
      </c>
      <c r="H29" s="129" t="s">
        <v>9</v>
      </c>
      <c r="I29" s="129">
        <f>'7G'!N29-'7Q'!N29</f>
        <v>0.29999999999999982</v>
      </c>
      <c r="J29" s="129">
        <f>'7G'!O29-'7Q'!O29</f>
        <v>6.7000000000000028</v>
      </c>
      <c r="K29" s="129" t="s">
        <v>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'7G'!G30-'7Q'!G30</f>
        <v>2196.6999999999998</v>
      </c>
      <c r="C30" s="129" t="s">
        <v>9</v>
      </c>
      <c r="D30" s="129">
        <f>'7G'!I30-'7Q'!I30</f>
        <v>-5.3999999999999995</v>
      </c>
      <c r="E30" s="129">
        <f>'7G'!J30-'7Q'!J30</f>
        <v>9.2999999999999972</v>
      </c>
      <c r="F30" s="129" t="s">
        <v>9</v>
      </c>
      <c r="G30" s="129">
        <f>'7G'!L30-'7Q'!L30</f>
        <v>2222.5</v>
      </c>
      <c r="H30" s="129" t="s">
        <v>9</v>
      </c>
      <c r="I30" s="129">
        <f>'7G'!N30-'7Q'!N30</f>
        <v>-5.3999999999999995</v>
      </c>
      <c r="J30" s="129">
        <f>'7G'!O30-'7Q'!O30</f>
        <v>9</v>
      </c>
      <c r="K30" s="129" t="s">
        <v>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'7G'!G31-'7Q'!G31</f>
        <v>2632.1000000000004</v>
      </c>
      <c r="C31" s="129" t="s">
        <v>9</v>
      </c>
      <c r="D31" s="129">
        <f>'7G'!I31-'7Q'!I31</f>
        <v>-6.2</v>
      </c>
      <c r="E31" s="129">
        <f>'7G'!J31-'7Q'!J31</f>
        <v>6</v>
      </c>
      <c r="F31" s="129" t="s">
        <v>9</v>
      </c>
      <c r="G31" s="129">
        <f>'7G'!L31-'7Q'!L31</f>
        <v>2672.3999999999996</v>
      </c>
      <c r="H31" s="129" t="s">
        <v>9</v>
      </c>
      <c r="I31" s="129">
        <f>'7G'!N31-'7Q'!N31</f>
        <v>-6.1000000000000005</v>
      </c>
      <c r="J31" s="129">
        <f>'7G'!O31-'7Q'!O31</f>
        <v>5.6999999999999957</v>
      </c>
      <c r="K31" s="129" t="s">
        <v>9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'7G'!G32-'7Q'!G32</f>
        <v>2898.2000000000003</v>
      </c>
      <c r="C32" s="129" t="s">
        <v>9</v>
      </c>
      <c r="D32" s="129">
        <f>'7G'!I32-'7Q'!I32</f>
        <v>-3.3000000000000003</v>
      </c>
      <c r="E32" s="129">
        <f>'7G'!J32-'7Q'!J32</f>
        <v>22.9</v>
      </c>
      <c r="F32" s="129" t="s">
        <v>9</v>
      </c>
      <c r="G32" s="129">
        <f>'7G'!L32-'7Q'!L32</f>
        <v>2933.7</v>
      </c>
      <c r="H32" s="129" t="s">
        <v>9</v>
      </c>
      <c r="I32" s="129">
        <f>'7G'!N32-'7Q'!N32</f>
        <v>-3.4000000000000004</v>
      </c>
      <c r="J32" s="129">
        <f>'7G'!O32-'7Q'!O32</f>
        <v>22.599999999999994</v>
      </c>
      <c r="K32" s="129" t="s">
        <v>9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'7G'!G33-'7Q'!G33</f>
        <v>3351.4</v>
      </c>
      <c r="C33" s="129" t="s">
        <v>9</v>
      </c>
      <c r="D33" s="129">
        <f>'7G'!I33-'7Q'!I33</f>
        <v>-6.9</v>
      </c>
      <c r="E33" s="129">
        <f>'7G'!J33-'7Q'!J33</f>
        <v>18.5</v>
      </c>
      <c r="F33" s="129" t="s">
        <v>9</v>
      </c>
      <c r="G33" s="129">
        <f>'7G'!L33-'7Q'!L33</f>
        <v>3381.7000000000003</v>
      </c>
      <c r="H33" s="129" t="s">
        <v>9</v>
      </c>
      <c r="I33" s="129">
        <f>'7G'!N33-'7Q'!N33</f>
        <v>-6.9</v>
      </c>
      <c r="J33" s="129">
        <f>'7G'!O33-'7Q'!O33</f>
        <v>18.199999999999996</v>
      </c>
      <c r="K33" s="129" t="s">
        <v>9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'7G'!G34-'7Q'!G34</f>
        <v>3727.5</v>
      </c>
      <c r="C34" s="129" t="s">
        <v>9</v>
      </c>
      <c r="D34" s="129">
        <f>'7G'!I34-'7Q'!I34</f>
        <v>-5.3000000000000007</v>
      </c>
      <c r="E34" s="129">
        <f>'7G'!J34-'7Q'!J34</f>
        <v>3.8999999999999986</v>
      </c>
      <c r="F34" s="129" t="s">
        <v>9</v>
      </c>
      <c r="G34" s="129">
        <f>'7G'!L34-'7Q'!L34</f>
        <v>3707.8</v>
      </c>
      <c r="H34" s="129" t="s">
        <v>9</v>
      </c>
      <c r="I34" s="129">
        <f>'7G'!N34-'7Q'!N34</f>
        <v>-5.3000000000000007</v>
      </c>
      <c r="J34" s="129">
        <f>'7G'!O34-'7Q'!O34</f>
        <v>3.6999999999999957</v>
      </c>
      <c r="K34" s="129" t="s">
        <v>9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'7G'!G35-'7Q'!G35</f>
        <v>1812.8999999999996</v>
      </c>
      <c r="C35" s="129" t="s">
        <v>9</v>
      </c>
      <c r="D35" s="129">
        <f>'7G'!I35-'7Q'!I35</f>
        <v>-3.9</v>
      </c>
      <c r="E35" s="129">
        <f>'7G'!J35-'7Q'!J35</f>
        <v>0.60000000000000142</v>
      </c>
      <c r="F35" s="129" t="s">
        <v>9</v>
      </c>
      <c r="G35" s="129">
        <f>'7G'!L35-'7Q'!L35</f>
        <v>1830.4000000000005</v>
      </c>
      <c r="H35" s="129" t="s">
        <v>9</v>
      </c>
      <c r="I35" s="129">
        <f>'7G'!N35-'7Q'!N35</f>
        <v>-3.9</v>
      </c>
      <c r="J35" s="129">
        <f>'7G'!O35-'7Q'!O35</f>
        <v>0.5</v>
      </c>
      <c r="K35" s="129" t="s">
        <v>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'7G'!G36-'7Q'!G36</f>
        <v>806</v>
      </c>
      <c r="C36" s="129" t="s">
        <v>9</v>
      </c>
      <c r="D36" s="129">
        <f>'7G'!I36-'7Q'!I36</f>
        <v>-4.9000000000000004</v>
      </c>
      <c r="E36" s="129">
        <f>'7G'!J36-'7Q'!J36</f>
        <v>-6.2999999999999972</v>
      </c>
      <c r="F36" s="129" t="s">
        <v>9</v>
      </c>
      <c r="G36" s="129">
        <f>'7G'!L36-'7Q'!L36</f>
        <v>848.89999999999964</v>
      </c>
      <c r="H36" s="129" t="s">
        <v>9</v>
      </c>
      <c r="I36" s="129">
        <f>'7G'!N36-'7Q'!N36</f>
        <v>-4.9000000000000004</v>
      </c>
      <c r="J36" s="129">
        <f>'7G'!O36-'7Q'!O36</f>
        <v>-6.0999999999999979</v>
      </c>
      <c r="K36" s="129" t="s">
        <v>9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'7G'!G37-'7Q'!G37</f>
        <v>2314.1999999999998</v>
      </c>
      <c r="C37" s="129" t="s">
        <v>9</v>
      </c>
      <c r="D37" s="129">
        <f>'7G'!I37-'7Q'!I37</f>
        <v>-5.9</v>
      </c>
      <c r="E37" s="129">
        <f>'7G'!J37-'7Q'!J37</f>
        <v>-15.2</v>
      </c>
      <c r="F37" s="129" t="s">
        <v>9</v>
      </c>
      <c r="G37" s="129">
        <f>'7G'!L37-'7Q'!L37</f>
        <v>2375.3000000000002</v>
      </c>
      <c r="H37" s="129" t="s">
        <v>9</v>
      </c>
      <c r="I37" s="129">
        <f>'7G'!N37-'7Q'!N37</f>
        <v>-5.9</v>
      </c>
      <c r="J37" s="129">
        <f>'7G'!O37-'7Q'!O37</f>
        <v>-15.299999999999997</v>
      </c>
      <c r="K37" s="129" t="s">
        <v>9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'7G'!G38-'7Q'!G38</f>
        <v>1706.6999999999998</v>
      </c>
      <c r="C38" s="129" t="s">
        <v>9</v>
      </c>
      <c r="D38" s="129">
        <f>'7G'!I38-'7Q'!I38</f>
        <v>-3</v>
      </c>
      <c r="E38" s="129">
        <f>'7G'!J38-'7Q'!J38</f>
        <v>35.099999999999994</v>
      </c>
      <c r="F38" s="129" t="s">
        <v>9</v>
      </c>
      <c r="G38" s="129">
        <f>'7G'!L38-'7Q'!L38</f>
        <v>1739.5</v>
      </c>
      <c r="H38" s="129" t="s">
        <v>9</v>
      </c>
      <c r="I38" s="129">
        <f>'7G'!N38-'7Q'!N38</f>
        <v>-3</v>
      </c>
      <c r="J38" s="129">
        <f>'7G'!O38-'7Q'!O38</f>
        <v>34.699999999999996</v>
      </c>
      <c r="K38" s="129" t="s">
        <v>9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'7G'!G39-'7Q'!G39</f>
        <v>1082</v>
      </c>
      <c r="C39" s="129" t="s">
        <v>9</v>
      </c>
      <c r="D39" s="129">
        <f>'7G'!I39-'7Q'!I39</f>
        <v>-5.6000000000000005</v>
      </c>
      <c r="E39" s="129">
        <f>'7G'!J39-'7Q'!J39</f>
        <v>30.699999999999996</v>
      </c>
      <c r="F39" s="129" t="s">
        <v>9</v>
      </c>
      <c r="G39" s="129">
        <f>'7G'!L39-'7Q'!L39</f>
        <v>1098.5</v>
      </c>
      <c r="H39" s="129" t="s">
        <v>9</v>
      </c>
      <c r="I39" s="129">
        <f>'7G'!N39-'7Q'!N39</f>
        <v>-5.6000000000000005</v>
      </c>
      <c r="J39" s="129">
        <f>'7G'!O39-'7Q'!O39</f>
        <v>30.199999999999996</v>
      </c>
      <c r="K39" s="129" t="s">
        <v>9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'7G'!G40-'7Q'!G40</f>
        <v>1383.5999999999995</v>
      </c>
      <c r="C40" s="129" t="s">
        <v>9</v>
      </c>
      <c r="D40" s="129">
        <f>'7G'!I40-'7Q'!I40</f>
        <v>-5.2</v>
      </c>
      <c r="E40" s="129">
        <f>'7G'!J40-'7Q'!J40</f>
        <v>44.7</v>
      </c>
      <c r="F40" s="129" t="s">
        <v>9</v>
      </c>
      <c r="G40" s="129">
        <f>'7G'!L40-'7Q'!L40</f>
        <v>1382.9000000000005</v>
      </c>
      <c r="H40" s="129" t="s">
        <v>9</v>
      </c>
      <c r="I40" s="129">
        <f>'7G'!N40-'7Q'!N40</f>
        <v>-5.2</v>
      </c>
      <c r="J40" s="129">
        <f>'7G'!O40-'7Q'!O40</f>
        <v>44.2</v>
      </c>
      <c r="K40" s="129" t="s">
        <v>9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'7G'!G41-'7Q'!G41</f>
        <v>1440.5</v>
      </c>
      <c r="C41" s="129" t="s">
        <v>9</v>
      </c>
      <c r="D41" s="129">
        <f>'7G'!I41-'7Q'!I41</f>
        <v>-5.1000000000000005</v>
      </c>
      <c r="E41" s="129">
        <f>'7G'!J41-'7Q'!J41</f>
        <v>92.100000000000009</v>
      </c>
      <c r="F41" s="129" t="s">
        <v>9</v>
      </c>
      <c r="G41" s="129">
        <f>'7G'!L41-'7Q'!L41</f>
        <v>1438</v>
      </c>
      <c r="H41" s="129" t="s">
        <v>9</v>
      </c>
      <c r="I41" s="129">
        <f>'7G'!N41-'7Q'!N41</f>
        <v>-5.1000000000000005</v>
      </c>
      <c r="J41" s="129">
        <f>'7G'!O41-'7Q'!O41</f>
        <v>91.5</v>
      </c>
      <c r="K41" s="129" t="s">
        <v>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'7G'!G42-'7Q'!G42</f>
        <v>1603.8999999999996</v>
      </c>
      <c r="C42" s="129" t="s">
        <v>9</v>
      </c>
      <c r="D42" s="129">
        <f>'7G'!I42-'7Q'!I42</f>
        <v>-4.7</v>
      </c>
      <c r="E42" s="129">
        <f>'7G'!J42-'7Q'!J42</f>
        <v>27.1</v>
      </c>
      <c r="F42" s="129" t="s">
        <v>9</v>
      </c>
      <c r="G42" s="129">
        <f>'7G'!L42-'7Q'!L42</f>
        <v>1613.3000000000002</v>
      </c>
      <c r="H42" s="129" t="s">
        <v>9</v>
      </c>
      <c r="I42" s="129">
        <f>'7G'!N42-'7Q'!N42</f>
        <v>-4.7</v>
      </c>
      <c r="J42" s="129">
        <f>'7G'!O42-'7Q'!O42</f>
        <v>26.6</v>
      </c>
      <c r="K42" s="129" t="s">
        <v>9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'7G'!G43-'7Q'!G43</f>
        <v>1390.3000000000002</v>
      </c>
      <c r="C43" s="129" t="s">
        <v>9</v>
      </c>
      <c r="D43" s="129">
        <f>'7G'!I43-'7Q'!I43</f>
        <v>-3.3000000000000003</v>
      </c>
      <c r="E43" s="129">
        <f>'7G'!J43-'7Q'!J43</f>
        <v>94.399999999999991</v>
      </c>
      <c r="F43" s="129" t="s">
        <v>9</v>
      </c>
      <c r="G43" s="129">
        <f>'7G'!L43-'7Q'!L43</f>
        <v>1394.5</v>
      </c>
      <c r="H43" s="129" t="s">
        <v>9</v>
      </c>
      <c r="I43" s="129">
        <f>'7G'!N43-'7Q'!N43</f>
        <v>-3.3000000000000003</v>
      </c>
      <c r="J43" s="129">
        <f>'7G'!O43-'7Q'!O43</f>
        <v>93.399999999999991</v>
      </c>
      <c r="K43" s="129" t="s">
        <v>9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'7G'!G44-'7Q'!G44</f>
        <v>878.60000000000036</v>
      </c>
      <c r="C44" s="129" t="s">
        <v>9</v>
      </c>
      <c r="D44" s="129" t="s">
        <v>9</v>
      </c>
      <c r="E44" s="129">
        <f>'7G'!J44-'7Q'!J44</f>
        <v>9.0000000000000071</v>
      </c>
      <c r="F44" s="129" t="s">
        <v>9</v>
      </c>
      <c r="G44" s="129">
        <f>'7G'!L44-'7Q'!L44</f>
        <v>864.19999999999982</v>
      </c>
      <c r="H44" s="129" t="s">
        <v>9</v>
      </c>
      <c r="I44" s="129" t="s">
        <v>9</v>
      </c>
      <c r="J44" s="129">
        <f>'7G'!O44-'7Q'!O44</f>
        <v>8.7000000000000028</v>
      </c>
      <c r="K44" s="129" t="s">
        <v>9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'7G'!G45-'7Q'!G45</f>
        <v>1483.8000000000002</v>
      </c>
      <c r="C45" s="129" t="s">
        <v>9</v>
      </c>
      <c r="D45" s="129" t="s">
        <v>9</v>
      </c>
      <c r="E45" s="129">
        <f>'7G'!J45-'7Q'!J45</f>
        <v>-33.799999999999997</v>
      </c>
      <c r="F45" s="129" t="s">
        <v>9</v>
      </c>
      <c r="G45" s="129">
        <f>'7G'!L45-'7Q'!L45</f>
        <v>1476.6000000000004</v>
      </c>
      <c r="H45" s="129" t="s">
        <v>9</v>
      </c>
      <c r="I45" s="129" t="s">
        <v>9</v>
      </c>
      <c r="J45" s="129">
        <f>'7G'!O45-'7Q'!O45</f>
        <v>-33.800000000000004</v>
      </c>
      <c r="K45" s="129" t="s">
        <v>9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'7G'!G46-'7Q'!G46</f>
        <v>1334.6000000000004</v>
      </c>
      <c r="C46" s="129" t="s">
        <v>9</v>
      </c>
      <c r="D46" s="129" t="s">
        <v>9</v>
      </c>
      <c r="E46" s="129">
        <f>'7G'!J46-'7Q'!J46</f>
        <v>-32.299999999999997</v>
      </c>
      <c r="F46" s="129" t="s">
        <v>9</v>
      </c>
      <c r="G46" s="129">
        <f>'7G'!L46-'7Q'!L46</f>
        <v>1338</v>
      </c>
      <c r="H46" s="129" t="s">
        <v>9</v>
      </c>
      <c r="I46" s="129" t="s">
        <v>9</v>
      </c>
      <c r="J46" s="129">
        <f>'7G'!O46-'7Q'!O46</f>
        <v>-32.400000000000006</v>
      </c>
      <c r="K46" s="129" t="s">
        <v>9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'7G'!G47-'7Q'!G47</f>
        <v>908.10000000000036</v>
      </c>
      <c r="C47" s="129" t="s">
        <v>9</v>
      </c>
      <c r="D47" s="129" t="s">
        <v>9</v>
      </c>
      <c r="E47" s="129">
        <f>'7G'!J47-'7Q'!J47</f>
        <v>-24.700000000000003</v>
      </c>
      <c r="F47" s="129" t="s">
        <v>9</v>
      </c>
      <c r="G47" s="129">
        <f>'7G'!L47-'7Q'!L47</f>
        <v>903.80000000000018</v>
      </c>
      <c r="H47" s="129" t="s">
        <v>9</v>
      </c>
      <c r="I47" s="129" t="s">
        <v>9</v>
      </c>
      <c r="J47" s="129">
        <f>'7G'!O47-'7Q'!O47</f>
        <v>-24.700000000000003</v>
      </c>
      <c r="K47" s="129" t="s">
        <v>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'7G'!G48-'7Q'!G48</f>
        <v>1079.1999999999998</v>
      </c>
      <c r="C48" s="129" t="s">
        <v>9</v>
      </c>
      <c r="D48" s="129" t="s">
        <v>9</v>
      </c>
      <c r="E48" s="129">
        <f>'7G'!J48-'7Q'!J48</f>
        <v>-10.600000000000001</v>
      </c>
      <c r="F48" s="129" t="s">
        <v>9</v>
      </c>
      <c r="G48" s="129">
        <f>'7G'!L48-'7Q'!L48</f>
        <v>1078.4000000000005</v>
      </c>
      <c r="H48" s="129" t="s">
        <v>9</v>
      </c>
      <c r="I48" s="129" t="s">
        <v>9</v>
      </c>
      <c r="J48" s="129">
        <f>'7G'!O48-'7Q'!O48</f>
        <v>-10.700000000000003</v>
      </c>
      <c r="K48" s="129" t="s">
        <v>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'7G'!G49-'7Q'!G49</f>
        <v>617.80000000000018</v>
      </c>
      <c r="C49" s="129" t="s">
        <v>9</v>
      </c>
      <c r="D49" s="129" t="s">
        <v>9</v>
      </c>
      <c r="E49" s="129">
        <f>'7G'!J49-'7Q'!J49</f>
        <v>3.3999999999999986</v>
      </c>
      <c r="F49" s="129" t="s">
        <v>9</v>
      </c>
      <c r="G49" s="129">
        <f>'7G'!L49-'7Q'!L49</f>
        <v>614.59999999999945</v>
      </c>
      <c r="H49" s="129" t="s">
        <v>9</v>
      </c>
      <c r="I49" s="129" t="s">
        <v>9</v>
      </c>
      <c r="J49" s="129">
        <f>'7G'!O49-'7Q'!O49</f>
        <v>3.2999999999999972</v>
      </c>
      <c r="K49" s="129" t="s">
        <v>9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'7G'!G50-'7Q'!G50</f>
        <v>667.09999999999945</v>
      </c>
      <c r="C50" s="129" t="s">
        <v>9</v>
      </c>
      <c r="D50" s="129" t="s">
        <v>9</v>
      </c>
      <c r="E50" s="129">
        <f>'7G'!J50-'7Q'!J50</f>
        <v>-30.6</v>
      </c>
      <c r="F50" s="129" t="s">
        <v>9</v>
      </c>
      <c r="G50" s="129">
        <f>'7G'!L50-'7Q'!L50</f>
        <v>666.39999999999964</v>
      </c>
      <c r="H50" s="129" t="s">
        <v>9</v>
      </c>
      <c r="I50" s="129" t="s">
        <v>9</v>
      </c>
      <c r="J50" s="129">
        <f>'7G'!O50-'7Q'!O50</f>
        <v>-30.6</v>
      </c>
      <c r="K50" s="129" t="s">
        <v>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'7G'!G51-'7Q'!G51</f>
        <v>657.10000000000036</v>
      </c>
      <c r="C51" s="129" t="s">
        <v>9</v>
      </c>
      <c r="D51" s="129" t="s">
        <v>9</v>
      </c>
      <c r="E51" s="129">
        <f>'7G'!J51-'7Q'!J51</f>
        <v>9.9999999999994316E-2</v>
      </c>
      <c r="F51" s="129" t="s">
        <v>9</v>
      </c>
      <c r="G51" s="129">
        <f>'7G'!L51-'7Q'!L51</f>
        <v>657.10000000000036</v>
      </c>
      <c r="H51" s="129" t="s">
        <v>9</v>
      </c>
      <c r="I51" s="129" t="s">
        <v>9</v>
      </c>
      <c r="J51" s="129">
        <f>'7G'!O51-'7Q'!O51</f>
        <v>9.9999999999994316E-2</v>
      </c>
      <c r="K51" s="129" t="s">
        <v>9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'7G'!G52-'7Q'!G52</f>
        <v>644</v>
      </c>
      <c r="C52" s="129" t="s">
        <v>9</v>
      </c>
      <c r="D52" s="129" t="s">
        <v>9</v>
      </c>
      <c r="E52" s="129">
        <f>'7G'!J52-'7Q'!J52</f>
        <v>-31.199999999999996</v>
      </c>
      <c r="F52" s="129" t="s">
        <v>9</v>
      </c>
      <c r="G52" s="129">
        <f>'7G'!L52-'7Q'!L52</f>
        <v>643.69999999999982</v>
      </c>
      <c r="H52" s="129" t="s">
        <v>9</v>
      </c>
      <c r="I52" s="129" t="s">
        <v>9</v>
      </c>
      <c r="J52" s="129">
        <f>'7G'!O52-'7Q'!O52</f>
        <v>-31.199999999999996</v>
      </c>
      <c r="K52" s="129" t="s">
        <v>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'7G'!G53-'7Q'!G53</f>
        <v>232.19999999999982</v>
      </c>
      <c r="C53" s="129" t="s">
        <v>9</v>
      </c>
      <c r="D53" s="129" t="s">
        <v>9</v>
      </c>
      <c r="E53" s="129">
        <f>'7G'!J53-'7Q'!J53</f>
        <v>0.39999999999999858</v>
      </c>
      <c r="F53" s="129" t="s">
        <v>9</v>
      </c>
      <c r="G53" s="129">
        <f>'7G'!L53-'7Q'!L53</f>
        <v>230</v>
      </c>
      <c r="H53" s="129" t="s">
        <v>9</v>
      </c>
      <c r="I53" s="129" t="s">
        <v>9</v>
      </c>
      <c r="J53" s="129">
        <f>'7G'!O53-'7Q'!O53</f>
        <v>0.39999999999999858</v>
      </c>
      <c r="K53" s="129" t="s">
        <v>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'7G'!G54-'7Q'!G54</f>
        <v>638.60000000000036</v>
      </c>
      <c r="C54" s="129" t="s">
        <v>9</v>
      </c>
      <c r="D54" s="129" t="s">
        <v>9</v>
      </c>
      <c r="E54" s="129">
        <f>'7G'!J54-'7Q'!J54</f>
        <v>-24.400000000000002</v>
      </c>
      <c r="F54" s="129" t="s">
        <v>9</v>
      </c>
      <c r="G54" s="129">
        <f>'7G'!L54-'7Q'!L54</f>
        <v>630.20000000000073</v>
      </c>
      <c r="H54" s="129" t="s">
        <v>9</v>
      </c>
      <c r="I54" s="129" t="s">
        <v>9</v>
      </c>
      <c r="J54" s="129">
        <f>'7G'!O54-'7Q'!O54</f>
        <v>-24.400000000000002</v>
      </c>
      <c r="K54" s="129" t="s">
        <v>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'7G'!G55-'7Q'!G55</f>
        <v>1313.6999999999998</v>
      </c>
      <c r="C55" s="129" t="s">
        <v>9</v>
      </c>
      <c r="D55" s="129" t="s">
        <v>9</v>
      </c>
      <c r="E55" s="129">
        <f>'7G'!J55-'7Q'!J55</f>
        <v>-38.700000000000003</v>
      </c>
      <c r="F55" s="129" t="s">
        <v>9</v>
      </c>
      <c r="G55" s="129">
        <f>'7G'!L55-'7Q'!L55</f>
        <v>1310.4000000000005</v>
      </c>
      <c r="H55" s="129" t="s">
        <v>9</v>
      </c>
      <c r="I55" s="129" t="s">
        <v>9</v>
      </c>
      <c r="J55" s="129">
        <f>'7G'!O55-'7Q'!O55</f>
        <v>-38.700000000000003</v>
      </c>
      <c r="K55" s="129" t="s">
        <v>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'7G'!G56-'7Q'!G56</f>
        <v>1941.2000000000007</v>
      </c>
      <c r="C56" s="129" t="s">
        <v>9</v>
      </c>
      <c r="D56" s="129" t="s">
        <v>9</v>
      </c>
      <c r="E56" s="129">
        <f>'7G'!J56-'7Q'!J56</f>
        <v>-14.600000000000001</v>
      </c>
      <c r="F56" s="129" t="s">
        <v>9</v>
      </c>
      <c r="G56" s="129">
        <f>'7G'!L56-'7Q'!L56</f>
        <v>1939.6999999999989</v>
      </c>
      <c r="H56" s="129" t="s">
        <v>9</v>
      </c>
      <c r="I56" s="129" t="s">
        <v>9</v>
      </c>
      <c r="J56" s="129">
        <f>'7G'!O56-'7Q'!O56</f>
        <v>-14.700000000000003</v>
      </c>
      <c r="K56" s="129" t="s">
        <v>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'7G'!G57-'7Q'!G57</f>
        <v>1691.8000000000002</v>
      </c>
      <c r="C57" s="129" t="s">
        <v>9</v>
      </c>
      <c r="D57" s="129" t="s">
        <v>9</v>
      </c>
      <c r="E57" s="129">
        <f>'7G'!J57-'7Q'!J57</f>
        <v>-37.099999999999994</v>
      </c>
      <c r="F57" s="129" t="s">
        <v>9</v>
      </c>
      <c r="G57" s="129">
        <f>'7G'!L57-'7Q'!L57</f>
        <v>1690.1000000000004</v>
      </c>
      <c r="H57" s="129" t="s">
        <v>9</v>
      </c>
      <c r="I57" s="129" t="s">
        <v>9</v>
      </c>
      <c r="J57" s="129">
        <f>'7G'!O57-'7Q'!O57</f>
        <v>-37</v>
      </c>
      <c r="K57" s="129" t="s">
        <v>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E60" si="0">((B57/B28)^(1/29)-1)*100</f>
        <v>1.8229505107600241</v>
      </c>
      <c r="C60" s="11" t="s">
        <v>10</v>
      </c>
      <c r="D60" s="11" t="s">
        <v>10</v>
      </c>
      <c r="E60" s="11">
        <f t="shared" si="0"/>
        <v>-210.4092174032096</v>
      </c>
      <c r="F60" s="11" t="s">
        <v>10</v>
      </c>
      <c r="G60" s="11">
        <f>((G57/G28)^(1/29)-1)*100</f>
        <v>1.8734652378098682</v>
      </c>
      <c r="H60" s="11" t="s">
        <v>10</v>
      </c>
      <c r="I60" s="11" t="s">
        <v>10</v>
      </c>
      <c r="J60" s="11">
        <f t="shared" ref="J60" si="1">((J57/J28)^(1/29)-1)*100</f>
        <v>-210.78060392295211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E61" si="2">((B33/B28)^(1/5)-1)*100</f>
        <v>27.315235509220813</v>
      </c>
      <c r="C61" s="11" t="s">
        <v>10</v>
      </c>
      <c r="D61" s="11">
        <f t="shared" si="2"/>
        <v>35.691163482860702</v>
      </c>
      <c r="E61" s="11">
        <f t="shared" si="2"/>
        <v>54.522059094855813</v>
      </c>
      <c r="F61" s="11" t="s">
        <v>10</v>
      </c>
      <c r="G61" s="11">
        <f>((G33/G28)^(1/5)-1)*100</f>
        <v>27.937774929000447</v>
      </c>
      <c r="H61" s="11" t="s">
        <v>10</v>
      </c>
      <c r="I61" s="11">
        <f t="shared" ref="I61:J61" si="3">((I33/I28)^(1/5)-1)*100</f>
        <v>37.576485548190377</v>
      </c>
      <c r="J61" s="11">
        <f t="shared" si="3"/>
        <v>57.131608920150171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E62" si="4">((B44/B33)^(1/11)-1)*100</f>
        <v>-11.459439547269435</v>
      </c>
      <c r="C62" s="11" t="s">
        <v>10</v>
      </c>
      <c r="D62" s="11" t="s">
        <v>10</v>
      </c>
      <c r="E62" s="11">
        <f t="shared" si="4"/>
        <v>-6.3404883095130815</v>
      </c>
      <c r="F62" s="11" t="s">
        <v>10</v>
      </c>
      <c r="G62" s="11">
        <f>((G44/G33)^(1/11)-1)*100</f>
        <v>-11.664662776156709</v>
      </c>
      <c r="H62" s="11" t="s">
        <v>10</v>
      </c>
      <c r="I62" s="11" t="s">
        <v>10</v>
      </c>
      <c r="J62" s="11">
        <f t="shared" ref="J62" si="5">((J44/J33)^(1/11)-1)*100</f>
        <v>-6.4898191810183192</v>
      </c>
      <c r="K62" s="11" t="s">
        <v>10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-4.064977625100008</v>
      </c>
      <c r="C63" s="11" t="s">
        <v>10</v>
      </c>
      <c r="D63" s="11" t="s">
        <v>10</v>
      </c>
      <c r="E63" s="11">
        <f t="shared" ref="E63:J63" si="6">((E51/E44)^(1/7)-1)*100</f>
        <v>-47.419767922828981</v>
      </c>
      <c r="F63" s="11" t="s">
        <v>10</v>
      </c>
      <c r="G63" s="11">
        <f t="shared" si="6"/>
        <v>-3.838227936005334</v>
      </c>
      <c r="H63" s="11" t="s">
        <v>10</v>
      </c>
      <c r="I63" s="11" t="s">
        <v>10</v>
      </c>
      <c r="J63" s="11">
        <f t="shared" si="6"/>
        <v>-47.164500072781514</v>
      </c>
      <c r="K63" s="11" t="s">
        <v>10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17.071969776786045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7">((G57/G51)^(1/6)-1)*100</f>
        <v>17.05235499492257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E65" si="8">((B57/B44)^(1/13)-1)*100</f>
        <v>5.1693193521417102</v>
      </c>
      <c r="C65" s="11" t="s">
        <v>10</v>
      </c>
      <c r="D65" s="11" t="s">
        <v>10</v>
      </c>
      <c r="E65" s="11">
        <f t="shared" si="8"/>
        <v>-211.51102299243885</v>
      </c>
      <c r="F65" s="11" t="s">
        <v>10</v>
      </c>
      <c r="G65" s="11">
        <f>((G57/G44)^(1/13)-1)*100</f>
        <v>5.2949515796914648</v>
      </c>
      <c r="H65" s="11" t="s">
        <v>10</v>
      </c>
      <c r="I65" s="11" t="s">
        <v>10</v>
      </c>
      <c r="J65" s="11">
        <f t="shared" ref="J65" si="9">((J57/J44)^(1/13)-1)*100</f>
        <v>-211.77899230688519</v>
      </c>
      <c r="K65" s="11" t="s">
        <v>10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6" width="9.140625" style="239"/>
    <col min="7" max="7" width="16.140625" style="239" customWidth="1"/>
    <col min="8" max="16384" width="9.140625" style="239"/>
  </cols>
  <sheetData>
    <row r="1" spans="1:20">
      <c r="A1" s="454" t="s">
        <v>337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'7H'!G5-'7R'!G5</f>
        <v>2691.2</v>
      </c>
      <c r="C5" s="129" t="s">
        <v>9</v>
      </c>
      <c r="D5" s="129" t="s">
        <v>9</v>
      </c>
      <c r="E5" s="129">
        <f>'7H'!J5-'7R'!J5</f>
        <v>-0.59999999999999787</v>
      </c>
      <c r="F5" s="129">
        <f>'7H'!K5-'7R'!K5</f>
        <v>-19</v>
      </c>
      <c r="G5" s="129">
        <f>'7H'!L5-'7R'!L5</f>
        <v>2771.5</v>
      </c>
      <c r="H5" s="129" t="s">
        <v>9</v>
      </c>
      <c r="I5" s="129" t="s">
        <v>9</v>
      </c>
      <c r="J5" s="129">
        <f>'7H'!O5-'7R'!O5</f>
        <v>-0.89999999999999858</v>
      </c>
      <c r="K5" s="129">
        <f>'7H'!P5-'7R'!P5</f>
        <v>-18.900000000000002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'7H'!G6-'7R'!G6</f>
        <v>3447.5</v>
      </c>
      <c r="C6" s="129" t="s">
        <v>9</v>
      </c>
      <c r="D6" s="129" t="s">
        <v>9</v>
      </c>
      <c r="E6" s="129">
        <f>'7H'!J6-'7R'!J6</f>
        <v>7.6000000000000014</v>
      </c>
      <c r="F6" s="129">
        <f>'7H'!K6-'7R'!K6</f>
        <v>0.89999999999999858</v>
      </c>
      <c r="G6" s="129">
        <f>'7H'!L6-'7R'!L6</f>
        <v>3527.8</v>
      </c>
      <c r="H6" s="129" t="s">
        <v>9</v>
      </c>
      <c r="I6" s="129" t="s">
        <v>9</v>
      </c>
      <c r="J6" s="129">
        <f>'7H'!O6-'7R'!O6</f>
        <v>7.3000000000000007</v>
      </c>
      <c r="K6" s="129">
        <f>'7H'!P6-'7R'!P6</f>
        <v>1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'7H'!G7-'7R'!G7</f>
        <v>3725.8</v>
      </c>
      <c r="C7" s="129" t="s">
        <v>9</v>
      </c>
      <c r="D7" s="129" t="s">
        <v>9</v>
      </c>
      <c r="E7" s="129">
        <f>'7H'!J7-'7R'!J7</f>
        <v>1.8000000000000007</v>
      </c>
      <c r="F7" s="129">
        <f>'7H'!K7-'7R'!K7</f>
        <v>11.699999999999996</v>
      </c>
      <c r="G7" s="129">
        <f>'7H'!L7-'7R'!L7</f>
        <v>3836.2000000000003</v>
      </c>
      <c r="H7" s="129" t="s">
        <v>9</v>
      </c>
      <c r="I7" s="129" t="s">
        <v>9</v>
      </c>
      <c r="J7" s="129">
        <f>'7H'!O7-'7R'!O7</f>
        <v>1.5</v>
      </c>
      <c r="K7" s="129">
        <f>'7H'!P7-'7R'!P7</f>
        <v>11.899999999999999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'7H'!G8-'7R'!G8</f>
        <v>3516.0999999999995</v>
      </c>
      <c r="C8" s="129" t="s">
        <v>9</v>
      </c>
      <c r="D8" s="129" t="s">
        <v>9</v>
      </c>
      <c r="E8" s="129">
        <f>'7H'!J8-'7R'!J8</f>
        <v>8.8000000000000007</v>
      </c>
      <c r="F8" s="129">
        <f>'7H'!K8-'7R'!K8</f>
        <v>24.500000000000007</v>
      </c>
      <c r="G8" s="129">
        <f>'7H'!L8-'7R'!L8</f>
        <v>3578.3999999999996</v>
      </c>
      <c r="H8" s="129" t="s">
        <v>9</v>
      </c>
      <c r="I8" s="129" t="s">
        <v>9</v>
      </c>
      <c r="J8" s="129">
        <f>'7H'!O8-'7R'!O8</f>
        <v>8.3999999999999986</v>
      </c>
      <c r="K8" s="129">
        <f>'7H'!P8-'7R'!P8</f>
        <v>24.6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'7H'!G9-'7R'!G9</f>
        <v>4900.8999999999996</v>
      </c>
      <c r="C9" s="129" t="s">
        <v>9</v>
      </c>
      <c r="D9" s="129" t="s">
        <v>9</v>
      </c>
      <c r="E9" s="129">
        <f>'7H'!J9-'7R'!J9</f>
        <v>22.7</v>
      </c>
      <c r="F9" s="129">
        <f>'7H'!K9-'7R'!K9</f>
        <v>122.30000000000001</v>
      </c>
      <c r="G9" s="129">
        <f>'7H'!L9-'7R'!L9</f>
        <v>4999.4000000000005</v>
      </c>
      <c r="H9" s="129" t="s">
        <v>9</v>
      </c>
      <c r="I9" s="129" t="s">
        <v>9</v>
      </c>
      <c r="J9" s="129">
        <f>'7H'!O9-'7R'!O9</f>
        <v>22.1</v>
      </c>
      <c r="K9" s="129">
        <f>'7H'!P9-'7R'!P9</f>
        <v>122.5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'7H'!G10-'7R'!G10</f>
        <v>6219.8</v>
      </c>
      <c r="C10" s="129" t="s">
        <v>9</v>
      </c>
      <c r="D10" s="129" t="s">
        <v>9</v>
      </c>
      <c r="E10" s="129">
        <f>'7H'!J10-'7R'!J10</f>
        <v>13.000000000000004</v>
      </c>
      <c r="F10" s="129">
        <f>'7H'!K10-'7R'!K10</f>
        <v>67.7</v>
      </c>
      <c r="G10" s="129">
        <f>'7H'!L10-'7R'!L10</f>
        <v>6261.3</v>
      </c>
      <c r="H10" s="129" t="s">
        <v>9</v>
      </c>
      <c r="I10" s="129" t="s">
        <v>9</v>
      </c>
      <c r="J10" s="129">
        <f>'7H'!O10-'7R'!O10</f>
        <v>12.400000000000002</v>
      </c>
      <c r="K10" s="129">
        <f>'7H'!P10-'7R'!P10</f>
        <v>68.099999999999994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'7H'!G11-'7R'!G11</f>
        <v>5657</v>
      </c>
      <c r="C11" s="129" t="s">
        <v>9</v>
      </c>
      <c r="D11" s="129" t="s">
        <v>9</v>
      </c>
      <c r="E11" s="129">
        <f>'7H'!J11-'7R'!J11</f>
        <v>2.3000000000000007</v>
      </c>
      <c r="F11" s="129">
        <f>'7H'!K11-'7R'!K11</f>
        <v>12.000000000000007</v>
      </c>
      <c r="G11" s="129">
        <f>'7H'!L11-'7R'!L11</f>
        <v>5803.5</v>
      </c>
      <c r="H11" s="129" t="s">
        <v>9</v>
      </c>
      <c r="I11" s="129" t="s">
        <v>9</v>
      </c>
      <c r="J11" s="129">
        <f>'7H'!O11-'7R'!O11</f>
        <v>1.9000000000000021</v>
      </c>
      <c r="K11" s="129">
        <f>'7H'!P11-'7R'!P11</f>
        <v>12.400000000000006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'7H'!G12-'7R'!G12</f>
        <v>5076.8</v>
      </c>
      <c r="C12" s="129" t="s">
        <v>9</v>
      </c>
      <c r="D12" s="129" t="s">
        <v>9</v>
      </c>
      <c r="E12" s="129">
        <f>'7H'!J12-'7R'!J12</f>
        <v>-1.1000000000000014</v>
      </c>
      <c r="F12" s="129">
        <f>'7H'!K12-'7R'!K12</f>
        <v>0</v>
      </c>
      <c r="G12" s="129">
        <f>'7H'!L12-'7R'!L12</f>
        <v>5261.6</v>
      </c>
      <c r="H12" s="129" t="s">
        <v>9</v>
      </c>
      <c r="I12" s="129" t="s">
        <v>9</v>
      </c>
      <c r="J12" s="129">
        <f>'7H'!O12-'7R'!O12</f>
        <v>-1.5</v>
      </c>
      <c r="K12" s="129">
        <f>'7H'!P12-'7R'!P12</f>
        <v>0.10000000000000142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'7H'!G13-'7R'!G13</f>
        <v>4473.5999999999995</v>
      </c>
      <c r="C13" s="129" t="s">
        <v>9</v>
      </c>
      <c r="D13" s="129" t="s">
        <v>9</v>
      </c>
      <c r="E13" s="129">
        <f>'7H'!J13-'7R'!J13</f>
        <v>20.300000000000004</v>
      </c>
      <c r="F13" s="129">
        <f>'7H'!K13-'7R'!K13</f>
        <v>12</v>
      </c>
      <c r="G13" s="129">
        <f>'7H'!L13-'7R'!L13</f>
        <v>4604.4000000000005</v>
      </c>
      <c r="H13" s="129" t="s">
        <v>9</v>
      </c>
      <c r="I13" s="129" t="s">
        <v>9</v>
      </c>
      <c r="J13" s="129">
        <f>'7H'!O13-'7R'!O13</f>
        <v>19.600000000000001</v>
      </c>
      <c r="K13" s="129">
        <f>'7H'!P13-'7R'!P13</f>
        <v>12.299999999999997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'7H'!G14-'7R'!G14</f>
        <v>5805.2000000000007</v>
      </c>
      <c r="C14" s="129" t="s">
        <v>9</v>
      </c>
      <c r="D14" s="129" t="s">
        <v>9</v>
      </c>
      <c r="E14" s="129">
        <f>'7H'!J14-'7R'!J14</f>
        <v>-2.3999999999999986</v>
      </c>
      <c r="F14" s="129">
        <f>'7H'!K14-'7R'!K14</f>
        <v>36</v>
      </c>
      <c r="G14" s="129">
        <f>'7H'!L14-'7R'!L14</f>
        <v>5873.9</v>
      </c>
      <c r="H14" s="129" t="s">
        <v>9</v>
      </c>
      <c r="I14" s="129" t="s">
        <v>9</v>
      </c>
      <c r="J14" s="129">
        <f>'7H'!O14-'7R'!O14</f>
        <v>-2.5999999999999979</v>
      </c>
      <c r="K14" s="129">
        <f>'7H'!P14-'7R'!P14</f>
        <v>36.400000000000006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'7H'!G15-'7R'!G15</f>
        <v>4697.8999999999996</v>
      </c>
      <c r="C15" s="129" t="s">
        <v>9</v>
      </c>
      <c r="D15" s="129" t="s">
        <v>9</v>
      </c>
      <c r="E15" s="129">
        <f>'7H'!J15-'7R'!J15</f>
        <v>-3.0999999999999979</v>
      </c>
      <c r="F15" s="129">
        <f>'7H'!K15-'7R'!K15</f>
        <v>28.900000000000006</v>
      </c>
      <c r="G15" s="129">
        <f>'7H'!L15-'7R'!L15</f>
        <v>4900.3</v>
      </c>
      <c r="H15" s="129" t="s">
        <v>9</v>
      </c>
      <c r="I15" s="129" t="s">
        <v>9</v>
      </c>
      <c r="J15" s="129">
        <f>'7H'!O15-'7R'!O15</f>
        <v>-3.3999999999999986</v>
      </c>
      <c r="K15" s="129">
        <f>'7H'!P15-'7R'!P15</f>
        <v>29.5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'7H'!G16-'7R'!G16</f>
        <v>4038.5999999999995</v>
      </c>
      <c r="C16" s="129" t="s">
        <v>9</v>
      </c>
      <c r="D16" s="129" t="s">
        <v>9</v>
      </c>
      <c r="E16" s="129">
        <f>'7H'!J16-'7R'!J16</f>
        <v>13.099999999999998</v>
      </c>
      <c r="F16" s="129">
        <f>'7H'!K16-'7R'!K16</f>
        <v>-12.900000000000006</v>
      </c>
      <c r="G16" s="129">
        <f>'7H'!L16-'7R'!L16</f>
        <v>4230.7999999999993</v>
      </c>
      <c r="H16" s="129" t="s">
        <v>9</v>
      </c>
      <c r="I16" s="129" t="s">
        <v>9</v>
      </c>
      <c r="J16" s="129">
        <f>'7H'!O16-'7R'!O16</f>
        <v>12.400000000000002</v>
      </c>
      <c r="K16" s="129">
        <f>'7H'!P16-'7R'!P16</f>
        <v>-12.800000000000004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'7H'!G17-'7R'!G17</f>
        <v>3794.7</v>
      </c>
      <c r="C17" s="129" t="s">
        <v>9</v>
      </c>
      <c r="D17" s="129" t="s">
        <v>9</v>
      </c>
      <c r="E17" s="129">
        <f>'7H'!J17-'7R'!J17</f>
        <v>45.699999999999996</v>
      </c>
      <c r="F17" s="129">
        <f>'7H'!K17-'7R'!K17</f>
        <v>-8</v>
      </c>
      <c r="G17" s="129">
        <f>'7H'!L17-'7R'!L17</f>
        <v>3970.1000000000004</v>
      </c>
      <c r="H17" s="129" t="s">
        <v>9</v>
      </c>
      <c r="I17" s="129" t="s">
        <v>9</v>
      </c>
      <c r="J17" s="129">
        <f>'7H'!O17-'7R'!O17</f>
        <v>44.5</v>
      </c>
      <c r="K17" s="129">
        <f>'7H'!P17-'7R'!P17</f>
        <v>-8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'7H'!G18-'7R'!G18</f>
        <v>3790.7000000000007</v>
      </c>
      <c r="C18" s="129" t="s">
        <v>9</v>
      </c>
      <c r="D18" s="129" t="s">
        <v>9</v>
      </c>
      <c r="E18" s="129">
        <f>'7H'!J18-'7R'!J18</f>
        <v>55.800000000000004</v>
      </c>
      <c r="F18" s="129">
        <f>'7H'!K18-'7R'!K18</f>
        <v>22.600000000000009</v>
      </c>
      <c r="G18" s="129">
        <f>'7H'!L18-'7R'!L18</f>
        <v>3930.3999999999996</v>
      </c>
      <c r="H18" s="129" t="s">
        <v>9</v>
      </c>
      <c r="I18" s="129" t="s">
        <v>9</v>
      </c>
      <c r="J18" s="129">
        <f>'7H'!O18-'7R'!O18</f>
        <v>54.400000000000006</v>
      </c>
      <c r="K18" s="129">
        <f>'7H'!P18-'7R'!P18</f>
        <v>22.600000000000009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'7H'!G19-'7R'!G19</f>
        <v>3541.8</v>
      </c>
      <c r="C19" s="129" t="s">
        <v>9</v>
      </c>
      <c r="D19" s="129" t="s">
        <v>9</v>
      </c>
      <c r="E19" s="129">
        <f>'7H'!J19-'7R'!J19</f>
        <v>50.100000000000009</v>
      </c>
      <c r="F19" s="129">
        <f>'7H'!K19-'7R'!K19</f>
        <v>62.899999999999991</v>
      </c>
      <c r="G19" s="129">
        <f>'7H'!L19-'7R'!L19</f>
        <v>3708.8999999999996</v>
      </c>
      <c r="H19" s="129" t="s">
        <v>9</v>
      </c>
      <c r="I19" s="129" t="s">
        <v>9</v>
      </c>
      <c r="J19" s="129">
        <f>'7H'!O19-'7R'!O19</f>
        <v>48.7</v>
      </c>
      <c r="K19" s="129">
        <f>'7H'!P19-'7R'!P19</f>
        <v>62.8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'7H'!G20-'7R'!G20</f>
        <v>2641.6000000000004</v>
      </c>
      <c r="C20" s="129" t="s">
        <v>9</v>
      </c>
      <c r="D20" s="129" t="s">
        <v>9</v>
      </c>
      <c r="E20" s="129">
        <f>'7H'!J20-'7R'!J20</f>
        <v>-1.1999999999999957</v>
      </c>
      <c r="F20" s="129">
        <f>'7H'!K20-'7R'!K20</f>
        <v>148.30000000000001</v>
      </c>
      <c r="G20" s="129">
        <f>'7H'!L20-'7R'!L20</f>
        <v>2787.3000000000011</v>
      </c>
      <c r="H20" s="129" t="s">
        <v>9</v>
      </c>
      <c r="I20" s="129" t="s">
        <v>9</v>
      </c>
      <c r="J20" s="129">
        <f>'7H'!O20-'7R'!O20</f>
        <v>-1.7000000000000028</v>
      </c>
      <c r="K20" s="129">
        <f>'7H'!P20-'7R'!P20</f>
        <v>148.1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'7H'!G21-'7R'!G21</f>
        <v>2713.4999999999991</v>
      </c>
      <c r="C21" s="129" t="s">
        <v>9</v>
      </c>
      <c r="D21" s="129" t="s">
        <v>9</v>
      </c>
      <c r="E21" s="129">
        <f>'7H'!J21-'7R'!J21</f>
        <v>11.5</v>
      </c>
      <c r="F21" s="129">
        <f>'7H'!K21-'7R'!K21</f>
        <v>116.9</v>
      </c>
      <c r="G21" s="129">
        <f>'7H'!L21-'7R'!L21</f>
        <v>2797.9000000000005</v>
      </c>
      <c r="H21" s="129" t="s">
        <v>9</v>
      </c>
      <c r="I21" s="129" t="s">
        <v>9</v>
      </c>
      <c r="J21" s="129">
        <f>'7H'!O21-'7R'!O21</f>
        <v>10.799999999999997</v>
      </c>
      <c r="K21" s="129">
        <f>'7H'!P21-'7R'!P21</f>
        <v>117.00000000000001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'7H'!G22-'7R'!G22</f>
        <v>2358.2000000000007</v>
      </c>
      <c r="C22" s="129" t="s">
        <v>9</v>
      </c>
      <c r="D22" s="129" t="s">
        <v>9</v>
      </c>
      <c r="E22" s="129">
        <f>'7H'!J22-'7R'!J22</f>
        <v>3.5</v>
      </c>
      <c r="F22" s="129">
        <f>'7H'!K22-'7R'!K22</f>
        <v>-42</v>
      </c>
      <c r="G22" s="129">
        <f>'7H'!L22-'7R'!L22</f>
        <v>2492.7000000000007</v>
      </c>
      <c r="H22" s="129" t="s">
        <v>9</v>
      </c>
      <c r="I22" s="129" t="s">
        <v>9</v>
      </c>
      <c r="J22" s="129">
        <f>'7H'!O22-'7R'!O22</f>
        <v>2.8999999999999986</v>
      </c>
      <c r="K22" s="129">
        <f>'7H'!P22-'7R'!P22</f>
        <v>-41.8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'7H'!G23-'7R'!G23</f>
        <v>3428.4999999999991</v>
      </c>
      <c r="C23" s="129" t="s">
        <v>9</v>
      </c>
      <c r="D23" s="129" t="s">
        <v>9</v>
      </c>
      <c r="E23" s="129">
        <f>'7H'!J23-'7R'!J23</f>
        <v>-5.4999999999999964</v>
      </c>
      <c r="F23" s="129">
        <f>'7H'!K23-'7R'!K23</f>
        <v>-39.300000000000004</v>
      </c>
      <c r="G23" s="129">
        <f>'7H'!L23-'7R'!L23</f>
        <v>3506.8999999999996</v>
      </c>
      <c r="H23" s="129" t="s">
        <v>9</v>
      </c>
      <c r="I23" s="129" t="s">
        <v>9</v>
      </c>
      <c r="J23" s="129">
        <f>'7H'!O23-'7R'!O23</f>
        <v>-6.0000000000000036</v>
      </c>
      <c r="K23" s="129">
        <f>'7H'!P23-'7R'!P23</f>
        <v>-39.1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'7H'!G24-'7R'!G24</f>
        <v>4501.1000000000004</v>
      </c>
      <c r="C24" s="129" t="s">
        <v>9</v>
      </c>
      <c r="D24" s="129" t="s">
        <v>9</v>
      </c>
      <c r="E24" s="129">
        <f>'7H'!J24-'7R'!J24</f>
        <v>-5.1000000000000014</v>
      </c>
      <c r="F24" s="129">
        <f>'7H'!K24-'7R'!K24</f>
        <v>67.400000000000006</v>
      </c>
      <c r="G24" s="129">
        <f>'7H'!L24-'7R'!L24</f>
        <v>4591</v>
      </c>
      <c r="H24" s="129" t="s">
        <v>9</v>
      </c>
      <c r="I24" s="129" t="s">
        <v>9</v>
      </c>
      <c r="J24" s="129">
        <f>'7H'!O24-'7R'!O24</f>
        <v>-5.5</v>
      </c>
      <c r="K24" s="129">
        <f>'7H'!P24-'7R'!P24</f>
        <v>67.399999999999991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'7H'!G25-'7R'!G25</f>
        <v>3560.6999999999989</v>
      </c>
      <c r="C25" s="129" t="s">
        <v>9</v>
      </c>
      <c r="D25" s="129" t="s">
        <v>9</v>
      </c>
      <c r="E25" s="129">
        <f>'7H'!J25-'7R'!J25</f>
        <v>18.5</v>
      </c>
      <c r="F25" s="129">
        <f>'7H'!K25-'7R'!K25</f>
        <v>275.39999999999998</v>
      </c>
      <c r="G25" s="129">
        <f>'7H'!L25-'7R'!L25</f>
        <v>3636.2000000000007</v>
      </c>
      <c r="H25" s="129" t="s">
        <v>9</v>
      </c>
      <c r="I25" s="129" t="s">
        <v>9</v>
      </c>
      <c r="J25" s="129">
        <f>'7H'!O25-'7R'!O25</f>
        <v>17.700000000000003</v>
      </c>
      <c r="K25" s="129">
        <f>'7H'!P25-'7R'!P25</f>
        <v>275.39999999999998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'7H'!G26-'7R'!G26</f>
        <v>1756.8999999999996</v>
      </c>
      <c r="C26" s="129" t="s">
        <v>9</v>
      </c>
      <c r="D26" s="129" t="s">
        <v>9</v>
      </c>
      <c r="E26" s="129">
        <f>'7H'!J26-'7R'!J26</f>
        <v>-11.099999999999998</v>
      </c>
      <c r="F26" s="129">
        <f>'7H'!K26-'7R'!K26</f>
        <v>112.5</v>
      </c>
      <c r="G26" s="129">
        <f>'7H'!L26-'7R'!L26</f>
        <v>1901.9000000000005</v>
      </c>
      <c r="H26" s="129" t="s">
        <v>9</v>
      </c>
      <c r="I26" s="129" t="s">
        <v>9</v>
      </c>
      <c r="J26" s="129">
        <f>'7H'!O26-'7R'!O26</f>
        <v>-11.399999999999999</v>
      </c>
      <c r="K26" s="129">
        <f>'7H'!P26-'7R'!P26</f>
        <v>112.99999999999999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'7H'!G27-'7R'!G27</f>
        <v>1488</v>
      </c>
      <c r="C27" s="129" t="s">
        <v>9</v>
      </c>
      <c r="D27" s="129" t="s">
        <v>9</v>
      </c>
      <c r="E27" s="129">
        <f>'7H'!J27-'7R'!J27</f>
        <v>-17.000000000000004</v>
      </c>
      <c r="F27" s="129">
        <f>'7H'!K27-'7R'!K27</f>
        <v>-32.5</v>
      </c>
      <c r="G27" s="129">
        <f>'7H'!L27-'7R'!L27</f>
        <v>1695.4000000000005</v>
      </c>
      <c r="H27" s="129" t="s">
        <v>9</v>
      </c>
      <c r="I27" s="129" t="s">
        <v>9</v>
      </c>
      <c r="J27" s="129">
        <f>'7H'!O27-'7R'!O27</f>
        <v>-17.200000000000003</v>
      </c>
      <c r="K27" s="129">
        <f>'7H'!P27-'7R'!P27</f>
        <v>-32.099999999999994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'7H'!G28-'7R'!G28</f>
        <v>2810.4999999999991</v>
      </c>
      <c r="C28" s="129" t="s">
        <v>9</v>
      </c>
      <c r="D28" s="129" t="s">
        <v>9</v>
      </c>
      <c r="E28" s="129">
        <f>'7H'!J28-'7R'!J28</f>
        <v>3.2000000000000028</v>
      </c>
      <c r="F28" s="129">
        <f>'7H'!K28-'7R'!K28</f>
        <v>-5.5</v>
      </c>
      <c r="G28" s="129">
        <f>'7H'!L28-'7R'!L28</f>
        <v>3023.5</v>
      </c>
      <c r="H28" s="129" t="s">
        <v>9</v>
      </c>
      <c r="I28" s="129" t="s">
        <v>9</v>
      </c>
      <c r="J28" s="129">
        <f>'7H'!O28-'7R'!O28</f>
        <v>2.6000000000000014</v>
      </c>
      <c r="K28" s="129">
        <f>'7H'!P28-'7R'!P28</f>
        <v>-5.3000000000000114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'7H'!G29-'7R'!G29</f>
        <v>4496.3</v>
      </c>
      <c r="C29" s="129" t="s">
        <v>9</v>
      </c>
      <c r="D29" s="129" t="s">
        <v>9</v>
      </c>
      <c r="E29" s="129">
        <f>'7H'!J29-'7R'!J29</f>
        <v>-7.6999999999999993</v>
      </c>
      <c r="F29" s="129">
        <f>'7H'!K29-'7R'!K29</f>
        <v>95.500000000000014</v>
      </c>
      <c r="G29" s="129">
        <f>'7H'!L29-'7R'!L29</f>
        <v>4585.3999999999996</v>
      </c>
      <c r="H29" s="129" t="s">
        <v>9</v>
      </c>
      <c r="I29" s="129" t="s">
        <v>9</v>
      </c>
      <c r="J29" s="129">
        <f>'7H'!O29-'7R'!O29</f>
        <v>-8.0999999999999979</v>
      </c>
      <c r="K29" s="129">
        <f>'7H'!P29-'7R'!P29</f>
        <v>94.800000000000011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'7H'!G30-'7R'!G30</f>
        <v>5848.5999999999995</v>
      </c>
      <c r="C30" s="129" t="s">
        <v>9</v>
      </c>
      <c r="D30" s="129" t="s">
        <v>9</v>
      </c>
      <c r="E30" s="129">
        <f>'7H'!J30-'7R'!J30</f>
        <v>-11</v>
      </c>
      <c r="F30" s="129">
        <f>'7H'!K30-'7R'!K30</f>
        <v>-24.300000000000011</v>
      </c>
      <c r="G30" s="129">
        <f>'7H'!L30-'7R'!L30</f>
        <v>6020.5000000000009</v>
      </c>
      <c r="H30" s="129" t="s">
        <v>9</v>
      </c>
      <c r="I30" s="129" t="s">
        <v>9</v>
      </c>
      <c r="J30" s="129">
        <f>'7H'!O30-'7R'!O30</f>
        <v>-11.299999999999997</v>
      </c>
      <c r="K30" s="129">
        <f>'7H'!P30-'7R'!P30</f>
        <v>-24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'7H'!G31-'7R'!G31</f>
        <v>7647</v>
      </c>
      <c r="C31" s="129" t="s">
        <v>9</v>
      </c>
      <c r="D31" s="129" t="s">
        <v>9</v>
      </c>
      <c r="E31" s="129">
        <f>'7H'!J31-'7R'!J31</f>
        <v>4.3999999999999986</v>
      </c>
      <c r="F31" s="129">
        <f>'7H'!K31-'7R'!K31</f>
        <v>-55.4</v>
      </c>
      <c r="G31" s="129">
        <f>'7H'!L31-'7R'!L31</f>
        <v>7904.9</v>
      </c>
      <c r="H31" s="129" t="s">
        <v>9</v>
      </c>
      <c r="I31" s="129" t="s">
        <v>9</v>
      </c>
      <c r="J31" s="129">
        <f>'7H'!O31-'7R'!O31</f>
        <v>3.9000000000000057</v>
      </c>
      <c r="K31" s="129">
        <f>'7H'!P31-'7R'!P31</f>
        <v>-54.999999999999993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'7H'!G32-'7R'!G32</f>
        <v>8409.5</v>
      </c>
      <c r="C32" s="129" t="s">
        <v>9</v>
      </c>
      <c r="D32" s="129" t="s">
        <v>9</v>
      </c>
      <c r="E32" s="129">
        <f>'7H'!J32-'7R'!J32</f>
        <v>21.800000000000004</v>
      </c>
      <c r="F32" s="129">
        <f>'7H'!K32-'7R'!K32</f>
        <v>0.10000000000000853</v>
      </c>
      <c r="G32" s="129">
        <f>'7H'!L32-'7R'!L32</f>
        <v>8758.7000000000007</v>
      </c>
      <c r="H32" s="129" t="s">
        <v>9</v>
      </c>
      <c r="I32" s="129" t="s">
        <v>9</v>
      </c>
      <c r="J32" s="129">
        <f>'7H'!O32-'7R'!O32</f>
        <v>20.900000000000006</v>
      </c>
      <c r="K32" s="129">
        <f>'7H'!P32-'7R'!P32</f>
        <v>0.40000000000000568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'7H'!G33-'7R'!G33</f>
        <v>8916.7000000000007</v>
      </c>
      <c r="C33" s="129" t="s">
        <v>9</v>
      </c>
      <c r="D33" s="129" t="s">
        <v>9</v>
      </c>
      <c r="E33" s="129">
        <f>'7H'!J33-'7R'!J33</f>
        <v>25.799999999999997</v>
      </c>
      <c r="F33" s="129">
        <f>'7H'!K33-'7R'!K33</f>
        <v>78.900000000000006</v>
      </c>
      <c r="G33" s="129">
        <f>'7H'!L33-'7R'!L33</f>
        <v>9298.4999999999982</v>
      </c>
      <c r="H33" s="129" t="s">
        <v>9</v>
      </c>
      <c r="I33" s="129" t="s">
        <v>9</v>
      </c>
      <c r="J33" s="129">
        <f>'7H'!O33-'7R'!O33</f>
        <v>25</v>
      </c>
      <c r="K33" s="129">
        <f>'7H'!P33-'7R'!P33</f>
        <v>81.000000000000014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'7H'!G34-'7R'!G34</f>
        <v>7602.2000000000007</v>
      </c>
      <c r="C34" s="129" t="s">
        <v>9</v>
      </c>
      <c r="D34" s="129" t="s">
        <v>9</v>
      </c>
      <c r="E34" s="129">
        <f>'7H'!J34-'7R'!J34</f>
        <v>-7.5999999999999979</v>
      </c>
      <c r="F34" s="129">
        <f>'7H'!K34-'7R'!K34</f>
        <v>16.099999999999994</v>
      </c>
      <c r="G34" s="129">
        <f>'7H'!L34-'7R'!L34</f>
        <v>7968.8999999999978</v>
      </c>
      <c r="H34" s="129" t="s">
        <v>9</v>
      </c>
      <c r="I34" s="129" t="s">
        <v>9</v>
      </c>
      <c r="J34" s="129">
        <f>'7H'!O34-'7R'!O34</f>
        <v>-7.9000000000000021</v>
      </c>
      <c r="K34" s="129">
        <f>'7H'!P34-'7R'!P34</f>
        <v>15.599999999999994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'7H'!G35-'7R'!G35</f>
        <v>5524.5</v>
      </c>
      <c r="C35" s="129" t="s">
        <v>9</v>
      </c>
      <c r="D35" s="129" t="s">
        <v>9</v>
      </c>
      <c r="E35" s="129">
        <f>'7H'!J35-'7R'!J35</f>
        <v>-24.3</v>
      </c>
      <c r="F35" s="129">
        <f>'7H'!K35-'7R'!K35</f>
        <v>-44</v>
      </c>
      <c r="G35" s="129">
        <f>'7H'!L35-'7R'!L35</f>
        <v>5850.7000000000007</v>
      </c>
      <c r="H35" s="129" t="s">
        <v>9</v>
      </c>
      <c r="I35" s="129" t="s">
        <v>9</v>
      </c>
      <c r="J35" s="129">
        <f>'7H'!O35-'7R'!O35</f>
        <v>-24.299999999999997</v>
      </c>
      <c r="K35" s="129">
        <f>'7H'!P35-'7R'!P35</f>
        <v>-43.7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'7H'!G36-'7R'!G36</f>
        <v>1953.1000000000004</v>
      </c>
      <c r="C36" s="129" t="s">
        <v>9</v>
      </c>
      <c r="D36" s="129" t="s">
        <v>9</v>
      </c>
      <c r="E36" s="129">
        <f>'7H'!J36-'7R'!J36</f>
        <v>-29.1</v>
      </c>
      <c r="F36" s="129">
        <f>'7H'!K36-'7R'!K36</f>
        <v>-21.900000000000006</v>
      </c>
      <c r="G36" s="129">
        <f>'7H'!L36-'7R'!L36</f>
        <v>2188.5</v>
      </c>
      <c r="H36" s="129" t="s">
        <v>9</v>
      </c>
      <c r="I36" s="129" t="s">
        <v>9</v>
      </c>
      <c r="J36" s="129">
        <f>'7H'!O36-'7R'!O36</f>
        <v>-28.9</v>
      </c>
      <c r="K36" s="129">
        <f>'7H'!P36-'7R'!P36</f>
        <v>-21.200000000000003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'7H'!G37-'7R'!G37</f>
        <v>142.10000000000036</v>
      </c>
      <c r="C37" s="129" t="s">
        <v>9</v>
      </c>
      <c r="D37" s="129" t="s">
        <v>9</v>
      </c>
      <c r="E37" s="129">
        <f>'7H'!J37-'7R'!J37</f>
        <v>-21.4</v>
      </c>
      <c r="F37" s="129">
        <f>'7H'!K37-'7R'!K37</f>
        <v>-41.400000000000006</v>
      </c>
      <c r="G37" s="129">
        <f>'7H'!L37-'7R'!L37</f>
        <v>307.80000000000109</v>
      </c>
      <c r="H37" s="129" t="s">
        <v>9</v>
      </c>
      <c r="I37" s="129" t="s">
        <v>9</v>
      </c>
      <c r="J37" s="129">
        <f>'7H'!O37-'7R'!O37</f>
        <v>-21.4</v>
      </c>
      <c r="K37" s="129">
        <f>'7H'!P37-'7R'!P37</f>
        <v>-40.900000000000006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'7H'!G38-'7R'!G38</f>
        <v>1639.5</v>
      </c>
      <c r="C38" s="129" t="s">
        <v>9</v>
      </c>
      <c r="D38" s="129" t="s">
        <v>9</v>
      </c>
      <c r="E38" s="129">
        <f>'7H'!J38-'7R'!J38</f>
        <v>19.300000000000004</v>
      </c>
      <c r="F38" s="129">
        <f>'7H'!K38-'7R'!K38</f>
        <v>-45.2</v>
      </c>
      <c r="G38" s="129">
        <f>'7H'!L38-'7R'!L38</f>
        <v>1781.2000000000007</v>
      </c>
      <c r="H38" s="129" t="s">
        <v>9</v>
      </c>
      <c r="I38" s="129" t="s">
        <v>9</v>
      </c>
      <c r="J38" s="129">
        <f>'7H'!O38-'7R'!O38</f>
        <v>18.599999999999994</v>
      </c>
      <c r="K38" s="129">
        <f>'7H'!P38-'7R'!P38</f>
        <v>-44.899999999999991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'7H'!G39-'7R'!G39</f>
        <v>843.20000000000073</v>
      </c>
      <c r="C39" s="129" t="s">
        <v>9</v>
      </c>
      <c r="D39" s="129" t="s">
        <v>9</v>
      </c>
      <c r="E39" s="129">
        <f>'7H'!J39-'7R'!J39</f>
        <v>5.8999999999999986</v>
      </c>
      <c r="F39" s="129">
        <f>'7H'!K39-'7R'!K39</f>
        <v>216.3</v>
      </c>
      <c r="G39" s="129">
        <f>'7H'!L39-'7R'!L39</f>
        <v>836.19999999999891</v>
      </c>
      <c r="H39" s="129" t="s">
        <v>9</v>
      </c>
      <c r="I39" s="129" t="s">
        <v>9</v>
      </c>
      <c r="J39" s="129">
        <f>'7H'!O39-'7R'!O39</f>
        <v>5.6000000000000014</v>
      </c>
      <c r="K39" s="129">
        <f>'7H'!P39-'7R'!P39</f>
        <v>216.5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'7H'!G40-'7R'!G40</f>
        <v>1912.8999999999996</v>
      </c>
      <c r="C40" s="129" t="s">
        <v>9</v>
      </c>
      <c r="D40" s="129" t="s">
        <v>9</v>
      </c>
      <c r="E40" s="129">
        <f>'7H'!J40-'7R'!J40</f>
        <v>3.1999999999999957</v>
      </c>
      <c r="F40" s="129">
        <f>'7H'!K40-'7R'!K40</f>
        <v>17</v>
      </c>
      <c r="G40" s="129">
        <f>'7H'!L40-'7R'!L40</f>
        <v>1852.5</v>
      </c>
      <c r="H40" s="129" t="s">
        <v>9</v>
      </c>
      <c r="I40" s="129" t="s">
        <v>9</v>
      </c>
      <c r="J40" s="129">
        <f>'7H'!O40-'7R'!O40</f>
        <v>2.7999999999999972</v>
      </c>
      <c r="K40" s="129">
        <f>'7H'!P40-'7R'!P40</f>
        <v>17.5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'7H'!G41-'7R'!G41</f>
        <v>3105.5</v>
      </c>
      <c r="C41" s="129" t="s">
        <v>9</v>
      </c>
      <c r="D41" s="129" t="s">
        <v>9</v>
      </c>
      <c r="E41" s="129">
        <f>'7H'!J41-'7R'!J41</f>
        <v>38.4</v>
      </c>
      <c r="F41" s="129">
        <f>'7H'!K41-'7R'!K41</f>
        <v>-13.100000000000009</v>
      </c>
      <c r="G41" s="129">
        <f>'7H'!L41-'7R'!L41</f>
        <v>3076.5</v>
      </c>
      <c r="H41" s="129" t="s">
        <v>9</v>
      </c>
      <c r="I41" s="129" t="s">
        <v>9</v>
      </c>
      <c r="J41" s="129">
        <f>'7H'!O41-'7R'!O41</f>
        <v>37.400000000000006</v>
      </c>
      <c r="K41" s="129">
        <f>'7H'!P41-'7R'!P41</f>
        <v>-13.600000000000009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'7H'!G42-'7R'!G42</f>
        <v>2579.1000000000004</v>
      </c>
      <c r="C42" s="129" t="s">
        <v>9</v>
      </c>
      <c r="D42" s="129" t="s">
        <v>9</v>
      </c>
      <c r="E42" s="129">
        <f>'7H'!J42-'7R'!J42</f>
        <v>-10.399999999999999</v>
      </c>
      <c r="F42" s="129">
        <f>'7H'!K42-'7R'!K42</f>
        <v>-69.8</v>
      </c>
      <c r="G42" s="129">
        <f>'7H'!L42-'7R'!L42</f>
        <v>2602.5</v>
      </c>
      <c r="H42" s="129" t="s">
        <v>9</v>
      </c>
      <c r="I42" s="129" t="s">
        <v>9</v>
      </c>
      <c r="J42" s="129">
        <f>'7H'!O42-'7R'!O42</f>
        <v>-10.599999999999998</v>
      </c>
      <c r="K42" s="129">
        <f>'7H'!P42-'7R'!P42</f>
        <v>-69.8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'7H'!G43-'7R'!G43</f>
        <v>3990.2999999999993</v>
      </c>
      <c r="C43" s="129" t="s">
        <v>9</v>
      </c>
      <c r="D43" s="129" t="s">
        <v>9</v>
      </c>
      <c r="E43" s="129">
        <f>'7H'!J43-'7R'!J43</f>
        <v>9.2000000000000028</v>
      </c>
      <c r="F43" s="129">
        <f>'7H'!K43-'7R'!K43</f>
        <v>-52.599999999999994</v>
      </c>
      <c r="G43" s="129">
        <f>'7H'!L43-'7R'!L43</f>
        <v>4006</v>
      </c>
      <c r="H43" s="129" t="s">
        <v>9</v>
      </c>
      <c r="I43" s="129" t="s">
        <v>9</v>
      </c>
      <c r="J43" s="129">
        <f>'7H'!O43-'7R'!O43</f>
        <v>8.7999999999999972</v>
      </c>
      <c r="K43" s="129">
        <f>'7H'!P43-'7R'!P43</f>
        <v>-52.8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'7H'!G44-'7R'!G44</f>
        <v>2849.2999999999993</v>
      </c>
      <c r="C44" s="129" t="s">
        <v>9</v>
      </c>
      <c r="D44" s="129" t="s">
        <v>9</v>
      </c>
      <c r="E44" s="129">
        <f>'7H'!J44-'7R'!J44</f>
        <v>-3.2000000000000028</v>
      </c>
      <c r="F44" s="129">
        <f>'7H'!K44-'7R'!K44</f>
        <v>34</v>
      </c>
      <c r="G44" s="129">
        <f>'7H'!L44-'7R'!L44</f>
        <v>2853.3000000000011</v>
      </c>
      <c r="H44" s="129" t="s">
        <v>9</v>
      </c>
      <c r="I44" s="129" t="s">
        <v>9</v>
      </c>
      <c r="J44" s="129">
        <f>'7H'!O44-'7R'!O44</f>
        <v>-3.4000000000000057</v>
      </c>
      <c r="K44" s="129">
        <f>'7H'!P44-'7R'!P44</f>
        <v>33.299999999999983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'7H'!G45-'7R'!G45</f>
        <v>3361.2999999999993</v>
      </c>
      <c r="C45" s="129" t="s">
        <v>9</v>
      </c>
      <c r="D45" s="129" t="s">
        <v>9</v>
      </c>
      <c r="E45" s="129">
        <f>'7H'!J45-'7R'!J45</f>
        <v>-21.700000000000003</v>
      </c>
      <c r="F45" s="129">
        <f>'7H'!K45-'7R'!K45</f>
        <v>-14.200000000000003</v>
      </c>
      <c r="G45" s="129">
        <f>'7H'!L45-'7R'!L45</f>
        <v>3368.7999999999993</v>
      </c>
      <c r="H45" s="129" t="s">
        <v>9</v>
      </c>
      <c r="I45" s="129" t="s">
        <v>9</v>
      </c>
      <c r="J45" s="129">
        <f>'7H'!O45-'7R'!O45</f>
        <v>-21.8</v>
      </c>
      <c r="K45" s="129">
        <f>'7H'!P45-'7R'!P45</f>
        <v>-14.200000000000003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'7H'!G46-'7R'!G46</f>
        <v>3912.8999999999996</v>
      </c>
      <c r="C46" s="129" t="s">
        <v>9</v>
      </c>
      <c r="D46" s="129" t="s">
        <v>9</v>
      </c>
      <c r="E46" s="129">
        <f>'7H'!J46-'7R'!J46</f>
        <v>-17.799999999999997</v>
      </c>
      <c r="F46" s="129">
        <f>'7H'!K46-'7R'!K46</f>
        <v>-98</v>
      </c>
      <c r="G46" s="129">
        <f>'7H'!L46-'7R'!L46</f>
        <v>3919.5</v>
      </c>
      <c r="H46" s="129" t="s">
        <v>9</v>
      </c>
      <c r="I46" s="129" t="s">
        <v>9</v>
      </c>
      <c r="J46" s="129">
        <f>'7H'!O46-'7R'!O46</f>
        <v>-17.599999999999998</v>
      </c>
      <c r="K46" s="129">
        <f>'7H'!P46-'7R'!P46</f>
        <v>-97.8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'7H'!G47-'7R'!G47</f>
        <v>3322.2999999999993</v>
      </c>
      <c r="C47" s="129" t="s">
        <v>9</v>
      </c>
      <c r="D47" s="129" t="s">
        <v>9</v>
      </c>
      <c r="E47" s="129">
        <f>'7H'!J47-'7R'!J47</f>
        <v>-26</v>
      </c>
      <c r="F47" s="129">
        <f>'7H'!K47-'7R'!K47</f>
        <v>-99.199999999999989</v>
      </c>
      <c r="G47" s="129">
        <f>'7H'!L47-'7R'!L47</f>
        <v>3324</v>
      </c>
      <c r="H47" s="129" t="s">
        <v>9</v>
      </c>
      <c r="I47" s="129" t="s">
        <v>9</v>
      </c>
      <c r="J47" s="129">
        <f>'7H'!O47-'7R'!O47</f>
        <v>-25.9</v>
      </c>
      <c r="K47" s="129">
        <f>'7H'!P47-'7R'!P47</f>
        <v>-99.1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'7H'!G48-'7R'!G48</f>
        <v>3186.1000000000004</v>
      </c>
      <c r="C48" s="129" t="s">
        <v>9</v>
      </c>
      <c r="D48" s="129" t="s">
        <v>9</v>
      </c>
      <c r="E48" s="129">
        <f>'7H'!J48-'7R'!J48</f>
        <v>10.5</v>
      </c>
      <c r="F48" s="129">
        <f>'7H'!K48-'7R'!K48</f>
        <v>-101.6</v>
      </c>
      <c r="G48" s="129">
        <f>'7H'!L48-'7R'!L48</f>
        <v>3191.5</v>
      </c>
      <c r="H48" s="129" t="s">
        <v>9</v>
      </c>
      <c r="I48" s="129" t="s">
        <v>9</v>
      </c>
      <c r="J48" s="129">
        <f>'7H'!O48-'7R'!O48</f>
        <v>10.800000000000004</v>
      </c>
      <c r="K48" s="129">
        <f>'7H'!P48-'7R'!P48</f>
        <v>-101.6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'7H'!G49-'7R'!G49</f>
        <v>2367.7999999999993</v>
      </c>
      <c r="C49" s="129" t="s">
        <v>9</v>
      </c>
      <c r="D49" s="129" t="s">
        <v>9</v>
      </c>
      <c r="E49" s="129">
        <f>'7H'!J49-'7R'!J49</f>
        <v>46.199999999999996</v>
      </c>
      <c r="F49" s="129">
        <f>'7H'!K49-'7R'!K49</f>
        <v>-95.5</v>
      </c>
      <c r="G49" s="129">
        <f>'7H'!L49-'7R'!L49</f>
        <v>2366.1000000000004</v>
      </c>
      <c r="H49" s="129" t="s">
        <v>9</v>
      </c>
      <c r="I49" s="129" t="s">
        <v>9</v>
      </c>
      <c r="J49" s="129">
        <f>'7H'!O49-'7R'!O49</f>
        <v>46.300000000000004</v>
      </c>
      <c r="K49" s="129">
        <f>'7H'!P49-'7R'!P49</f>
        <v>-95.5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'7H'!G50-'7R'!G50</f>
        <v>2396.5</v>
      </c>
      <c r="C50" s="129" t="s">
        <v>9</v>
      </c>
      <c r="D50" s="129" t="s">
        <v>9</v>
      </c>
      <c r="E50" s="129">
        <f>'7H'!J50-'7R'!J50</f>
        <v>36.1</v>
      </c>
      <c r="F50" s="129">
        <f>'7H'!K50-'7R'!K50</f>
        <v>-92.600000000000009</v>
      </c>
      <c r="G50" s="129">
        <f>'7H'!L50-'7R'!L50</f>
        <v>2391.3999999999996</v>
      </c>
      <c r="H50" s="129" t="s">
        <v>9</v>
      </c>
      <c r="I50" s="129" t="s">
        <v>9</v>
      </c>
      <c r="J50" s="129">
        <f>'7H'!O50-'7R'!O50</f>
        <v>36.1</v>
      </c>
      <c r="K50" s="129">
        <f>'7H'!P50-'7R'!P50</f>
        <v>-92.600000000000009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'7H'!G51-'7R'!G51</f>
        <v>2118.8999999999996</v>
      </c>
      <c r="C51" s="129" t="s">
        <v>9</v>
      </c>
      <c r="D51" s="129" t="s">
        <v>9</v>
      </c>
      <c r="E51" s="129">
        <f>'7H'!J51-'7R'!J51</f>
        <v>-12.2</v>
      </c>
      <c r="F51" s="129">
        <f>'7H'!K51-'7R'!K51</f>
        <v>-77.8</v>
      </c>
      <c r="G51" s="129">
        <f>'7H'!L51-'7R'!L51</f>
        <v>2118.8999999999996</v>
      </c>
      <c r="H51" s="129" t="s">
        <v>9</v>
      </c>
      <c r="I51" s="129" t="s">
        <v>9</v>
      </c>
      <c r="J51" s="129">
        <f>'7H'!O51-'7R'!O51</f>
        <v>-12.2</v>
      </c>
      <c r="K51" s="129">
        <f>'7H'!P51-'7R'!P51</f>
        <v>-77.8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'7H'!G52-'7R'!G52</f>
        <v>1759.8999999999996</v>
      </c>
      <c r="C52" s="129" t="s">
        <v>9</v>
      </c>
      <c r="D52" s="129" t="s">
        <v>9</v>
      </c>
      <c r="E52" s="129">
        <f>'7H'!J52-'7R'!J52</f>
        <v>-14.500000000000004</v>
      </c>
      <c r="F52" s="129">
        <f>'7H'!K52-'7R'!K52</f>
        <v>-50.9</v>
      </c>
      <c r="G52" s="129">
        <f>'7H'!L52-'7R'!L52</f>
        <v>1756.3999999999996</v>
      </c>
      <c r="H52" s="129" t="s">
        <v>9</v>
      </c>
      <c r="I52" s="129" t="s">
        <v>9</v>
      </c>
      <c r="J52" s="129">
        <f>'7H'!O52-'7R'!O52</f>
        <v>-14.600000000000001</v>
      </c>
      <c r="K52" s="129">
        <f>'7H'!P52-'7R'!P52</f>
        <v>-50.9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'7H'!G53-'7R'!G53</f>
        <v>1630.5</v>
      </c>
      <c r="C53" s="129" t="s">
        <v>9</v>
      </c>
      <c r="D53" s="129" t="s">
        <v>9</v>
      </c>
      <c r="E53" s="129">
        <f>'7H'!J53-'7R'!J53</f>
        <v>-33</v>
      </c>
      <c r="F53" s="129">
        <f>'7H'!K53-'7R'!K53</f>
        <v>-79</v>
      </c>
      <c r="G53" s="129">
        <f>'7H'!L53-'7R'!L53</f>
        <v>1608.8999999999996</v>
      </c>
      <c r="H53" s="129" t="s">
        <v>9</v>
      </c>
      <c r="I53" s="129" t="s">
        <v>9</v>
      </c>
      <c r="J53" s="129">
        <f>'7H'!O53-'7R'!O53</f>
        <v>-33</v>
      </c>
      <c r="K53" s="129">
        <f>'7H'!P53-'7R'!P53</f>
        <v>-79.100000000000009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'7H'!G54-'7R'!G54</f>
        <v>4279.6000000000004</v>
      </c>
      <c r="C54" s="129" t="s">
        <v>9</v>
      </c>
      <c r="D54" s="129" t="s">
        <v>9</v>
      </c>
      <c r="E54" s="129" t="s">
        <v>9</v>
      </c>
      <c r="F54" s="129">
        <f>'7H'!K54-'7R'!K54</f>
        <v>-78.7</v>
      </c>
      <c r="G54" s="129">
        <f>'7H'!L54-'7R'!L54</f>
        <v>4274.1000000000004</v>
      </c>
      <c r="H54" s="129" t="s">
        <v>9</v>
      </c>
      <c r="I54" s="129" t="s">
        <v>9</v>
      </c>
      <c r="J54" s="129" t="s">
        <v>9</v>
      </c>
      <c r="K54" s="129">
        <f>'7H'!P54-'7R'!P54</f>
        <v>-78.7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'7H'!G55-'7R'!G55</f>
        <v>3453.5</v>
      </c>
      <c r="C55" s="129" t="s">
        <v>9</v>
      </c>
      <c r="D55" s="129" t="s">
        <v>9</v>
      </c>
      <c r="E55" s="129" t="s">
        <v>9</v>
      </c>
      <c r="F55" s="129">
        <f>'7H'!K55-'7R'!K55</f>
        <v>-68.5</v>
      </c>
      <c r="G55" s="129">
        <f>'7H'!L55-'7R'!L55</f>
        <v>3442.5</v>
      </c>
      <c r="H55" s="129" t="s">
        <v>9</v>
      </c>
      <c r="I55" s="129" t="s">
        <v>9</v>
      </c>
      <c r="J55" s="129" t="s">
        <v>9</v>
      </c>
      <c r="K55" s="129">
        <f>'7H'!P55-'7R'!P55</f>
        <v>-68.400000000000006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'7H'!G56-'7R'!G56</f>
        <v>3061.4000000000015</v>
      </c>
      <c r="C56" s="129" t="s">
        <v>9</v>
      </c>
      <c r="D56" s="129" t="s">
        <v>9</v>
      </c>
      <c r="E56" s="129" t="s">
        <v>9</v>
      </c>
      <c r="F56" s="129">
        <f>'7H'!K56-'7R'!K56</f>
        <v>-65.100000000000009</v>
      </c>
      <c r="G56" s="129">
        <f>'7H'!L56-'7R'!L56</f>
        <v>3047.2999999999993</v>
      </c>
      <c r="H56" s="129" t="s">
        <v>9</v>
      </c>
      <c r="I56" s="129" t="s">
        <v>9</v>
      </c>
      <c r="J56" s="129" t="s">
        <v>9</v>
      </c>
      <c r="K56" s="129">
        <f>'7H'!P56-'7R'!P56</f>
        <v>-65.100000000000009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'7H'!G57-'7R'!G57</f>
        <v>3036</v>
      </c>
      <c r="C57" s="129" t="s">
        <v>9</v>
      </c>
      <c r="D57" s="129" t="s">
        <v>9</v>
      </c>
      <c r="E57" s="129" t="s">
        <v>9</v>
      </c>
      <c r="F57" s="129">
        <f>'7H'!K57-'7R'!K57</f>
        <v>-62.199999999999996</v>
      </c>
      <c r="G57" s="129">
        <f>'7H'!L57-'7R'!L57</f>
        <v>3020.5000000000018</v>
      </c>
      <c r="H57" s="129" t="s">
        <v>9</v>
      </c>
      <c r="I57" s="129" t="s">
        <v>9</v>
      </c>
      <c r="J57" s="129" t="s">
        <v>9</v>
      </c>
      <c r="K57" s="129">
        <f>'7H'!P57-'7R'!P57</f>
        <v>-62.199999999999996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F60" si="0">((B57/B28)^(1/29)-1)*100</f>
        <v>0.2664870543360065</v>
      </c>
      <c r="C60" s="11" t="s">
        <v>10</v>
      </c>
      <c r="D60" s="11" t="s">
        <v>10</v>
      </c>
      <c r="E60" s="11" t="s">
        <v>10</v>
      </c>
      <c r="F60" s="11">
        <f t="shared" si="0"/>
        <v>8.7239176485147887</v>
      </c>
      <c r="G60" s="11">
        <f>((G57/G28)^(1/29)-1)*100</f>
        <v>-3.4231142875928988E-3</v>
      </c>
      <c r="H60" s="11" t="s">
        <v>10</v>
      </c>
      <c r="I60" s="11" t="s">
        <v>10</v>
      </c>
      <c r="J60" s="11" t="s">
        <v>10</v>
      </c>
      <c r="K60" s="11">
        <f t="shared" ref="K60" si="1">((K57/K28)^(1/29)-1)*100</f>
        <v>8.8628778297149768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F61" si="2">((B33/B28)^(1/5)-1)*100</f>
        <v>25.97492634576053</v>
      </c>
      <c r="C61" s="11" t="s">
        <v>10</v>
      </c>
      <c r="D61" s="11" t="s">
        <v>10</v>
      </c>
      <c r="E61" s="11">
        <f t="shared" si="2"/>
        <v>51.807750718916964</v>
      </c>
      <c r="F61" s="11">
        <f t="shared" si="2"/>
        <v>-270.350284315034</v>
      </c>
      <c r="G61" s="11">
        <f>((G33/G28)^(1/5)-1)*100</f>
        <v>25.193155070110041</v>
      </c>
      <c r="H61" s="11" t="s">
        <v>10</v>
      </c>
      <c r="I61" s="11" t="s">
        <v>10</v>
      </c>
      <c r="J61" s="11">
        <f t="shared" ref="J61:K61" si="3">((J33/J28)^(1/5)-1)*100</f>
        <v>57.250969665567574</v>
      </c>
      <c r="K61" s="11">
        <f t="shared" si="3"/>
        <v>-272.52094559011493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F62" si="4">((B44/B33)^(1/11)-1)*100</f>
        <v>-9.8516798327357495</v>
      </c>
      <c r="C62" s="11" t="s">
        <v>10</v>
      </c>
      <c r="D62" s="11" t="s">
        <v>10</v>
      </c>
      <c r="E62" s="11">
        <f t="shared" si="4"/>
        <v>-182.71678785966895</v>
      </c>
      <c r="F62" s="11">
        <f t="shared" si="4"/>
        <v>-7.3674092988114337</v>
      </c>
      <c r="G62" s="11">
        <f>((G44/G33)^(1/11)-1)*100</f>
        <v>-10.183177743051919</v>
      </c>
      <c r="H62" s="11" t="s">
        <v>10</v>
      </c>
      <c r="I62" s="11" t="s">
        <v>10</v>
      </c>
      <c r="J62" s="11">
        <f t="shared" ref="J62:K62" si="5">((J44/J33)^(1/11)-1)*100</f>
        <v>-183.41243700156497</v>
      </c>
      <c r="K62" s="11">
        <f t="shared" si="5"/>
        <v>-7.7629545456688316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-4.1428280772483728</v>
      </c>
      <c r="C63" s="11" t="s">
        <v>10</v>
      </c>
      <c r="D63" s="11" t="s">
        <v>10</v>
      </c>
      <c r="E63" s="11">
        <f t="shared" ref="E63:K63" si="6">((E51/E44)^(1/7)-1)*100</f>
        <v>21.068170279675581</v>
      </c>
      <c r="F63" s="11">
        <f t="shared" si="6"/>
        <v>-212.55304270200065</v>
      </c>
      <c r="G63" s="11">
        <f t="shared" si="6"/>
        <v>-4.1620368758258692</v>
      </c>
      <c r="H63" s="11" t="s">
        <v>10</v>
      </c>
      <c r="I63" s="11" t="s">
        <v>10</v>
      </c>
      <c r="J63" s="11">
        <f t="shared" si="6"/>
        <v>20.024167391429671</v>
      </c>
      <c r="K63" s="11">
        <f t="shared" si="6"/>
        <v>-212.88803384747811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6.1773506018739877</v>
      </c>
      <c r="C64" s="11" t="s">
        <v>10</v>
      </c>
      <c r="D64" s="11" t="s">
        <v>10</v>
      </c>
      <c r="E64" s="11" t="s">
        <v>10</v>
      </c>
      <c r="F64" s="11">
        <f t="shared" ref="F64:K64" si="7">((F57/F51)^(1/6)-1)*100</f>
        <v>-3.6610745498647734</v>
      </c>
      <c r="G64" s="11">
        <f t="shared" si="7"/>
        <v>6.0868114704823784</v>
      </c>
      <c r="H64" s="11" t="s">
        <v>10</v>
      </c>
      <c r="I64" s="11" t="s">
        <v>10</v>
      </c>
      <c r="J64" s="11" t="s">
        <v>10</v>
      </c>
      <c r="K64" s="11">
        <f t="shared" si="7"/>
        <v>-3.6610745498647734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F65" si="8">((B57/B44)^(1/13)-1)*100</f>
        <v>0.48940530588115205</v>
      </c>
      <c r="C65" s="11" t="s">
        <v>10</v>
      </c>
      <c r="D65" s="11" t="s">
        <v>10</v>
      </c>
      <c r="E65" s="11" t="s">
        <v>10</v>
      </c>
      <c r="F65" s="11">
        <f t="shared" si="8"/>
        <v>-204.7557342407992</v>
      </c>
      <c r="G65" s="11">
        <f>((G57/G44)^(1/13)-1)*100</f>
        <v>0.43900822561167008</v>
      </c>
      <c r="H65" s="11" t="s">
        <v>10</v>
      </c>
      <c r="I65" s="11" t="s">
        <v>10</v>
      </c>
      <c r="J65" s="11" t="s">
        <v>10</v>
      </c>
      <c r="K65" s="11">
        <f t="shared" ref="K65" si="9">((K57/K44)^(1/13)-1)*100</f>
        <v>-204.9235028176839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20">
      <c r="A68" s="229" t="s">
        <v>56</v>
      </c>
      <c r="B68" s="229"/>
      <c r="C68" s="229"/>
      <c r="D68" s="229"/>
      <c r="E68" s="229"/>
      <c r="F68" s="229"/>
      <c r="G68" s="231"/>
      <c r="H68" s="132"/>
      <c r="I68" s="132"/>
      <c r="J68" s="132"/>
      <c r="K68" s="132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62</v>
      </c>
      <c r="B70" s="229"/>
      <c r="C70" s="229"/>
      <c r="D70" s="229"/>
      <c r="E70" s="229"/>
      <c r="F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46" zoomScaleNormal="100" zoomScaleSheetLayoutView="100" workbookViewId="0">
      <selection activeCell="C24" sqref="C24"/>
    </sheetView>
  </sheetViews>
  <sheetFormatPr defaultRowHeight="15"/>
  <cols>
    <col min="1" max="6" width="9.140625" style="239"/>
    <col min="7" max="7" width="15.140625" style="239" customWidth="1"/>
    <col min="8" max="16384" width="9.140625" style="239"/>
  </cols>
  <sheetData>
    <row r="1" spans="1:20">
      <c r="A1" s="454" t="s">
        <v>338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'7I'!G5-'7S'!G5</f>
        <v>684.8</v>
      </c>
      <c r="C5" s="129" t="s">
        <v>9</v>
      </c>
      <c r="D5" s="129">
        <f>'7I'!I5-'7S'!I5</f>
        <v>0.1</v>
      </c>
      <c r="E5" s="129">
        <f>'7I'!J5-'7S'!J5</f>
        <v>0.4</v>
      </c>
      <c r="F5" s="129" t="s">
        <v>9</v>
      </c>
      <c r="G5" s="129">
        <f>'7I'!L5-'7S'!L5</f>
        <v>490.70000000000005</v>
      </c>
      <c r="H5" s="129" t="s">
        <v>9</v>
      </c>
      <c r="I5" s="129" t="e">
        <f>'7I'!N5-'7S'!N5</f>
        <v>#VALUE!</v>
      </c>
      <c r="J5" s="129" t="e">
        <f>'7I'!O5-'7S'!O5</f>
        <v>#VALUE!</v>
      </c>
      <c r="K5" s="129" t="s">
        <v>9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'7I'!G6-'7S'!G6</f>
        <v>589.70000000000005</v>
      </c>
      <c r="C6" s="129" t="s">
        <v>9</v>
      </c>
      <c r="D6" s="129">
        <f>'7I'!I6-'7S'!I6</f>
        <v>0.1</v>
      </c>
      <c r="E6" s="129">
        <f>'7I'!J6-'7S'!J6</f>
        <v>0.4</v>
      </c>
      <c r="F6" s="129" t="s">
        <v>9</v>
      </c>
      <c r="G6" s="129">
        <f>'7I'!L6-'7S'!L6</f>
        <v>427.8</v>
      </c>
      <c r="H6" s="129" t="s">
        <v>9</v>
      </c>
      <c r="I6" s="129">
        <f>'7I'!N6-'7S'!N6</f>
        <v>0.1</v>
      </c>
      <c r="J6" s="129">
        <f>'7I'!O6-'7S'!O6</f>
        <v>0.1</v>
      </c>
      <c r="K6" s="129" t="s">
        <v>9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'7I'!G7-'7S'!G7</f>
        <v>496.69999999999993</v>
      </c>
      <c r="C7" s="129" t="s">
        <v>9</v>
      </c>
      <c r="D7" s="129">
        <f>'7I'!I7-'7S'!I7</f>
        <v>0.1</v>
      </c>
      <c r="E7" s="129">
        <f>'7I'!J7-'7S'!J7</f>
        <v>0.3</v>
      </c>
      <c r="F7" s="129" t="s">
        <v>9</v>
      </c>
      <c r="G7" s="129">
        <f>'7I'!L7-'7S'!L7</f>
        <v>364.79999999999995</v>
      </c>
      <c r="H7" s="129" t="s">
        <v>9</v>
      </c>
      <c r="I7" s="129">
        <f>'7I'!N7-'7S'!N7</f>
        <v>0.1</v>
      </c>
      <c r="J7" s="129">
        <f>'7I'!O7-'7S'!O7</f>
        <v>0.1</v>
      </c>
      <c r="K7" s="129" t="s">
        <v>9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'7I'!G8-'7S'!G8</f>
        <v>479.2</v>
      </c>
      <c r="C8" s="129" t="s">
        <v>9</v>
      </c>
      <c r="D8" s="129">
        <f>'7I'!I8-'7S'!I8</f>
        <v>0</v>
      </c>
      <c r="E8" s="129">
        <f>'7I'!J8-'7S'!J8</f>
        <v>0.99999999999999989</v>
      </c>
      <c r="F8" s="129" t="s">
        <v>9</v>
      </c>
      <c r="G8" s="129">
        <f>'7I'!L8-'7S'!L8</f>
        <v>355.40000000000003</v>
      </c>
      <c r="H8" s="129" t="s">
        <v>9</v>
      </c>
      <c r="I8" s="129">
        <f>'7I'!N8-'7S'!N8</f>
        <v>0.1</v>
      </c>
      <c r="J8" s="129">
        <f>'7I'!O8-'7S'!O8</f>
        <v>0.39999999999999997</v>
      </c>
      <c r="K8" s="129" t="s">
        <v>9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'7I'!G9-'7S'!G9</f>
        <v>494.59999999999991</v>
      </c>
      <c r="C9" s="129" t="s">
        <v>9</v>
      </c>
      <c r="D9" s="129">
        <f>'7I'!I9-'7S'!I9</f>
        <v>-0.1</v>
      </c>
      <c r="E9" s="129">
        <f>'7I'!J9-'7S'!J9</f>
        <v>-0.4</v>
      </c>
      <c r="F9" s="129" t="s">
        <v>9</v>
      </c>
      <c r="G9" s="129">
        <f>'7I'!L9-'7S'!L9</f>
        <v>369.1</v>
      </c>
      <c r="H9" s="129" t="s">
        <v>9</v>
      </c>
      <c r="I9" s="129">
        <f>'7I'!N9-'7S'!N9</f>
        <v>0</v>
      </c>
      <c r="J9" s="129">
        <f>'7I'!O9-'7S'!O9</f>
        <v>-0.2</v>
      </c>
      <c r="K9" s="129" t="s">
        <v>9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'7I'!G10-'7S'!G10</f>
        <v>441</v>
      </c>
      <c r="C10" s="129" t="s">
        <v>9</v>
      </c>
      <c r="D10" s="129">
        <f>'7I'!I10-'7S'!I10</f>
        <v>0</v>
      </c>
      <c r="E10" s="129">
        <f>'7I'!J10-'7S'!J10</f>
        <v>-0.3</v>
      </c>
      <c r="F10" s="129" t="s">
        <v>9</v>
      </c>
      <c r="G10" s="129">
        <f>'7I'!L10-'7S'!L10</f>
        <v>334.3</v>
      </c>
      <c r="H10" s="129" t="s">
        <v>9</v>
      </c>
      <c r="I10" s="129">
        <f>'7I'!N10-'7S'!N10</f>
        <v>0</v>
      </c>
      <c r="J10" s="129">
        <f>'7I'!O10-'7S'!O10</f>
        <v>-0.2</v>
      </c>
      <c r="K10" s="129" t="s">
        <v>9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'7I'!G11-'7S'!G11</f>
        <v>437.4</v>
      </c>
      <c r="C11" s="129" t="s">
        <v>9</v>
      </c>
      <c r="D11" s="129">
        <f>'7I'!I11-'7S'!I11</f>
        <v>0.1</v>
      </c>
      <c r="E11" s="129">
        <f>'7I'!J11-'7S'!J11</f>
        <v>2.5</v>
      </c>
      <c r="F11" s="129" t="s">
        <v>9</v>
      </c>
      <c r="G11" s="129">
        <f>'7I'!L11-'7S'!L11</f>
        <v>334.20000000000005</v>
      </c>
      <c r="H11" s="129" t="s">
        <v>9</v>
      </c>
      <c r="I11" s="129">
        <f>'7I'!N11-'7S'!N11</f>
        <v>0.1</v>
      </c>
      <c r="J11" s="129">
        <f>'7I'!O11-'7S'!O11</f>
        <v>1.0999999999999999</v>
      </c>
      <c r="K11" s="129" t="s">
        <v>9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'7I'!G12-'7S'!G12</f>
        <v>400.4</v>
      </c>
      <c r="C12" s="129" t="s">
        <v>9</v>
      </c>
      <c r="D12" s="129">
        <f>'7I'!I12-'7S'!I12</f>
        <v>0</v>
      </c>
      <c r="E12" s="129">
        <f>'7I'!J12-'7S'!J12</f>
        <v>1.5</v>
      </c>
      <c r="F12" s="129" t="s">
        <v>9</v>
      </c>
      <c r="G12" s="129">
        <f>'7I'!L12-'7S'!L12</f>
        <v>309.40000000000009</v>
      </c>
      <c r="H12" s="129" t="s">
        <v>9</v>
      </c>
      <c r="I12" s="129">
        <f>'7I'!N12-'7S'!N12</f>
        <v>0.1</v>
      </c>
      <c r="J12" s="129">
        <f>'7I'!O12-'7S'!O12</f>
        <v>0.60000000000000009</v>
      </c>
      <c r="K12" s="129" t="s">
        <v>9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'7I'!G13-'7S'!G13</f>
        <v>406.00000000000011</v>
      </c>
      <c r="C13" s="129" t="s">
        <v>9</v>
      </c>
      <c r="D13" s="129">
        <f>'7I'!I13-'7S'!I13</f>
        <v>0</v>
      </c>
      <c r="E13" s="129">
        <f>'7I'!J13-'7S'!J13</f>
        <v>1.1000000000000001</v>
      </c>
      <c r="F13" s="129" t="s">
        <v>9</v>
      </c>
      <c r="G13" s="129">
        <f>'7I'!L13-'7S'!L13</f>
        <v>314.5</v>
      </c>
      <c r="H13" s="129" t="s">
        <v>9</v>
      </c>
      <c r="I13" s="129">
        <f>'7I'!N13-'7S'!N13</f>
        <v>0.1</v>
      </c>
      <c r="J13" s="129">
        <f>'7I'!O13-'7S'!O13</f>
        <v>0.40000000000000013</v>
      </c>
      <c r="K13" s="129" t="s">
        <v>9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'7I'!G14-'7S'!G14</f>
        <v>338</v>
      </c>
      <c r="C14" s="129" t="s">
        <v>9</v>
      </c>
      <c r="D14" s="129">
        <f>'7I'!I14-'7S'!I14</f>
        <v>0</v>
      </c>
      <c r="E14" s="129">
        <f>'7I'!J14-'7S'!J14</f>
        <v>1.3</v>
      </c>
      <c r="F14" s="129" t="s">
        <v>9</v>
      </c>
      <c r="G14" s="129">
        <f>'7I'!L14-'7S'!L14</f>
        <v>269.5</v>
      </c>
      <c r="H14" s="129" t="s">
        <v>9</v>
      </c>
      <c r="I14" s="129">
        <f>'7I'!N14-'7S'!N14</f>
        <v>0</v>
      </c>
      <c r="J14" s="129">
        <f>'7I'!O14-'7S'!O14</f>
        <v>0.5</v>
      </c>
      <c r="K14" s="129" t="s">
        <v>9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'7I'!G15-'7S'!G15</f>
        <v>431.09999999999991</v>
      </c>
      <c r="C15" s="129" t="s">
        <v>9</v>
      </c>
      <c r="D15" s="129">
        <f>'7I'!I15-'7S'!I15</f>
        <v>0</v>
      </c>
      <c r="E15" s="129">
        <f>'7I'!J15-'7S'!J15</f>
        <v>4.1000000000000005</v>
      </c>
      <c r="F15" s="129" t="s">
        <v>9</v>
      </c>
      <c r="G15" s="129">
        <f>'7I'!L15-'7S'!L15</f>
        <v>338</v>
      </c>
      <c r="H15" s="129" t="s">
        <v>9</v>
      </c>
      <c r="I15" s="129">
        <f>'7I'!N15-'7S'!N15</f>
        <v>0</v>
      </c>
      <c r="J15" s="129">
        <f>'7I'!O15-'7S'!O15</f>
        <v>1.6999999999999997</v>
      </c>
      <c r="K15" s="129" t="s">
        <v>9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'7I'!G16-'7S'!G16</f>
        <v>278.5</v>
      </c>
      <c r="C16" s="129" t="s">
        <v>9</v>
      </c>
      <c r="D16" s="129">
        <f>'7I'!I16-'7S'!I16</f>
        <v>0</v>
      </c>
      <c r="E16" s="129">
        <f>'7I'!J16-'7S'!J16</f>
        <v>-1.1000000000000001</v>
      </c>
      <c r="F16" s="129" t="s">
        <v>9</v>
      </c>
      <c r="G16" s="129">
        <f>'7I'!L16-'7S'!L16</f>
        <v>231.5</v>
      </c>
      <c r="H16" s="129" t="s">
        <v>9</v>
      </c>
      <c r="I16" s="129">
        <f>'7I'!N16-'7S'!N16</f>
        <v>0</v>
      </c>
      <c r="J16" s="129">
        <f>'7I'!O16-'7S'!O16</f>
        <v>-0.70000000000000007</v>
      </c>
      <c r="K16" s="129" t="s">
        <v>9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'7I'!G17-'7S'!G17</f>
        <v>206.59999999999991</v>
      </c>
      <c r="C17" s="129" t="s">
        <v>9</v>
      </c>
      <c r="D17" s="129">
        <f>'7I'!I17-'7S'!I17</f>
        <v>0</v>
      </c>
      <c r="E17" s="129">
        <f>'7I'!J17-'7S'!J17</f>
        <v>-1.1999999999999997</v>
      </c>
      <c r="F17" s="129" t="s">
        <v>9</v>
      </c>
      <c r="G17" s="129">
        <f>'7I'!L17-'7S'!L17</f>
        <v>181.30000000000007</v>
      </c>
      <c r="H17" s="129" t="s">
        <v>9</v>
      </c>
      <c r="I17" s="129">
        <f>'7I'!N17-'7S'!N17</f>
        <v>0.1</v>
      </c>
      <c r="J17" s="129">
        <f>'7I'!O17-'7S'!O17</f>
        <v>-0.60000000000000009</v>
      </c>
      <c r="K17" s="129" t="s">
        <v>9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'7I'!G18-'7S'!G18</f>
        <v>165.40000000000009</v>
      </c>
      <c r="C18" s="129" t="s">
        <v>9</v>
      </c>
      <c r="D18" s="129">
        <f>'7I'!I18-'7S'!I18</f>
        <v>0</v>
      </c>
      <c r="E18" s="129">
        <f>'7I'!J18-'7S'!J18</f>
        <v>-0.40000000000000013</v>
      </c>
      <c r="F18" s="129" t="s">
        <v>9</v>
      </c>
      <c r="G18" s="129">
        <f>'7I'!L18-'7S'!L18</f>
        <v>152.5</v>
      </c>
      <c r="H18" s="129" t="s">
        <v>9</v>
      </c>
      <c r="I18" s="129">
        <f>'7I'!N18-'7S'!N18</f>
        <v>0</v>
      </c>
      <c r="J18" s="129">
        <f>'7I'!O18-'7S'!O18</f>
        <v>-0.30000000000000004</v>
      </c>
      <c r="K18" s="129" t="s">
        <v>9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'7I'!G19-'7S'!G19</f>
        <v>192.29999999999995</v>
      </c>
      <c r="C19" s="129" t="s">
        <v>9</v>
      </c>
      <c r="D19" s="129">
        <f>'7I'!I19-'7S'!I19</f>
        <v>0.1</v>
      </c>
      <c r="E19" s="129">
        <f>'7I'!J19-'7S'!J19</f>
        <v>1</v>
      </c>
      <c r="F19" s="129" t="s">
        <v>9</v>
      </c>
      <c r="G19" s="129">
        <f>'7I'!L19-'7S'!L19</f>
        <v>172.60000000000002</v>
      </c>
      <c r="H19" s="129" t="s">
        <v>9</v>
      </c>
      <c r="I19" s="129">
        <f>'7I'!N19-'7S'!N19</f>
        <v>0</v>
      </c>
      <c r="J19" s="129">
        <f>'7I'!O19-'7S'!O19</f>
        <v>0.29999999999999982</v>
      </c>
      <c r="K19" s="129" t="s">
        <v>9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'7I'!G20-'7S'!G20</f>
        <v>289.20000000000005</v>
      </c>
      <c r="C20" s="129" t="s">
        <v>9</v>
      </c>
      <c r="D20" s="129">
        <f>'7I'!I20-'7S'!I20</f>
        <v>1.2</v>
      </c>
      <c r="E20" s="129">
        <f>'7I'!J20-'7S'!J20</f>
        <v>2.3000000000000003</v>
      </c>
      <c r="F20" s="129" t="s">
        <v>9</v>
      </c>
      <c r="G20" s="129">
        <f>'7I'!L20-'7S'!L20</f>
        <v>194.29999999999995</v>
      </c>
      <c r="H20" s="129" t="s">
        <v>9</v>
      </c>
      <c r="I20" s="129">
        <f>'7I'!N20-'7S'!N20</f>
        <v>0.6</v>
      </c>
      <c r="J20" s="129">
        <f>'7I'!O20-'7S'!O20</f>
        <v>1.2000000000000002</v>
      </c>
      <c r="K20" s="129" t="s">
        <v>9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'7I'!G21-'7S'!G21</f>
        <v>326.90000000000009</v>
      </c>
      <c r="C21" s="129" t="s">
        <v>9</v>
      </c>
      <c r="D21" s="129">
        <f>'7I'!I21-'7S'!I21</f>
        <v>9.9999999999999978E-2</v>
      </c>
      <c r="E21" s="129">
        <f>'7I'!J21-'7S'!J21</f>
        <v>0.70000000000000018</v>
      </c>
      <c r="F21" s="129" t="s">
        <v>9</v>
      </c>
      <c r="G21" s="129">
        <f>'7I'!L21-'7S'!L21</f>
        <v>194.09999999999991</v>
      </c>
      <c r="H21" s="129" t="s">
        <v>9</v>
      </c>
      <c r="I21" s="129">
        <f>'7I'!N21-'7S'!N21</f>
        <v>9.9999999999999978E-2</v>
      </c>
      <c r="J21" s="129">
        <f>'7I'!O21-'7S'!O21</f>
        <v>0.40000000000000013</v>
      </c>
      <c r="K21" s="129" t="s">
        <v>9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'7I'!G22-'7S'!G22</f>
        <v>397.29999999999995</v>
      </c>
      <c r="C22" s="129" t="s">
        <v>9</v>
      </c>
      <c r="D22" s="129">
        <f>'7I'!I22-'7S'!I22</f>
        <v>9.9999999999999978E-2</v>
      </c>
      <c r="E22" s="129">
        <f>'7I'!J22-'7S'!J22</f>
        <v>-1.3</v>
      </c>
      <c r="F22" s="129" t="s">
        <v>9</v>
      </c>
      <c r="G22" s="129">
        <f>'7I'!L22-'7S'!L22</f>
        <v>240.29999999999995</v>
      </c>
      <c r="H22" s="129" t="s">
        <v>9</v>
      </c>
      <c r="I22" s="129">
        <f>'7I'!N22-'7S'!N22</f>
        <v>0.10000000000000003</v>
      </c>
      <c r="J22" s="129">
        <f>'7I'!O22-'7S'!O22</f>
        <v>-0.5</v>
      </c>
      <c r="K22" s="129" t="s">
        <v>9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'7I'!G23-'7S'!G23</f>
        <v>347.70000000000005</v>
      </c>
      <c r="C23" s="129" t="s">
        <v>9</v>
      </c>
      <c r="D23" s="129">
        <f>'7I'!I23-'7S'!I23</f>
        <v>0.30000000000000004</v>
      </c>
      <c r="E23" s="129">
        <f>'7I'!J23-'7S'!J23</f>
        <v>1.0999999999999996</v>
      </c>
      <c r="F23" s="129" t="s">
        <v>9</v>
      </c>
      <c r="G23" s="129">
        <f>'7I'!L23-'7S'!L23</f>
        <v>199.29999999999995</v>
      </c>
      <c r="H23" s="129" t="s">
        <v>9</v>
      </c>
      <c r="I23" s="129">
        <f>'7I'!N23-'7S'!N23</f>
        <v>0.2</v>
      </c>
      <c r="J23" s="129">
        <f>'7I'!O23-'7S'!O23</f>
        <v>0.7</v>
      </c>
      <c r="K23" s="129" t="s">
        <v>9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'7I'!G24-'7S'!G24</f>
        <v>417.69999999999982</v>
      </c>
      <c r="C24" s="129" t="s">
        <v>9</v>
      </c>
      <c r="D24" s="129">
        <f>'7I'!I24-'7S'!I24</f>
        <v>0.19999999999999996</v>
      </c>
      <c r="E24" s="129">
        <f>'7I'!J24-'7S'!J24</f>
        <v>2.4000000000000004</v>
      </c>
      <c r="F24" s="129" t="s">
        <v>9</v>
      </c>
      <c r="G24" s="129">
        <f>'7I'!L24-'7S'!L24</f>
        <v>253.89999999999986</v>
      </c>
      <c r="H24" s="129" t="s">
        <v>9</v>
      </c>
      <c r="I24" s="129">
        <f>'7I'!N24-'7S'!N24</f>
        <v>9.9999999999999978E-2</v>
      </c>
      <c r="J24" s="129">
        <f>'7I'!O24-'7S'!O24</f>
        <v>1.2999999999999998</v>
      </c>
      <c r="K24" s="129" t="s">
        <v>9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'7I'!G25-'7S'!G25</f>
        <v>551.69999999999982</v>
      </c>
      <c r="C25" s="129" t="s">
        <v>9</v>
      </c>
      <c r="D25" s="129">
        <f>'7I'!I25-'7S'!I25</f>
        <v>9.9999999999999978E-2</v>
      </c>
      <c r="E25" s="129">
        <f>'7I'!J25-'7S'!J25</f>
        <v>1.7000000000000002</v>
      </c>
      <c r="F25" s="129" t="s">
        <v>9</v>
      </c>
      <c r="G25" s="129">
        <f>'7I'!L25-'7S'!L25</f>
        <v>332.79999999999995</v>
      </c>
      <c r="H25" s="129" t="s">
        <v>9</v>
      </c>
      <c r="I25" s="129">
        <f>'7I'!N25-'7S'!N25</f>
        <v>0.19999999999999996</v>
      </c>
      <c r="J25" s="129">
        <f>'7I'!O25-'7S'!O25</f>
        <v>0.79999999999999982</v>
      </c>
      <c r="K25" s="129" t="s">
        <v>9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'7I'!G26-'7S'!G26</f>
        <v>474.40000000000009</v>
      </c>
      <c r="C26" s="129" t="s">
        <v>9</v>
      </c>
      <c r="D26" s="129">
        <f>'7I'!I26-'7S'!I26</f>
        <v>0</v>
      </c>
      <c r="E26" s="129">
        <f>'7I'!J26-'7S'!J26</f>
        <v>1.0999999999999996</v>
      </c>
      <c r="F26" s="129" t="s">
        <v>9</v>
      </c>
      <c r="G26" s="129">
        <f>'7I'!L26-'7S'!L26</f>
        <v>288</v>
      </c>
      <c r="H26" s="129" t="s">
        <v>9</v>
      </c>
      <c r="I26" s="129">
        <f>'7I'!N26-'7S'!N26</f>
        <v>0</v>
      </c>
      <c r="J26" s="129">
        <f>'7I'!O26-'7S'!O26</f>
        <v>1.3000000000000003</v>
      </c>
      <c r="K26" s="129" t="s">
        <v>9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'7I'!G27-'7S'!G27</f>
        <v>307.79999999999973</v>
      </c>
      <c r="C27" s="129" t="s">
        <v>9</v>
      </c>
      <c r="D27" s="129">
        <f>'7I'!I27-'7S'!I27</f>
        <v>0</v>
      </c>
      <c r="E27" s="129">
        <f>'7I'!J27-'7S'!J27</f>
        <v>0.70000000000000018</v>
      </c>
      <c r="F27" s="129" t="s">
        <v>9</v>
      </c>
      <c r="G27" s="129">
        <f>'7I'!L27-'7S'!L27</f>
        <v>209.79999999999995</v>
      </c>
      <c r="H27" s="129" t="s">
        <v>9</v>
      </c>
      <c r="I27" s="129">
        <f>'7I'!N27-'7S'!N27</f>
        <v>0</v>
      </c>
      <c r="J27" s="129">
        <f>'7I'!O27-'7S'!O27</f>
        <v>0.60000000000000009</v>
      </c>
      <c r="K27" s="129" t="s">
        <v>9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'7I'!G28-'7S'!G28</f>
        <v>468.20000000000027</v>
      </c>
      <c r="C28" s="129" t="s">
        <v>9</v>
      </c>
      <c r="D28" s="129">
        <f>'7I'!I28-'7S'!I28</f>
        <v>0.20000000000000007</v>
      </c>
      <c r="E28" s="129">
        <f>'7I'!J28-'7S'!J28</f>
        <v>0.59999999999999964</v>
      </c>
      <c r="F28" s="129" t="s">
        <v>9</v>
      </c>
      <c r="G28" s="129">
        <f>'7I'!L28-'7S'!L28</f>
        <v>344.50000000000023</v>
      </c>
      <c r="H28" s="129" t="s">
        <v>9</v>
      </c>
      <c r="I28" s="129">
        <f>'7I'!N28-'7S'!N28</f>
        <v>0.19999999999999996</v>
      </c>
      <c r="J28" s="129">
        <f>'7I'!O28-'7S'!O28</f>
        <v>0.39999999999999991</v>
      </c>
      <c r="K28" s="129" t="s">
        <v>9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'7I'!G29-'7S'!G29</f>
        <v>534.90000000000009</v>
      </c>
      <c r="C29" s="129" t="s">
        <v>9</v>
      </c>
      <c r="D29" s="129">
        <f>'7I'!I29-'7S'!I29</f>
        <v>0</v>
      </c>
      <c r="E29" s="129">
        <f>'7I'!J29-'7S'!J29</f>
        <v>1.5999999999999996</v>
      </c>
      <c r="F29" s="129" t="s">
        <v>9</v>
      </c>
      <c r="G29" s="129">
        <f>'7I'!L29-'7S'!L29</f>
        <v>381.60000000000014</v>
      </c>
      <c r="H29" s="129" t="s">
        <v>9</v>
      </c>
      <c r="I29" s="129">
        <f>'7I'!N29-'7S'!N29</f>
        <v>0</v>
      </c>
      <c r="J29" s="129">
        <f>'7I'!O29-'7S'!O29</f>
        <v>1.1000000000000005</v>
      </c>
      <c r="K29" s="129" t="s">
        <v>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'7I'!G30-'7S'!G30</f>
        <v>684.09999999999991</v>
      </c>
      <c r="C30" s="129" t="s">
        <v>9</v>
      </c>
      <c r="D30" s="129">
        <f>'7I'!I30-'7S'!I30</f>
        <v>-9.9999999999999978E-2</v>
      </c>
      <c r="E30" s="129">
        <f>'7I'!J30-'7S'!J30</f>
        <v>1.7000000000000002</v>
      </c>
      <c r="F30" s="129" t="s">
        <v>9</v>
      </c>
      <c r="G30" s="129">
        <f>'7I'!L30-'7S'!L30</f>
        <v>534.29999999999973</v>
      </c>
      <c r="H30" s="129" t="s">
        <v>9</v>
      </c>
      <c r="I30" s="129">
        <f>'7I'!N30-'7S'!N30</f>
        <v>0</v>
      </c>
      <c r="J30" s="129">
        <f>'7I'!O30-'7S'!O30</f>
        <v>1.3999999999999995</v>
      </c>
      <c r="K30" s="129" t="s">
        <v>9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'7I'!G31-'7S'!G31</f>
        <v>711.59999999999991</v>
      </c>
      <c r="C31" s="129" t="s">
        <v>9</v>
      </c>
      <c r="D31" s="129">
        <f>'7I'!I31-'7S'!I31</f>
        <v>0.20000000000000007</v>
      </c>
      <c r="E31" s="129">
        <f>'7I'!J31-'7S'!J31</f>
        <v>2.2999999999999998</v>
      </c>
      <c r="F31" s="129" t="s">
        <v>9</v>
      </c>
      <c r="G31" s="129">
        <f>'7I'!L31-'7S'!L31</f>
        <v>557.40000000000009</v>
      </c>
      <c r="H31" s="129" t="s">
        <v>9</v>
      </c>
      <c r="I31" s="129">
        <f>'7I'!N31-'7S'!N31</f>
        <v>0.20000000000000007</v>
      </c>
      <c r="J31" s="129">
        <f>'7I'!O31-'7S'!O31</f>
        <v>1.7999999999999998</v>
      </c>
      <c r="K31" s="129" t="s">
        <v>9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'7I'!G32-'7S'!G32</f>
        <v>811.59999999999991</v>
      </c>
      <c r="C32" s="129" t="s">
        <v>9</v>
      </c>
      <c r="D32" s="129">
        <f>'7I'!I32-'7S'!I32</f>
        <v>0.5</v>
      </c>
      <c r="E32" s="129">
        <f>'7I'!J32-'7S'!J32</f>
        <v>3</v>
      </c>
      <c r="F32" s="129" t="s">
        <v>9</v>
      </c>
      <c r="G32" s="129">
        <f>'7I'!L32-'7S'!L32</f>
        <v>661</v>
      </c>
      <c r="H32" s="129" t="s">
        <v>9</v>
      </c>
      <c r="I32" s="129">
        <f>'7I'!N32-'7S'!N32</f>
        <v>0.40000000000000013</v>
      </c>
      <c r="J32" s="129">
        <f>'7I'!O32-'7S'!O32</f>
        <v>2.5</v>
      </c>
      <c r="K32" s="129" t="s">
        <v>9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'7I'!G33-'7S'!G33</f>
        <v>560.09999999999991</v>
      </c>
      <c r="C33" s="129" t="s">
        <v>9</v>
      </c>
      <c r="D33" s="129">
        <f>'7I'!I33-'7S'!I33</f>
        <v>0.29999999999999993</v>
      </c>
      <c r="E33" s="129">
        <f>'7I'!J33-'7S'!J33</f>
        <v>0.20000000000000018</v>
      </c>
      <c r="F33" s="129" t="s">
        <v>9</v>
      </c>
      <c r="G33" s="129">
        <f>'7I'!L33-'7S'!L33</f>
        <v>516.5</v>
      </c>
      <c r="H33" s="129" t="s">
        <v>9</v>
      </c>
      <c r="I33" s="129">
        <f>'7I'!N33-'7S'!N33</f>
        <v>0.30000000000000004</v>
      </c>
      <c r="J33" s="129">
        <f>'7I'!O33-'7S'!O33</f>
        <v>0.30000000000000071</v>
      </c>
      <c r="K33" s="129" t="s">
        <v>9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'7I'!G34-'7S'!G34</f>
        <v>734.09999999999991</v>
      </c>
      <c r="C34" s="129" t="s">
        <v>9</v>
      </c>
      <c r="D34" s="129">
        <f>'7I'!I34-'7S'!I34</f>
        <v>0.19999999999999996</v>
      </c>
      <c r="E34" s="129">
        <f>'7I'!J34-'7S'!J34</f>
        <v>-2.2000000000000002</v>
      </c>
      <c r="F34" s="129" t="s">
        <v>9</v>
      </c>
      <c r="G34" s="129">
        <f>'7I'!L34-'7S'!L34</f>
        <v>642.09999999999991</v>
      </c>
      <c r="H34" s="129" t="s">
        <v>9</v>
      </c>
      <c r="I34" s="129">
        <f>'7I'!N34-'7S'!N34</f>
        <v>0.20000000000000007</v>
      </c>
      <c r="J34" s="129">
        <f>'7I'!O34-'7S'!O34</f>
        <v>-1.5</v>
      </c>
      <c r="K34" s="129" t="s">
        <v>9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'7I'!G35-'7S'!G35</f>
        <v>533</v>
      </c>
      <c r="C35" s="129" t="s">
        <v>9</v>
      </c>
      <c r="D35" s="129">
        <f>'7I'!I35-'7S'!I35</f>
        <v>0.29999999999999982</v>
      </c>
      <c r="E35" s="129">
        <f>'7I'!J35-'7S'!J35</f>
        <v>1.7999999999999989</v>
      </c>
      <c r="F35" s="129" t="s">
        <v>9</v>
      </c>
      <c r="G35" s="129">
        <f>'7I'!L35-'7S'!L35</f>
        <v>446.5</v>
      </c>
      <c r="H35" s="129" t="s">
        <v>9</v>
      </c>
      <c r="I35" s="129">
        <f>'7I'!N35-'7S'!N35</f>
        <v>0.39999999999999991</v>
      </c>
      <c r="J35" s="129">
        <f>'7I'!O35-'7S'!O35</f>
        <v>1.7000000000000002</v>
      </c>
      <c r="K35" s="129" t="s">
        <v>9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'7I'!G36-'7S'!G36</f>
        <v>556.90000000000009</v>
      </c>
      <c r="C36" s="129" t="s">
        <v>9</v>
      </c>
      <c r="D36" s="129">
        <f>'7I'!I36-'7S'!I36</f>
        <v>-9.9999999999999867E-2</v>
      </c>
      <c r="E36" s="129">
        <f>'7I'!J36-'7S'!J36</f>
        <v>-0.20000000000000018</v>
      </c>
      <c r="F36" s="129" t="s">
        <v>9</v>
      </c>
      <c r="G36" s="129">
        <f>'7I'!L36-'7S'!L36</f>
        <v>515.40000000000009</v>
      </c>
      <c r="H36" s="129" t="s">
        <v>9</v>
      </c>
      <c r="I36" s="129">
        <f>'7I'!N36-'7S'!N36</f>
        <v>0</v>
      </c>
      <c r="J36" s="129">
        <f>'7I'!O36-'7S'!O36</f>
        <v>0</v>
      </c>
      <c r="K36" s="129" t="s">
        <v>9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'7I'!G37-'7S'!G37</f>
        <v>591.30000000000018</v>
      </c>
      <c r="C37" s="129" t="s">
        <v>9</v>
      </c>
      <c r="D37" s="129">
        <f>'7I'!I37-'7S'!I37</f>
        <v>0</v>
      </c>
      <c r="E37" s="129">
        <f>'7I'!J37-'7S'!J37</f>
        <v>2.6000000000000014</v>
      </c>
      <c r="F37" s="129" t="s">
        <v>9</v>
      </c>
      <c r="G37" s="129">
        <f>'7I'!L37-'7S'!L37</f>
        <v>594.29999999999973</v>
      </c>
      <c r="H37" s="129" t="s">
        <v>9</v>
      </c>
      <c r="I37" s="129">
        <f>'7I'!N37-'7S'!N37</f>
        <v>0</v>
      </c>
      <c r="J37" s="129">
        <f>'7I'!O37-'7S'!O37</f>
        <v>2.9000000000000004</v>
      </c>
      <c r="K37" s="129" t="s">
        <v>9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'7I'!G38-'7S'!G38</f>
        <v>847.20000000000027</v>
      </c>
      <c r="C38" s="129" t="s">
        <v>9</v>
      </c>
      <c r="D38" s="129">
        <f>'7I'!I38-'7S'!I38</f>
        <v>2.2000000000000002</v>
      </c>
      <c r="E38" s="129">
        <f>'7I'!J38-'7S'!J38</f>
        <v>8.5</v>
      </c>
      <c r="F38" s="129" t="s">
        <v>9</v>
      </c>
      <c r="G38" s="129">
        <f>'7I'!L38-'7S'!L38</f>
        <v>828.19999999999982</v>
      </c>
      <c r="H38" s="129" t="s">
        <v>9</v>
      </c>
      <c r="I38" s="129">
        <f>'7I'!N38-'7S'!N38</f>
        <v>2.2000000000000002</v>
      </c>
      <c r="J38" s="129">
        <f>'7I'!O38-'7S'!O38</f>
        <v>7.6000000000000014</v>
      </c>
      <c r="K38" s="129" t="s">
        <v>9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'7I'!G39-'7S'!G39</f>
        <v>722.69999999999982</v>
      </c>
      <c r="C39" s="129" t="s">
        <v>9</v>
      </c>
      <c r="D39" s="129">
        <f>'7I'!I39-'7S'!I39</f>
        <v>1</v>
      </c>
      <c r="E39" s="129">
        <f>'7I'!J39-'7S'!J39</f>
        <v>11.5</v>
      </c>
      <c r="F39" s="129" t="s">
        <v>9</v>
      </c>
      <c r="G39" s="129">
        <f>'7I'!L39-'7S'!L39</f>
        <v>697.59999999999945</v>
      </c>
      <c r="H39" s="129" t="s">
        <v>9</v>
      </c>
      <c r="I39" s="129">
        <f>'7I'!N39-'7S'!N39</f>
        <v>0.90000000000000013</v>
      </c>
      <c r="J39" s="129">
        <f>'7I'!O39-'7S'!O39</f>
        <v>10.8</v>
      </c>
      <c r="K39" s="129" t="s">
        <v>9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'7I'!G40-'7S'!G40</f>
        <v>828.80000000000018</v>
      </c>
      <c r="C40" s="129" t="s">
        <v>9</v>
      </c>
      <c r="D40" s="129">
        <f>'7I'!I40-'7S'!I40</f>
        <v>1.4000000000000004</v>
      </c>
      <c r="E40" s="129">
        <f>'7I'!J40-'7S'!J40</f>
        <v>8.7999999999999989</v>
      </c>
      <c r="F40" s="129" t="s">
        <v>9</v>
      </c>
      <c r="G40" s="129">
        <f>'7I'!L40-'7S'!L40</f>
        <v>830.60000000000036</v>
      </c>
      <c r="H40" s="129" t="s">
        <v>9</v>
      </c>
      <c r="I40" s="129">
        <f>'7I'!N40-'7S'!N40</f>
        <v>1.2999999999999998</v>
      </c>
      <c r="J40" s="129">
        <f>'7I'!O40-'7S'!O40</f>
        <v>8.6000000000000014</v>
      </c>
      <c r="K40" s="129" t="s">
        <v>9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'7I'!G41-'7S'!G41</f>
        <v>695.80000000000018</v>
      </c>
      <c r="C41" s="129" t="s">
        <v>9</v>
      </c>
      <c r="D41" s="129">
        <f>'7I'!I41-'7S'!I41</f>
        <v>0.60000000000000009</v>
      </c>
      <c r="E41" s="129">
        <f>'7I'!J41-'7S'!J41</f>
        <v>11.8</v>
      </c>
      <c r="F41" s="129" t="s">
        <v>9</v>
      </c>
      <c r="G41" s="129">
        <f>'7I'!L41-'7S'!L41</f>
        <v>685.5</v>
      </c>
      <c r="H41" s="129" t="s">
        <v>9</v>
      </c>
      <c r="I41" s="129">
        <f>'7I'!N41-'7S'!N41</f>
        <v>0.5</v>
      </c>
      <c r="J41" s="129">
        <f>'7I'!O41-'7S'!O41</f>
        <v>11.2</v>
      </c>
      <c r="K41" s="129" t="s">
        <v>9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'7I'!G42-'7S'!G42</f>
        <v>620.90000000000055</v>
      </c>
      <c r="C42" s="129" t="s">
        <v>9</v>
      </c>
      <c r="D42" s="129">
        <f>'7I'!I42-'7S'!I42</f>
        <v>0.60000000000000009</v>
      </c>
      <c r="E42" s="129">
        <f>'7I'!J42-'7S'!J42</f>
        <v>-4.2999999999999989</v>
      </c>
      <c r="F42" s="129" t="s">
        <v>9</v>
      </c>
      <c r="G42" s="129">
        <f>'7I'!L42-'7S'!L42</f>
        <v>680</v>
      </c>
      <c r="H42" s="129" t="s">
        <v>9</v>
      </c>
      <c r="I42" s="129">
        <f>'7I'!N42-'7S'!N42</f>
        <v>0.89999999999999991</v>
      </c>
      <c r="J42" s="129">
        <f>'7I'!O42-'7S'!O42</f>
        <v>-5</v>
      </c>
      <c r="K42" s="129" t="s">
        <v>9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'7I'!G43-'7S'!G43</f>
        <v>1462.4000000000005</v>
      </c>
      <c r="C43" s="129" t="s">
        <v>9</v>
      </c>
      <c r="D43" s="129">
        <f>'7I'!I43-'7S'!I43</f>
        <v>2.8000000000000003</v>
      </c>
      <c r="E43" s="129">
        <f>'7I'!J43-'7S'!J43</f>
        <v>17.900000000000002</v>
      </c>
      <c r="F43" s="129" t="s">
        <v>9</v>
      </c>
      <c r="G43" s="129">
        <f>'7I'!L43-'7S'!L43</f>
        <v>1596.8000000000002</v>
      </c>
      <c r="H43" s="129" t="s">
        <v>9</v>
      </c>
      <c r="I43" s="129">
        <f>'7I'!N43-'7S'!N43</f>
        <v>3.4000000000000004</v>
      </c>
      <c r="J43" s="129">
        <f>'7I'!O43-'7S'!O43</f>
        <v>16.299999999999997</v>
      </c>
      <c r="K43" s="129" t="s">
        <v>9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'7I'!G44-'7S'!G44</f>
        <v>1711.6000000000004</v>
      </c>
      <c r="C44" s="129" t="s">
        <v>9</v>
      </c>
      <c r="D44" s="129" t="s">
        <v>9</v>
      </c>
      <c r="E44" s="129">
        <f>'7I'!J44-'7S'!J44</f>
        <v>13.700000000000003</v>
      </c>
      <c r="F44" s="129" t="s">
        <v>9</v>
      </c>
      <c r="G44" s="129">
        <f>'7I'!L44-'7S'!L44</f>
        <v>1614.7999999999993</v>
      </c>
      <c r="H44" s="129" t="s">
        <v>9</v>
      </c>
      <c r="I44" s="129" t="s">
        <v>9</v>
      </c>
      <c r="J44" s="129">
        <f>'7I'!O44-'7S'!O44</f>
        <v>13.600000000000001</v>
      </c>
      <c r="K44" s="129" t="s">
        <v>9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'7I'!G45-'7S'!G45</f>
        <v>1849.5</v>
      </c>
      <c r="C45" s="129" t="s">
        <v>9</v>
      </c>
      <c r="D45" s="129" t="s">
        <v>9</v>
      </c>
      <c r="E45" s="129">
        <f>'7I'!J45-'7S'!J45</f>
        <v>5.6000000000000014</v>
      </c>
      <c r="F45" s="129" t="s">
        <v>9</v>
      </c>
      <c r="G45" s="129">
        <f>'7I'!L45-'7S'!L45</f>
        <v>1950.2999999999993</v>
      </c>
      <c r="H45" s="129" t="s">
        <v>9</v>
      </c>
      <c r="I45" s="129" t="s">
        <v>9</v>
      </c>
      <c r="J45" s="129">
        <f>'7I'!O45-'7S'!O45</f>
        <v>9.7000000000000028</v>
      </c>
      <c r="K45" s="129" t="s">
        <v>9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'7I'!G46-'7S'!G46</f>
        <v>1956.2000000000007</v>
      </c>
      <c r="C46" s="129" t="s">
        <v>9</v>
      </c>
      <c r="D46" s="129" t="s">
        <v>9</v>
      </c>
      <c r="E46" s="129">
        <f>'7I'!J46-'7S'!J46</f>
        <v>22.699999999999996</v>
      </c>
      <c r="F46" s="129" t="s">
        <v>9</v>
      </c>
      <c r="G46" s="129">
        <f>'7I'!L46-'7S'!L46</f>
        <v>1779.7999999999993</v>
      </c>
      <c r="H46" s="129" t="s">
        <v>9</v>
      </c>
      <c r="I46" s="129" t="s">
        <v>9</v>
      </c>
      <c r="J46" s="129">
        <f>'7I'!O46-'7S'!O46</f>
        <v>21</v>
      </c>
      <c r="K46" s="129" t="s">
        <v>9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'7I'!G47-'7S'!G47</f>
        <v>2041.8999999999996</v>
      </c>
      <c r="C47" s="129" t="s">
        <v>9</v>
      </c>
      <c r="D47" s="129" t="s">
        <v>9</v>
      </c>
      <c r="E47" s="129">
        <f>'7I'!J47-'7S'!J47</f>
        <v>17.200000000000003</v>
      </c>
      <c r="F47" s="129" t="s">
        <v>9</v>
      </c>
      <c r="G47" s="129">
        <f>'7I'!L47-'7S'!L47</f>
        <v>1965</v>
      </c>
      <c r="H47" s="129" t="s">
        <v>9</v>
      </c>
      <c r="I47" s="129" t="s">
        <v>9</v>
      </c>
      <c r="J47" s="129">
        <f>'7I'!O47-'7S'!O47</f>
        <v>14.799999999999997</v>
      </c>
      <c r="K47" s="129" t="s">
        <v>9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'7I'!G48-'7S'!G48</f>
        <v>1607</v>
      </c>
      <c r="C48" s="129" t="s">
        <v>9</v>
      </c>
      <c r="D48" s="129" t="s">
        <v>9</v>
      </c>
      <c r="E48" s="129">
        <f>'7I'!J48-'7S'!J48</f>
        <v>6.7000000000000028</v>
      </c>
      <c r="F48" s="129" t="s">
        <v>9</v>
      </c>
      <c r="G48" s="129">
        <f>'7I'!L48-'7S'!L48</f>
        <v>1559.3000000000002</v>
      </c>
      <c r="H48" s="129" t="s">
        <v>9</v>
      </c>
      <c r="I48" s="129" t="s">
        <v>9</v>
      </c>
      <c r="J48" s="129">
        <f>'7I'!O48-'7S'!O48</f>
        <v>8.3999999999999986</v>
      </c>
      <c r="K48" s="129" t="s">
        <v>9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'7I'!G49-'7S'!G49</f>
        <v>1601.3999999999996</v>
      </c>
      <c r="C49" s="129" t="s">
        <v>9</v>
      </c>
      <c r="D49" s="129" t="s">
        <v>9</v>
      </c>
      <c r="E49" s="129">
        <f>'7I'!J49-'7S'!J49</f>
        <v>20.800000000000004</v>
      </c>
      <c r="F49" s="129" t="s">
        <v>9</v>
      </c>
      <c r="G49" s="129">
        <f>'7I'!L49-'7S'!L49</f>
        <v>1622.6999999999989</v>
      </c>
      <c r="H49" s="129" t="s">
        <v>9</v>
      </c>
      <c r="I49" s="129" t="s">
        <v>9</v>
      </c>
      <c r="J49" s="129">
        <f>'7I'!O49-'7S'!O49</f>
        <v>21.6</v>
      </c>
      <c r="K49" s="129" t="s">
        <v>9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'7I'!G50-'7S'!G50</f>
        <v>1293.5</v>
      </c>
      <c r="C50" s="129" t="s">
        <v>9</v>
      </c>
      <c r="D50" s="129" t="s">
        <v>9</v>
      </c>
      <c r="E50" s="129">
        <f>'7I'!J50-'7S'!J50</f>
        <v>11.699999999999996</v>
      </c>
      <c r="F50" s="129" t="s">
        <v>9</v>
      </c>
      <c r="G50" s="129">
        <f>'7I'!L50-'7S'!L50</f>
        <v>1294.5</v>
      </c>
      <c r="H50" s="129" t="s">
        <v>9</v>
      </c>
      <c r="I50" s="129" t="s">
        <v>9</v>
      </c>
      <c r="J50" s="129">
        <f>'7I'!O50-'7S'!O50</f>
        <v>12.299999999999997</v>
      </c>
      <c r="K50" s="129" t="s">
        <v>9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'7I'!G51-'7S'!G51</f>
        <v>1367.8999999999996</v>
      </c>
      <c r="C51" s="129" t="s">
        <v>9</v>
      </c>
      <c r="D51" s="129" t="s">
        <v>9</v>
      </c>
      <c r="E51" s="129">
        <f>'7I'!J51-'7S'!J51</f>
        <v>23.5</v>
      </c>
      <c r="F51" s="129" t="s">
        <v>9</v>
      </c>
      <c r="G51" s="129">
        <f>'7I'!L51-'7S'!L51</f>
        <v>1367.8999999999996</v>
      </c>
      <c r="H51" s="129" t="s">
        <v>9</v>
      </c>
      <c r="I51" s="129" t="s">
        <v>9</v>
      </c>
      <c r="J51" s="129">
        <f>'7I'!O51-'7S'!O51</f>
        <v>23.5</v>
      </c>
      <c r="K51" s="129" t="s">
        <v>9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'7I'!G52-'7S'!G52</f>
        <v>1278</v>
      </c>
      <c r="C52" s="129" t="s">
        <v>9</v>
      </c>
      <c r="D52" s="129" t="s">
        <v>9</v>
      </c>
      <c r="E52" s="129">
        <f>'7I'!J52-'7S'!J52</f>
        <v>23.700000000000003</v>
      </c>
      <c r="F52" s="129" t="s">
        <v>9</v>
      </c>
      <c r="G52" s="129">
        <f>'7I'!L52-'7S'!L52</f>
        <v>1274.5</v>
      </c>
      <c r="H52" s="129" t="s">
        <v>9</v>
      </c>
      <c r="I52" s="129" t="s">
        <v>9</v>
      </c>
      <c r="J52" s="129">
        <f>'7I'!O52-'7S'!O52</f>
        <v>23.299999999999997</v>
      </c>
      <c r="K52" s="129" t="s">
        <v>9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'7I'!G53-'7S'!G53</f>
        <v>378.40000000000146</v>
      </c>
      <c r="C53" s="129" t="s">
        <v>9</v>
      </c>
      <c r="D53" s="129" t="s">
        <v>9</v>
      </c>
      <c r="E53" s="129">
        <f>'7I'!J53-'7S'!J53</f>
        <v>15.599999999999994</v>
      </c>
      <c r="F53" s="129" t="s">
        <v>9</v>
      </c>
      <c r="G53" s="129">
        <f>'7I'!L53-'7S'!L53</f>
        <v>373.39999999999964</v>
      </c>
      <c r="H53" s="129" t="s">
        <v>9</v>
      </c>
      <c r="I53" s="129" t="s">
        <v>9</v>
      </c>
      <c r="J53" s="129">
        <f>'7I'!O53-'7S'!O53</f>
        <v>15.200000000000003</v>
      </c>
      <c r="K53" s="129" t="s">
        <v>9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'7I'!G54-'7S'!G54</f>
        <v>871.20000000000073</v>
      </c>
      <c r="C54" s="129" t="s">
        <v>9</v>
      </c>
      <c r="D54" s="129" t="s">
        <v>9</v>
      </c>
      <c r="E54" s="129">
        <f>'7I'!J54-'7S'!J54</f>
        <v>15</v>
      </c>
      <c r="F54" s="129" t="s">
        <v>9</v>
      </c>
      <c r="G54" s="129">
        <f>'7I'!L54-'7S'!L54</f>
        <v>866</v>
      </c>
      <c r="H54" s="129" t="s">
        <v>9</v>
      </c>
      <c r="I54" s="129" t="s">
        <v>9</v>
      </c>
      <c r="J54" s="129">
        <f>'7I'!O54-'7S'!O54</f>
        <v>15.400000000000006</v>
      </c>
      <c r="K54" s="129" t="s">
        <v>9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'7I'!G55-'7S'!G55</f>
        <v>1047.5</v>
      </c>
      <c r="C55" s="129" t="s">
        <v>9</v>
      </c>
      <c r="D55" s="129" t="s">
        <v>9</v>
      </c>
      <c r="E55" s="129">
        <f>'7I'!J55-'7S'!J55</f>
        <v>18.400000000000006</v>
      </c>
      <c r="F55" s="129" t="s">
        <v>9</v>
      </c>
      <c r="G55" s="129">
        <f>'7I'!L55-'7S'!L55</f>
        <v>1036.3999999999996</v>
      </c>
      <c r="H55" s="129" t="s">
        <v>9</v>
      </c>
      <c r="I55" s="129" t="s">
        <v>9</v>
      </c>
      <c r="J55" s="129">
        <f>'7I'!O55-'7S'!O55</f>
        <v>18.600000000000009</v>
      </c>
      <c r="K55" s="129" t="s">
        <v>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'7I'!G56-'7S'!G56</f>
        <v>724.70000000000073</v>
      </c>
      <c r="C56" s="129" t="s">
        <v>9</v>
      </c>
      <c r="D56" s="129" t="s">
        <v>9</v>
      </c>
      <c r="E56" s="129">
        <f>'7I'!J56-'7S'!J56</f>
        <v>8.2000000000000028</v>
      </c>
      <c r="F56" s="129" t="s">
        <v>9</v>
      </c>
      <c r="G56" s="129">
        <f>'7I'!L56-'7S'!L56</f>
        <v>681.39999999999964</v>
      </c>
      <c r="H56" s="129" t="s">
        <v>9</v>
      </c>
      <c r="I56" s="129" t="s">
        <v>9</v>
      </c>
      <c r="J56" s="129">
        <f>'7I'!O56-'7S'!O56</f>
        <v>7.9000000000000057</v>
      </c>
      <c r="K56" s="129" t="s">
        <v>9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'7I'!G57-'7S'!G57</f>
        <v>545.19999999999891</v>
      </c>
      <c r="C57" s="129" t="s">
        <v>9</v>
      </c>
      <c r="D57" s="129" t="s">
        <v>9</v>
      </c>
      <c r="E57" s="129">
        <f>'7I'!J57-'7S'!J57</f>
        <v>10</v>
      </c>
      <c r="F57" s="129" t="s">
        <v>9</v>
      </c>
      <c r="G57" s="129">
        <f>'7I'!L57-'7S'!L57</f>
        <v>502.10000000000036</v>
      </c>
      <c r="H57" s="129" t="s">
        <v>9</v>
      </c>
      <c r="I57" s="129" t="s">
        <v>9</v>
      </c>
      <c r="J57" s="129">
        <f>'7I'!O57-'7S'!O57</f>
        <v>9.7000000000000028</v>
      </c>
      <c r="K57" s="129" t="s">
        <v>9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E60" si="0">((B57/B28)^(1/29)-1)*100</f>
        <v>0.52640530669816332</v>
      </c>
      <c r="C60" s="11" t="s">
        <v>10</v>
      </c>
      <c r="D60" s="11" t="s">
        <v>10</v>
      </c>
      <c r="E60" s="11">
        <f t="shared" si="0"/>
        <v>10.187597899091937</v>
      </c>
      <c r="F60" s="11" t="s">
        <v>10</v>
      </c>
      <c r="G60" s="11">
        <f>((G57/G28)^(1/29)-1)*100</f>
        <v>1.3074569320175256</v>
      </c>
      <c r="H60" s="11" t="s">
        <v>10</v>
      </c>
      <c r="I60" s="11" t="s">
        <v>10</v>
      </c>
      <c r="J60" s="11">
        <f t="shared" ref="J60" si="1">((J57/J28)^(1/29)-1)*100</f>
        <v>11.621712400919071</v>
      </c>
      <c r="K60" s="11" t="s">
        <v>10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E61" si="2">((B33/B28)^(1/5)-1)*100</f>
        <v>3.6494096048653057</v>
      </c>
      <c r="C61" s="11" t="s">
        <v>10</v>
      </c>
      <c r="D61" s="11">
        <f t="shared" si="2"/>
        <v>8.4471771197698544</v>
      </c>
      <c r="E61" s="11">
        <f t="shared" si="2"/>
        <v>-19.725843823976909</v>
      </c>
      <c r="F61" s="11" t="s">
        <v>10</v>
      </c>
      <c r="G61" s="11">
        <f>((G33/G28)^(1/5)-1)*100</f>
        <v>8.4366818929091814</v>
      </c>
      <c r="H61" s="11" t="s">
        <v>10</v>
      </c>
      <c r="I61" s="11">
        <f t="shared" ref="I61:J61" si="3">((I33/I28)^(1/5)-1)*100</f>
        <v>8.4471771197698775</v>
      </c>
      <c r="J61" s="11">
        <f t="shared" si="3"/>
        <v>-5.5912488705097463</v>
      </c>
      <c r="K61" s="11" t="s">
        <v>10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E62" si="4">((B44/B33)^(1/11)-1)*100</f>
        <v>10.688712741380568</v>
      </c>
      <c r="C62" s="11" t="s">
        <v>10</v>
      </c>
      <c r="D62" s="11" t="s">
        <v>10</v>
      </c>
      <c r="E62" s="11">
        <f t="shared" si="4"/>
        <v>46.852370405698586</v>
      </c>
      <c r="F62" s="11" t="s">
        <v>10</v>
      </c>
      <c r="G62" s="11">
        <f>((G44/G33)^(1/11)-1)*100</f>
        <v>10.918605624013678</v>
      </c>
      <c r="H62" s="11" t="s">
        <v>10</v>
      </c>
      <c r="I62" s="11" t="s">
        <v>10</v>
      </c>
      <c r="J62" s="11">
        <f t="shared" ref="J62" si="5">((J44/J33)^(1/11)-1)*100</f>
        <v>41.443639621465977</v>
      </c>
      <c r="K62" s="11" t="s">
        <v>10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-3.1514432687225424</v>
      </c>
      <c r="C63" s="11" t="s">
        <v>10</v>
      </c>
      <c r="D63" s="11" t="s">
        <v>10</v>
      </c>
      <c r="E63" s="11">
        <f t="shared" ref="E63:J63" si="6">((E51/E44)^(1/7)-1)*100</f>
        <v>8.0135363395446255</v>
      </c>
      <c r="F63" s="11" t="s">
        <v>10</v>
      </c>
      <c r="G63" s="11">
        <f t="shared" si="6"/>
        <v>-2.342615877373444</v>
      </c>
      <c r="H63" s="11" t="s">
        <v>10</v>
      </c>
      <c r="I63" s="11" t="s">
        <v>10</v>
      </c>
      <c r="J63" s="11">
        <f t="shared" si="6"/>
        <v>8.1266400147551145</v>
      </c>
      <c r="K63" s="11" t="s">
        <v>10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-14.21390160978916</v>
      </c>
      <c r="C64" s="11" t="s">
        <v>10</v>
      </c>
      <c r="D64" s="11" t="s">
        <v>10</v>
      </c>
      <c r="E64" s="11" t="s">
        <v>10</v>
      </c>
      <c r="F64" s="11" t="s">
        <v>10</v>
      </c>
      <c r="G64" s="11">
        <f t="shared" ref="G64" si="7">((G57/G51)^(1/6)-1)*100</f>
        <v>-15.383320548853362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E65" si="8">((B57/B44)^(1/13)-1)*100</f>
        <v>-8.4241320023792596</v>
      </c>
      <c r="C65" s="11" t="s">
        <v>10</v>
      </c>
      <c r="D65" s="11" t="s">
        <v>10</v>
      </c>
      <c r="E65" s="11">
        <f t="shared" si="8"/>
        <v>-2.3925350896758957</v>
      </c>
      <c r="F65" s="11" t="s">
        <v>10</v>
      </c>
      <c r="G65" s="11">
        <f>((G57/G44)^(1/13)-1)*100</f>
        <v>-8.5939947388796849</v>
      </c>
      <c r="H65" s="11" t="s">
        <v>10</v>
      </c>
      <c r="I65" s="11" t="s">
        <v>10</v>
      </c>
      <c r="J65" s="11">
        <f t="shared" ref="J65" si="9">((J57/J44)^(1/13)-1)*100</f>
        <v>-2.5660706293605062</v>
      </c>
      <c r="K65" s="11" t="s">
        <v>10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7" spans="1:20">
      <c r="A67" s="231" t="s">
        <v>55</v>
      </c>
    </row>
    <row r="68" spans="1:20">
      <c r="A68" s="229" t="s">
        <v>56</v>
      </c>
    </row>
    <row r="69" spans="1:20">
      <c r="A69" s="229" t="s">
        <v>41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</row>
    <row r="70" spans="1:20">
      <c r="A70" s="229" t="s">
        <v>62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70"/>
  <sheetViews>
    <sheetView view="pageBreakPreview" topLeftCell="A39" zoomScaleNormal="100" zoomScaleSheetLayoutView="100" workbookViewId="0">
      <selection activeCell="C24" sqref="C24"/>
    </sheetView>
  </sheetViews>
  <sheetFormatPr defaultRowHeight="15"/>
  <cols>
    <col min="1" max="6" width="9.140625" style="239"/>
    <col min="7" max="7" width="16.140625" style="239" customWidth="1"/>
    <col min="8" max="16384" width="9.140625" style="239"/>
  </cols>
  <sheetData>
    <row r="1" spans="1:20">
      <c r="A1" s="454" t="s">
        <v>339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15" customHeight="1">
      <c r="A2" s="248"/>
      <c r="B2" s="454" t="s">
        <v>227</v>
      </c>
      <c r="C2" s="454"/>
      <c r="D2" s="454"/>
      <c r="E2" s="454"/>
      <c r="F2" s="454"/>
      <c r="G2" s="454" t="s">
        <v>34</v>
      </c>
      <c r="H2" s="454"/>
      <c r="I2" s="454"/>
      <c r="J2" s="454"/>
      <c r="K2" s="454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75">
      <c r="A3" s="248"/>
      <c r="B3" s="248" t="s">
        <v>2</v>
      </c>
      <c r="C3" s="248" t="s">
        <v>223</v>
      </c>
      <c r="D3" s="248" t="s">
        <v>20</v>
      </c>
      <c r="E3" s="248" t="s">
        <v>4</v>
      </c>
      <c r="F3" s="248" t="s">
        <v>17</v>
      </c>
      <c r="G3" s="248" t="s">
        <v>2</v>
      </c>
      <c r="H3" s="248" t="s">
        <v>223</v>
      </c>
      <c r="I3" s="248" t="s">
        <v>20</v>
      </c>
      <c r="J3" s="248" t="s">
        <v>4</v>
      </c>
      <c r="K3" s="248" t="s">
        <v>17</v>
      </c>
      <c r="L3" s="249"/>
      <c r="M3" s="249"/>
      <c r="N3" s="249"/>
      <c r="O3" s="249"/>
      <c r="P3" s="249"/>
      <c r="Q3" s="249"/>
      <c r="R3" s="249"/>
      <c r="S3" s="249"/>
      <c r="T3" s="249"/>
    </row>
    <row r="4" spans="1:20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249"/>
      <c r="M4" s="249"/>
      <c r="N4" s="249"/>
      <c r="O4" s="249"/>
      <c r="P4" s="249"/>
      <c r="Q4" s="249"/>
      <c r="R4" s="249"/>
      <c r="S4" s="249"/>
      <c r="T4" s="249"/>
    </row>
    <row r="5" spans="1:20">
      <c r="A5" s="248">
        <v>1961</v>
      </c>
      <c r="B5" s="129">
        <f>'7J'!G5-'7T'!G5</f>
        <v>1251.8999999999999</v>
      </c>
      <c r="C5" s="129" t="s">
        <v>9</v>
      </c>
      <c r="D5" s="129" t="s">
        <v>9</v>
      </c>
      <c r="E5" s="129">
        <f>'7J'!J5-'7T'!J5</f>
        <v>0.2</v>
      </c>
      <c r="F5" s="129">
        <f>'7J'!K5-'7T'!K5</f>
        <v>6.3</v>
      </c>
      <c r="G5" s="129">
        <f>'7J'!L5-'7T'!L5</f>
        <v>787.3</v>
      </c>
      <c r="H5" s="129" t="s">
        <v>9</v>
      </c>
      <c r="I5" s="129" t="s">
        <v>9</v>
      </c>
      <c r="J5" s="129" t="e">
        <f>'7J'!O5-'7T'!O5</f>
        <v>#VALUE!</v>
      </c>
      <c r="K5" s="129">
        <f>'7J'!P5-'7T'!P5</f>
        <v>2.7</v>
      </c>
      <c r="L5" s="249"/>
      <c r="M5" s="249"/>
      <c r="N5" s="249"/>
      <c r="O5" s="249"/>
      <c r="P5" s="249"/>
      <c r="Q5" s="249"/>
      <c r="R5" s="249"/>
      <c r="S5" s="249"/>
      <c r="T5" s="249"/>
    </row>
    <row r="6" spans="1:20">
      <c r="A6" s="248">
        <v>1962</v>
      </c>
      <c r="B6" s="129">
        <f>'7J'!G6-'7T'!G6</f>
        <v>1098.8000000000002</v>
      </c>
      <c r="C6" s="129" t="s">
        <v>9</v>
      </c>
      <c r="D6" s="129" t="s">
        <v>9</v>
      </c>
      <c r="E6" s="129">
        <f>'7J'!J6-'7T'!J6</f>
        <v>0.19999999999999998</v>
      </c>
      <c r="F6" s="129">
        <f>'7J'!K6-'7T'!K6</f>
        <v>5.3000000000000007</v>
      </c>
      <c r="G6" s="129">
        <f>'7J'!L6-'7T'!L6</f>
        <v>685</v>
      </c>
      <c r="H6" s="129" t="s">
        <v>9</v>
      </c>
      <c r="I6" s="129" t="s">
        <v>9</v>
      </c>
      <c r="J6" s="129">
        <f>'7J'!O6-'7T'!O6</f>
        <v>0.1</v>
      </c>
      <c r="K6" s="129">
        <f>'7J'!P6-'7T'!P6</f>
        <v>2.1</v>
      </c>
      <c r="L6" s="249"/>
      <c r="M6" s="249"/>
      <c r="N6" s="249"/>
      <c r="O6" s="249"/>
      <c r="P6" s="249"/>
      <c r="Q6" s="249"/>
      <c r="R6" s="249"/>
      <c r="S6" s="249"/>
      <c r="T6" s="249"/>
    </row>
    <row r="7" spans="1:20">
      <c r="A7" s="248">
        <v>1963</v>
      </c>
      <c r="B7" s="129">
        <f>'7J'!G7-'7T'!G7</f>
        <v>908.90000000000009</v>
      </c>
      <c r="C7" s="129" t="s">
        <v>9</v>
      </c>
      <c r="D7" s="129" t="s">
        <v>9</v>
      </c>
      <c r="E7" s="129">
        <f>'7J'!J7-'7T'!J7</f>
        <v>0.19999999999999998</v>
      </c>
      <c r="F7" s="129">
        <f>'7J'!K7-'7T'!K7</f>
        <v>4.4000000000000004</v>
      </c>
      <c r="G7" s="129">
        <f>'7J'!L7-'7T'!L7</f>
        <v>560.40000000000009</v>
      </c>
      <c r="H7" s="129" t="s">
        <v>9</v>
      </c>
      <c r="I7" s="129" t="s">
        <v>9</v>
      </c>
      <c r="J7" s="129">
        <f>'7J'!O7-'7T'!O7</f>
        <v>0</v>
      </c>
      <c r="K7" s="129">
        <f>'7J'!P7-'7T'!P7</f>
        <v>1.6999999999999997</v>
      </c>
      <c r="L7" s="249"/>
      <c r="M7" s="249"/>
      <c r="N7" s="249"/>
      <c r="O7" s="249"/>
      <c r="P7" s="249"/>
      <c r="Q7" s="249"/>
      <c r="R7" s="249"/>
      <c r="S7" s="249"/>
      <c r="T7" s="249"/>
    </row>
    <row r="8" spans="1:20">
      <c r="A8" s="248">
        <v>1964</v>
      </c>
      <c r="B8" s="129">
        <f>'7J'!G8-'7T'!G8</f>
        <v>866.09999999999991</v>
      </c>
      <c r="C8" s="129" t="s">
        <v>9</v>
      </c>
      <c r="D8" s="129" t="s">
        <v>9</v>
      </c>
      <c r="E8" s="129">
        <f>'7J'!J8-'7T'!J8</f>
        <v>0.39999999999999997</v>
      </c>
      <c r="F8" s="129">
        <f>'7J'!K8-'7T'!K8</f>
        <v>3.7</v>
      </c>
      <c r="G8" s="129">
        <f>'7J'!L8-'7T'!L8</f>
        <v>529.20000000000005</v>
      </c>
      <c r="H8" s="129" t="s">
        <v>9</v>
      </c>
      <c r="I8" s="129" t="s">
        <v>9</v>
      </c>
      <c r="J8" s="129">
        <f>'7J'!O8-'7T'!O8</f>
        <v>0.1</v>
      </c>
      <c r="K8" s="129">
        <f>'7J'!P8-'7T'!P8</f>
        <v>1.2999999999999998</v>
      </c>
      <c r="L8" s="249"/>
      <c r="M8" s="249"/>
      <c r="N8" s="249"/>
      <c r="O8" s="249"/>
      <c r="P8" s="249"/>
      <c r="Q8" s="249"/>
      <c r="R8" s="249"/>
      <c r="S8" s="249"/>
      <c r="T8" s="249"/>
    </row>
    <row r="9" spans="1:20">
      <c r="A9" s="248">
        <v>1965</v>
      </c>
      <c r="B9" s="129">
        <f>'7J'!G9-'7T'!G9</f>
        <v>891.7</v>
      </c>
      <c r="C9" s="129" t="s">
        <v>9</v>
      </c>
      <c r="D9" s="129" t="s">
        <v>9</v>
      </c>
      <c r="E9" s="129">
        <f>'7J'!J9-'7T'!J9</f>
        <v>-0.2</v>
      </c>
      <c r="F9" s="129">
        <f>'7J'!K9-'7T'!K9</f>
        <v>4.3</v>
      </c>
      <c r="G9" s="129">
        <f>'7J'!L9-'7T'!L9</f>
        <v>540.89999999999986</v>
      </c>
      <c r="H9" s="129" t="s">
        <v>9</v>
      </c>
      <c r="I9" s="129" t="s">
        <v>9</v>
      </c>
      <c r="J9" s="129">
        <f>'7J'!O9-'7T'!O9</f>
        <v>-0.1</v>
      </c>
      <c r="K9" s="129">
        <f>'7J'!P9-'7T'!P9</f>
        <v>1.5</v>
      </c>
      <c r="L9" s="249"/>
      <c r="M9" s="249"/>
      <c r="N9" s="249"/>
      <c r="O9" s="249"/>
      <c r="P9" s="249"/>
      <c r="Q9" s="249"/>
      <c r="R9" s="249"/>
      <c r="S9" s="249"/>
      <c r="T9" s="249"/>
    </row>
    <row r="10" spans="1:20">
      <c r="A10" s="248">
        <v>1966</v>
      </c>
      <c r="B10" s="129">
        <f>'7J'!G10-'7T'!G10</f>
        <v>853.89999999999986</v>
      </c>
      <c r="C10" s="129" t="s">
        <v>9</v>
      </c>
      <c r="D10" s="129" t="s">
        <v>9</v>
      </c>
      <c r="E10" s="129">
        <f>'7J'!J10-'7T'!J10</f>
        <v>-0.2</v>
      </c>
      <c r="F10" s="129">
        <f>'7J'!K10-'7T'!K10</f>
        <v>4</v>
      </c>
      <c r="G10" s="129">
        <f>'7J'!L10-'7T'!L10</f>
        <v>513.4</v>
      </c>
      <c r="H10" s="129" t="s">
        <v>9</v>
      </c>
      <c r="I10" s="129" t="s">
        <v>9</v>
      </c>
      <c r="J10" s="129">
        <f>'7J'!O10-'7T'!O10</f>
        <v>-0.1</v>
      </c>
      <c r="K10" s="129">
        <f>'7J'!P10-'7T'!P10</f>
        <v>1.2999999999999998</v>
      </c>
      <c r="L10" s="249"/>
      <c r="M10" s="249"/>
      <c r="N10" s="249"/>
      <c r="O10" s="249"/>
      <c r="P10" s="249"/>
      <c r="Q10" s="249"/>
      <c r="R10" s="249"/>
      <c r="S10" s="249"/>
      <c r="T10" s="249"/>
    </row>
    <row r="11" spans="1:20">
      <c r="A11" s="248">
        <v>1967</v>
      </c>
      <c r="B11" s="129">
        <f>'7J'!G11-'7T'!G11</f>
        <v>860.79999999999973</v>
      </c>
      <c r="C11" s="129" t="s">
        <v>9</v>
      </c>
      <c r="D11" s="129" t="s">
        <v>9</v>
      </c>
      <c r="E11" s="129">
        <f>'7J'!J11-'7T'!J11</f>
        <v>1.7</v>
      </c>
      <c r="F11" s="129">
        <f>'7J'!K11-'7T'!K11</f>
        <v>3.9000000000000004</v>
      </c>
      <c r="G11" s="129">
        <f>'7J'!L11-'7T'!L11</f>
        <v>513.4</v>
      </c>
      <c r="H11" s="129" t="s">
        <v>9</v>
      </c>
      <c r="I11" s="129" t="s">
        <v>9</v>
      </c>
      <c r="J11" s="129">
        <f>'7J'!O11-'7T'!O11</f>
        <v>0.60000000000000009</v>
      </c>
      <c r="K11" s="129">
        <f>'7J'!P11-'7T'!P11</f>
        <v>1.3000000000000003</v>
      </c>
      <c r="L11" s="249"/>
      <c r="M11" s="249"/>
      <c r="N11" s="249"/>
      <c r="O11" s="249"/>
      <c r="P11" s="249"/>
      <c r="Q11" s="249"/>
      <c r="R11" s="249"/>
      <c r="S11" s="249"/>
      <c r="T11" s="249"/>
    </row>
    <row r="12" spans="1:20">
      <c r="A12" s="248">
        <v>1968</v>
      </c>
      <c r="B12" s="129">
        <f>'7J'!G12-'7T'!G12</f>
        <v>786.8</v>
      </c>
      <c r="C12" s="129" t="s">
        <v>9</v>
      </c>
      <c r="D12" s="129" t="s">
        <v>9</v>
      </c>
      <c r="E12" s="129">
        <f>'7J'!J12-'7T'!J12</f>
        <v>1</v>
      </c>
      <c r="F12" s="129">
        <f>'7J'!K12-'7T'!K12</f>
        <v>1.7999999999999998</v>
      </c>
      <c r="G12" s="129">
        <f>'7J'!L12-'7T'!L12</f>
        <v>461.80000000000018</v>
      </c>
      <c r="H12" s="129" t="s">
        <v>9</v>
      </c>
      <c r="I12" s="129" t="s">
        <v>9</v>
      </c>
      <c r="J12" s="129">
        <f>'7J'!O12-'7T'!O12</f>
        <v>0.39999999999999997</v>
      </c>
      <c r="K12" s="129">
        <f>'7J'!P12-'7T'!P12</f>
        <v>0.20000000000000018</v>
      </c>
      <c r="L12" s="249"/>
      <c r="M12" s="249"/>
      <c r="N12" s="249"/>
      <c r="O12" s="249"/>
      <c r="P12" s="249"/>
      <c r="Q12" s="249"/>
      <c r="R12" s="249"/>
      <c r="S12" s="249"/>
      <c r="T12" s="249"/>
    </row>
    <row r="13" spans="1:20">
      <c r="A13" s="248">
        <v>1969</v>
      </c>
      <c r="B13" s="129">
        <f>'7J'!G13-'7T'!G13</f>
        <v>683.3</v>
      </c>
      <c r="C13" s="129" t="s">
        <v>9</v>
      </c>
      <c r="D13" s="129" t="s">
        <v>9</v>
      </c>
      <c r="E13" s="129">
        <f>'7J'!J13-'7T'!J13</f>
        <v>0.5</v>
      </c>
      <c r="F13" s="129">
        <f>'7J'!K13-'7T'!K13</f>
        <v>2.6000000000000014</v>
      </c>
      <c r="G13" s="129">
        <f>'7J'!L13-'7T'!L13</f>
        <v>393.20000000000005</v>
      </c>
      <c r="H13" s="129" t="s">
        <v>9</v>
      </c>
      <c r="I13" s="129" t="s">
        <v>9</v>
      </c>
      <c r="J13" s="129">
        <f>'7J'!O13-'7T'!O13</f>
        <v>9.9999999999999978E-2</v>
      </c>
      <c r="K13" s="129">
        <f>'7J'!P13-'7T'!P13</f>
        <v>0.59999999999999964</v>
      </c>
      <c r="L13" s="249"/>
      <c r="M13" s="249"/>
      <c r="N13" s="249"/>
      <c r="O13" s="249"/>
      <c r="P13" s="249"/>
      <c r="Q13" s="249"/>
      <c r="R13" s="249"/>
      <c r="S13" s="249"/>
      <c r="T13" s="249"/>
    </row>
    <row r="14" spans="1:20">
      <c r="A14" s="248">
        <v>1970</v>
      </c>
      <c r="B14" s="129">
        <f>'7J'!G14-'7T'!G14</f>
        <v>711.10000000000014</v>
      </c>
      <c r="C14" s="129" t="s">
        <v>9</v>
      </c>
      <c r="D14" s="129" t="s">
        <v>9</v>
      </c>
      <c r="E14" s="129">
        <f>'7J'!J14-'7T'!J14</f>
        <v>1.7999999999999998</v>
      </c>
      <c r="F14" s="129">
        <f>'7J'!K14-'7T'!K14</f>
        <v>1.9000000000000004</v>
      </c>
      <c r="G14" s="129">
        <f>'7J'!L14-'7T'!L14</f>
        <v>404.09999999999991</v>
      </c>
      <c r="H14" s="129" t="s">
        <v>9</v>
      </c>
      <c r="I14" s="129" t="s">
        <v>9</v>
      </c>
      <c r="J14" s="129">
        <f>'7J'!O14-'7T'!O14</f>
        <v>0.7</v>
      </c>
      <c r="K14" s="129">
        <f>'7J'!P14-'7T'!P14</f>
        <v>0.20000000000000018</v>
      </c>
      <c r="L14" s="249"/>
      <c r="M14" s="249"/>
      <c r="N14" s="249"/>
      <c r="O14" s="249"/>
      <c r="P14" s="249"/>
      <c r="Q14" s="249"/>
      <c r="R14" s="249"/>
      <c r="S14" s="249"/>
      <c r="T14" s="249"/>
    </row>
    <row r="15" spans="1:20">
      <c r="A15" s="248">
        <v>1971</v>
      </c>
      <c r="B15" s="129">
        <f>'7J'!G15-'7T'!G15</f>
        <v>753</v>
      </c>
      <c r="C15" s="129" t="s">
        <v>9</v>
      </c>
      <c r="D15" s="129" t="s">
        <v>9</v>
      </c>
      <c r="E15" s="129">
        <f>'7J'!J15-'7T'!J15</f>
        <v>1.5</v>
      </c>
      <c r="F15" s="129">
        <f>'7J'!K15-'7T'!K15</f>
        <v>0.5</v>
      </c>
      <c r="G15" s="129">
        <f>'7J'!L15-'7T'!L15</f>
        <v>431.59999999999991</v>
      </c>
      <c r="H15" s="129" t="s">
        <v>9</v>
      </c>
      <c r="I15" s="129" t="s">
        <v>9</v>
      </c>
      <c r="J15" s="129">
        <f>'7J'!O15-'7T'!O15</f>
        <v>0.5</v>
      </c>
      <c r="K15" s="129">
        <f>'7J'!P15-'7T'!P15</f>
        <v>-0.40000000000000036</v>
      </c>
      <c r="L15" s="249"/>
      <c r="M15" s="249"/>
      <c r="N15" s="249"/>
      <c r="O15" s="249"/>
      <c r="P15" s="249"/>
      <c r="Q15" s="249"/>
      <c r="R15" s="249"/>
      <c r="S15" s="249"/>
      <c r="T15" s="249"/>
    </row>
    <row r="16" spans="1:20">
      <c r="A16" s="248">
        <v>1972</v>
      </c>
      <c r="B16" s="129">
        <f>'7J'!G16-'7T'!G16</f>
        <v>557.5</v>
      </c>
      <c r="C16" s="129" t="s">
        <v>9</v>
      </c>
      <c r="D16" s="129" t="s">
        <v>9</v>
      </c>
      <c r="E16" s="129">
        <f>'7J'!J16-'7T'!J16</f>
        <v>0.10000000000000009</v>
      </c>
      <c r="F16" s="129">
        <f>'7J'!K16-'7T'!K16</f>
        <v>-1.2000000000000002</v>
      </c>
      <c r="G16" s="129">
        <f>'7J'!L16-'7T'!L16</f>
        <v>305.60000000000014</v>
      </c>
      <c r="H16" s="129" t="s">
        <v>9</v>
      </c>
      <c r="I16" s="129" t="s">
        <v>9</v>
      </c>
      <c r="J16" s="129">
        <f>'7J'!O16-'7T'!O16</f>
        <v>0</v>
      </c>
      <c r="K16" s="129">
        <f>'7J'!P16-'7T'!P16</f>
        <v>-1</v>
      </c>
      <c r="L16" s="249"/>
      <c r="M16" s="249"/>
      <c r="N16" s="249"/>
      <c r="O16" s="249"/>
      <c r="P16" s="249"/>
      <c r="Q16" s="249"/>
      <c r="R16" s="249"/>
      <c r="S16" s="249"/>
      <c r="T16" s="249"/>
    </row>
    <row r="17" spans="1:20">
      <c r="A17" s="248">
        <v>1973</v>
      </c>
      <c r="B17" s="129">
        <f>'7J'!G17-'7T'!G17</f>
        <v>365.40000000000009</v>
      </c>
      <c r="C17" s="129" t="s">
        <v>9</v>
      </c>
      <c r="D17" s="129" t="s">
        <v>9</v>
      </c>
      <c r="E17" s="129">
        <f>'7J'!J17-'7T'!J17</f>
        <v>-0.30000000000000004</v>
      </c>
      <c r="F17" s="129">
        <f>'7J'!K17-'7T'!K17</f>
        <v>0.29999999999999893</v>
      </c>
      <c r="G17" s="129">
        <f>'7J'!L17-'7T'!L17</f>
        <v>182.5</v>
      </c>
      <c r="H17" s="129" t="s">
        <v>9</v>
      </c>
      <c r="I17" s="129" t="s">
        <v>9</v>
      </c>
      <c r="J17" s="129">
        <f>'7J'!O17-'7T'!O17</f>
        <v>-0.30000000000000004</v>
      </c>
      <c r="K17" s="129">
        <f>'7J'!P17-'7T'!P17</f>
        <v>-0.39999999999999991</v>
      </c>
      <c r="L17" s="249"/>
      <c r="M17" s="249"/>
      <c r="N17" s="249"/>
      <c r="O17" s="249"/>
      <c r="P17" s="249"/>
      <c r="Q17" s="249"/>
      <c r="R17" s="249"/>
      <c r="S17" s="249"/>
      <c r="T17" s="249"/>
    </row>
    <row r="18" spans="1:20">
      <c r="A18" s="248">
        <v>1974</v>
      </c>
      <c r="B18" s="129">
        <f>'7J'!G18-'7T'!G18</f>
        <v>215.79999999999973</v>
      </c>
      <c r="C18" s="129" t="s">
        <v>9</v>
      </c>
      <c r="D18" s="129" t="s">
        <v>9</v>
      </c>
      <c r="E18" s="129">
        <f>'7J'!J18-'7T'!J18</f>
        <v>0.29999999999999982</v>
      </c>
      <c r="F18" s="129">
        <f>'7J'!K18-'7T'!K18</f>
        <v>-1.3999999999999995</v>
      </c>
      <c r="G18" s="129">
        <f>'7J'!L18-'7T'!L18</f>
        <v>87.200000000000045</v>
      </c>
      <c r="H18" s="129" t="s">
        <v>9</v>
      </c>
      <c r="I18" s="129" t="s">
        <v>9</v>
      </c>
      <c r="J18" s="129">
        <f>'7J'!O18-'7T'!O18</f>
        <v>0</v>
      </c>
      <c r="K18" s="129">
        <f>'7J'!P18-'7T'!P18</f>
        <v>-1.1000000000000001</v>
      </c>
      <c r="L18" s="249"/>
      <c r="M18" s="249"/>
      <c r="N18" s="249"/>
      <c r="O18" s="249"/>
      <c r="P18" s="249"/>
      <c r="Q18" s="249"/>
      <c r="R18" s="249"/>
      <c r="S18" s="249"/>
      <c r="T18" s="249"/>
    </row>
    <row r="19" spans="1:20">
      <c r="A19" s="248">
        <v>1975</v>
      </c>
      <c r="B19" s="129">
        <f>'7J'!G19-'7T'!G19</f>
        <v>198.59999999999991</v>
      </c>
      <c r="C19" s="129" t="s">
        <v>9</v>
      </c>
      <c r="D19" s="129" t="s">
        <v>9</v>
      </c>
      <c r="E19" s="129">
        <f>'7J'!J19-'7T'!J19</f>
        <v>1.2</v>
      </c>
      <c r="F19" s="129">
        <f>'7J'!K19-'7T'!K19</f>
        <v>2</v>
      </c>
      <c r="G19" s="129">
        <f>'7J'!L19-'7T'!L19</f>
        <v>75.600000000000136</v>
      </c>
      <c r="H19" s="129" t="s">
        <v>9</v>
      </c>
      <c r="I19" s="129" t="s">
        <v>9</v>
      </c>
      <c r="J19" s="129">
        <f>'7J'!O19-'7T'!O19</f>
        <v>0.29999999999999993</v>
      </c>
      <c r="K19" s="129">
        <f>'7J'!P19-'7T'!P19</f>
        <v>0.39999999999999947</v>
      </c>
      <c r="L19" s="249"/>
      <c r="M19" s="249"/>
      <c r="N19" s="249"/>
      <c r="O19" s="249"/>
      <c r="P19" s="249"/>
      <c r="Q19" s="249"/>
      <c r="R19" s="249"/>
      <c r="S19" s="249"/>
      <c r="T19" s="249"/>
    </row>
    <row r="20" spans="1:20">
      <c r="A20" s="248">
        <v>1976</v>
      </c>
      <c r="B20" s="129">
        <f>'7J'!G20-'7T'!G20</f>
        <v>424.19999999999982</v>
      </c>
      <c r="C20" s="129" t="s">
        <v>9</v>
      </c>
      <c r="D20" s="129" t="s">
        <v>9</v>
      </c>
      <c r="E20" s="129">
        <f>'7J'!J20-'7T'!J20</f>
        <v>2.2999999999999998</v>
      </c>
      <c r="F20" s="129">
        <f>'7J'!K20-'7T'!K20</f>
        <v>3.5</v>
      </c>
      <c r="G20" s="129">
        <f>'7J'!L20-'7T'!L20</f>
        <v>242.09999999999991</v>
      </c>
      <c r="H20" s="129" t="s">
        <v>9</v>
      </c>
      <c r="I20" s="129" t="s">
        <v>9</v>
      </c>
      <c r="J20" s="129">
        <f>'7J'!O20-'7T'!O20</f>
        <v>1.0000000000000002</v>
      </c>
      <c r="K20" s="129">
        <f>'7J'!P20-'7T'!P20</f>
        <v>3.2000000000000011</v>
      </c>
      <c r="L20" s="249"/>
      <c r="M20" s="249"/>
      <c r="N20" s="249"/>
      <c r="O20" s="249"/>
      <c r="P20" s="249"/>
      <c r="Q20" s="249"/>
      <c r="R20" s="249"/>
      <c r="S20" s="249"/>
      <c r="T20" s="249"/>
    </row>
    <row r="21" spans="1:20">
      <c r="A21" s="248">
        <v>1977</v>
      </c>
      <c r="B21" s="129">
        <f>'7J'!G21-'7T'!G21</f>
        <v>473.40000000000009</v>
      </c>
      <c r="C21" s="129" t="s">
        <v>9</v>
      </c>
      <c r="D21" s="129" t="s">
        <v>9</v>
      </c>
      <c r="E21" s="129">
        <f>'7J'!J21-'7T'!J21</f>
        <v>0.29999999999999982</v>
      </c>
      <c r="F21" s="129">
        <f>'7J'!K21-'7T'!K21</f>
        <v>3.2000000000000011</v>
      </c>
      <c r="G21" s="129">
        <f>'7J'!L21-'7T'!L21</f>
        <v>257.90000000000009</v>
      </c>
      <c r="H21" s="129" t="s">
        <v>9</v>
      </c>
      <c r="I21" s="129" t="s">
        <v>9</v>
      </c>
      <c r="J21" s="129">
        <f>'7J'!O21-'7T'!O21</f>
        <v>0.10000000000000009</v>
      </c>
      <c r="K21" s="129">
        <f>'7J'!P21-'7T'!P21</f>
        <v>2.1000000000000005</v>
      </c>
      <c r="L21" s="249"/>
      <c r="M21" s="249"/>
      <c r="N21" s="249"/>
      <c r="O21" s="249"/>
      <c r="P21" s="249"/>
      <c r="Q21" s="249"/>
      <c r="R21" s="249"/>
      <c r="S21" s="249"/>
      <c r="T21" s="249"/>
    </row>
    <row r="22" spans="1:20">
      <c r="A22" s="248">
        <v>1978</v>
      </c>
      <c r="B22" s="129">
        <f>'7J'!G22-'7T'!G22</f>
        <v>510.39999999999964</v>
      </c>
      <c r="C22" s="129" t="s">
        <v>9</v>
      </c>
      <c r="D22" s="129" t="s">
        <v>9</v>
      </c>
      <c r="E22" s="129">
        <f>'7J'!J22-'7T'!J22</f>
        <v>-1.4</v>
      </c>
      <c r="F22" s="129">
        <f>'7J'!K22-'7T'!K22</f>
        <v>-0.79999999999999893</v>
      </c>
      <c r="G22" s="129">
        <f>'7J'!L22-'7T'!L22</f>
        <v>267.79999999999973</v>
      </c>
      <c r="H22" s="129" t="s">
        <v>9</v>
      </c>
      <c r="I22" s="129" t="s">
        <v>9</v>
      </c>
      <c r="J22" s="129">
        <f>'7J'!O22-'7T'!O22</f>
        <v>-0.59999999999999987</v>
      </c>
      <c r="K22" s="129">
        <f>'7J'!P22-'7T'!P22</f>
        <v>-0.79999999999999982</v>
      </c>
      <c r="L22" s="249"/>
      <c r="M22" s="249"/>
      <c r="N22" s="249"/>
      <c r="O22" s="249"/>
      <c r="P22" s="249"/>
      <c r="Q22" s="249"/>
      <c r="R22" s="249"/>
      <c r="S22" s="249"/>
      <c r="T22" s="249"/>
    </row>
    <row r="23" spans="1:20">
      <c r="A23" s="248">
        <v>1979</v>
      </c>
      <c r="B23" s="129">
        <f>'7J'!G23-'7T'!G23</f>
        <v>421.70000000000027</v>
      </c>
      <c r="C23" s="129" t="s">
        <v>9</v>
      </c>
      <c r="D23" s="129" t="s">
        <v>9</v>
      </c>
      <c r="E23" s="129">
        <f>'7J'!J23-'7T'!J23</f>
        <v>0.5</v>
      </c>
      <c r="F23" s="129">
        <f>'7J'!K23-'7T'!K23</f>
        <v>3.5</v>
      </c>
      <c r="G23" s="129">
        <f>'7J'!L23-'7T'!L23</f>
        <v>202.30000000000018</v>
      </c>
      <c r="H23" s="129" t="s">
        <v>9</v>
      </c>
      <c r="I23" s="129" t="s">
        <v>9</v>
      </c>
      <c r="J23" s="129">
        <f>'7J'!O23-'7T'!O23</f>
        <v>0.20000000000000018</v>
      </c>
      <c r="K23" s="129">
        <f>'7J'!P23-'7T'!P23</f>
        <v>1.7000000000000002</v>
      </c>
      <c r="L23" s="249"/>
      <c r="M23" s="249"/>
      <c r="N23" s="249"/>
      <c r="O23" s="249"/>
      <c r="P23" s="249"/>
      <c r="Q23" s="249"/>
      <c r="R23" s="249"/>
      <c r="S23" s="249"/>
      <c r="T23" s="249"/>
    </row>
    <row r="24" spans="1:20">
      <c r="A24" s="248">
        <v>1980</v>
      </c>
      <c r="B24" s="129">
        <f>'7J'!G24-'7T'!G24</f>
        <v>569.40000000000009</v>
      </c>
      <c r="C24" s="129" t="s">
        <v>9</v>
      </c>
      <c r="D24" s="129" t="s">
        <v>9</v>
      </c>
      <c r="E24" s="129">
        <f>'7J'!J24-'7T'!J24</f>
        <v>2.0999999999999996</v>
      </c>
      <c r="F24" s="129">
        <f>'7J'!K24-'7T'!K24</f>
        <v>5.0999999999999996</v>
      </c>
      <c r="G24" s="129">
        <f>'7J'!L24-'7T'!L24</f>
        <v>305.20000000000027</v>
      </c>
      <c r="H24" s="129" t="s">
        <v>9</v>
      </c>
      <c r="I24" s="129" t="s">
        <v>9</v>
      </c>
      <c r="J24" s="129">
        <f>'7J'!O24-'7T'!O24</f>
        <v>1.0000000000000002</v>
      </c>
      <c r="K24" s="129">
        <f>'7J'!P24-'7T'!P24</f>
        <v>2.5999999999999996</v>
      </c>
      <c r="L24" s="249"/>
      <c r="M24" s="249"/>
      <c r="N24" s="249"/>
      <c r="O24" s="249"/>
      <c r="P24" s="249"/>
      <c r="Q24" s="249"/>
      <c r="R24" s="249"/>
      <c r="S24" s="249"/>
      <c r="T24" s="249"/>
    </row>
    <row r="25" spans="1:20">
      <c r="A25" s="248">
        <v>1981</v>
      </c>
      <c r="B25" s="129">
        <f>'7J'!G25-'7T'!G25</f>
        <v>961.10000000000036</v>
      </c>
      <c r="C25" s="129" t="s">
        <v>9</v>
      </c>
      <c r="D25" s="129" t="s">
        <v>9</v>
      </c>
      <c r="E25" s="129">
        <f>'7J'!J25-'7T'!J25</f>
        <v>1.2999999999999998</v>
      </c>
      <c r="F25" s="129">
        <f>'7J'!K25-'7T'!K25</f>
        <v>8.1000000000000014</v>
      </c>
      <c r="G25" s="129">
        <f>'7J'!L25-'7T'!L25</f>
        <v>575.69999999999982</v>
      </c>
      <c r="H25" s="129" t="s">
        <v>9</v>
      </c>
      <c r="I25" s="129" t="s">
        <v>9</v>
      </c>
      <c r="J25" s="129">
        <f>'7J'!O25-'7T'!O25</f>
        <v>0.60000000000000009</v>
      </c>
      <c r="K25" s="129">
        <f>'7J'!P25-'7T'!P25</f>
        <v>5.5</v>
      </c>
      <c r="L25" s="249"/>
      <c r="M25" s="249"/>
      <c r="N25" s="249"/>
      <c r="O25" s="249"/>
      <c r="P25" s="249"/>
      <c r="Q25" s="249"/>
      <c r="R25" s="249"/>
      <c r="S25" s="249"/>
      <c r="T25" s="249"/>
    </row>
    <row r="26" spans="1:20">
      <c r="A26" s="248">
        <v>1982</v>
      </c>
      <c r="B26" s="129">
        <f>'7J'!G26-'7T'!G26</f>
        <v>891.5</v>
      </c>
      <c r="C26" s="129" t="s">
        <v>9</v>
      </c>
      <c r="D26" s="129" t="s">
        <v>9</v>
      </c>
      <c r="E26" s="129">
        <f>'7J'!J26-'7T'!J26</f>
        <v>0</v>
      </c>
      <c r="F26" s="129">
        <f>'7J'!K26-'7T'!K26</f>
        <v>6.9000000000000021</v>
      </c>
      <c r="G26" s="129">
        <f>'7J'!L26-'7T'!L26</f>
        <v>552.5</v>
      </c>
      <c r="H26" s="129" t="s">
        <v>9</v>
      </c>
      <c r="I26" s="129" t="s">
        <v>9</v>
      </c>
      <c r="J26" s="129">
        <f>'7J'!O26-'7T'!O26</f>
        <v>9.9999999999999645E-2</v>
      </c>
      <c r="K26" s="129">
        <f>'7J'!P26-'7T'!P26</f>
        <v>5.1999999999999993</v>
      </c>
      <c r="L26" s="249"/>
      <c r="M26" s="249"/>
      <c r="N26" s="249"/>
      <c r="O26" s="249"/>
      <c r="P26" s="249"/>
      <c r="Q26" s="249"/>
      <c r="R26" s="249"/>
      <c r="S26" s="249"/>
      <c r="T26" s="249"/>
    </row>
    <row r="27" spans="1:20">
      <c r="A27" s="248">
        <v>1983</v>
      </c>
      <c r="B27" s="129">
        <f>'7J'!G27-'7T'!G27</f>
        <v>596.80000000000018</v>
      </c>
      <c r="C27" s="129" t="s">
        <v>9</v>
      </c>
      <c r="D27" s="129" t="s">
        <v>9</v>
      </c>
      <c r="E27" s="129">
        <f>'7J'!J27-'7T'!J27</f>
        <v>0.20000000000000018</v>
      </c>
      <c r="F27" s="129">
        <f>'7J'!K27-'7T'!K27</f>
        <v>0.19999999999999929</v>
      </c>
      <c r="G27" s="129">
        <f>'7J'!L27-'7T'!L27</f>
        <v>381.59999999999991</v>
      </c>
      <c r="H27" s="129" t="s">
        <v>9</v>
      </c>
      <c r="I27" s="129" t="s">
        <v>9</v>
      </c>
      <c r="J27" s="129">
        <f>'7J'!O27-'7T'!O27</f>
        <v>0</v>
      </c>
      <c r="K27" s="129">
        <f>'7J'!P27-'7T'!P27</f>
        <v>-0.70000000000000107</v>
      </c>
      <c r="L27" s="249"/>
      <c r="M27" s="249"/>
      <c r="N27" s="249"/>
      <c r="O27" s="249"/>
      <c r="P27" s="249"/>
      <c r="Q27" s="249"/>
      <c r="R27" s="249"/>
      <c r="S27" s="249"/>
      <c r="T27" s="249"/>
    </row>
    <row r="28" spans="1:20">
      <c r="A28" s="248">
        <v>1984</v>
      </c>
      <c r="B28" s="129">
        <f>'7J'!G28-'7T'!G28</f>
        <v>846.29999999999973</v>
      </c>
      <c r="C28" s="129" t="s">
        <v>9</v>
      </c>
      <c r="D28" s="129" t="s">
        <v>9</v>
      </c>
      <c r="E28" s="129">
        <f>'7J'!J28-'7T'!J28</f>
        <v>0.29999999999999982</v>
      </c>
      <c r="F28" s="129">
        <f>'7J'!K28-'7T'!K28</f>
        <v>3.5</v>
      </c>
      <c r="G28" s="129">
        <f>'7J'!L28-'7T'!L28</f>
        <v>574</v>
      </c>
      <c r="H28" s="129" t="s">
        <v>9</v>
      </c>
      <c r="I28" s="129" t="s">
        <v>9</v>
      </c>
      <c r="J28" s="129">
        <f>'7J'!O28-'7T'!O28</f>
        <v>0.20000000000000018</v>
      </c>
      <c r="K28" s="129">
        <f>'7J'!P28-'7T'!P28</f>
        <v>2</v>
      </c>
      <c r="L28" s="249"/>
      <c r="M28" s="249"/>
      <c r="N28" s="249"/>
      <c r="O28" s="249"/>
      <c r="P28" s="249"/>
      <c r="Q28" s="249"/>
      <c r="R28" s="249"/>
      <c r="S28" s="249"/>
      <c r="T28" s="249"/>
    </row>
    <row r="29" spans="1:20">
      <c r="A29" s="248">
        <v>1985</v>
      </c>
      <c r="B29" s="129">
        <f>'7J'!G29-'7T'!G29</f>
        <v>841.60000000000036</v>
      </c>
      <c r="C29" s="129" t="s">
        <v>9</v>
      </c>
      <c r="D29" s="129" t="s">
        <v>9</v>
      </c>
      <c r="E29" s="129">
        <f>'7J'!J29-'7T'!J29</f>
        <v>0.49999999999999956</v>
      </c>
      <c r="F29" s="129">
        <f>'7J'!K29-'7T'!K29</f>
        <v>4.5</v>
      </c>
      <c r="G29" s="129">
        <f>'7J'!L29-'7T'!L29</f>
        <v>584.19999999999982</v>
      </c>
      <c r="H29" s="129" t="s">
        <v>9</v>
      </c>
      <c r="I29" s="129" t="s">
        <v>9</v>
      </c>
      <c r="J29" s="129">
        <f>'7J'!O29-'7T'!O29</f>
        <v>0.10000000000000009</v>
      </c>
      <c r="K29" s="129">
        <f>'7J'!P29-'7T'!P29</f>
        <v>2.7999999999999989</v>
      </c>
      <c r="L29" s="249"/>
      <c r="M29" s="249"/>
      <c r="N29" s="249"/>
      <c r="O29" s="249"/>
      <c r="P29" s="249"/>
      <c r="Q29" s="249"/>
      <c r="R29" s="249"/>
      <c r="S29" s="249"/>
      <c r="T29" s="249"/>
    </row>
    <row r="30" spans="1:20">
      <c r="A30" s="248">
        <v>1986</v>
      </c>
      <c r="B30" s="129">
        <f>'7J'!G30-'7T'!G30</f>
        <v>857.59999999999945</v>
      </c>
      <c r="C30" s="129" t="s">
        <v>9</v>
      </c>
      <c r="D30" s="129" t="s">
        <v>9</v>
      </c>
      <c r="E30" s="129">
        <f>'7J'!J30-'7T'!J30</f>
        <v>0.60000000000000053</v>
      </c>
      <c r="F30" s="129">
        <f>'7J'!K30-'7T'!K30</f>
        <v>1.6000000000000014</v>
      </c>
      <c r="G30" s="129">
        <f>'7J'!L30-'7T'!L30</f>
        <v>668.59999999999945</v>
      </c>
      <c r="H30" s="129" t="s">
        <v>9</v>
      </c>
      <c r="I30" s="129" t="s">
        <v>9</v>
      </c>
      <c r="J30" s="129">
        <f>'7J'!O30-'7T'!O30</f>
        <v>0.20000000000000018</v>
      </c>
      <c r="K30" s="129">
        <f>'7J'!P30-'7T'!P30</f>
        <v>0.59999999999999964</v>
      </c>
      <c r="L30" s="249"/>
      <c r="M30" s="249"/>
      <c r="N30" s="249"/>
      <c r="O30" s="249"/>
      <c r="P30" s="249"/>
      <c r="Q30" s="249"/>
      <c r="R30" s="249"/>
      <c r="S30" s="249"/>
      <c r="T30" s="249"/>
    </row>
    <row r="31" spans="1:20">
      <c r="A31" s="248">
        <v>1987</v>
      </c>
      <c r="B31" s="129">
        <f>'7J'!G31-'7T'!G31</f>
        <v>815.69999999999982</v>
      </c>
      <c r="C31" s="129" t="s">
        <v>9</v>
      </c>
      <c r="D31" s="129" t="s">
        <v>9</v>
      </c>
      <c r="E31" s="129">
        <f>'7J'!J31-'7T'!J31</f>
        <v>2.6000000000000005</v>
      </c>
      <c r="F31" s="129">
        <f>'7J'!K31-'7T'!K31</f>
        <v>2.8000000000000007</v>
      </c>
      <c r="G31" s="129">
        <f>'7J'!L31-'7T'!L31</f>
        <v>644.5</v>
      </c>
      <c r="H31" s="129" t="s">
        <v>9</v>
      </c>
      <c r="I31" s="129" t="s">
        <v>9</v>
      </c>
      <c r="J31" s="129">
        <f>'7J'!O31-'7T'!O31</f>
        <v>1.7999999999999998</v>
      </c>
      <c r="K31" s="129">
        <f>'7J'!P31-'7T'!P31</f>
        <v>2</v>
      </c>
      <c r="L31" s="249"/>
      <c r="M31" s="249"/>
      <c r="N31" s="249"/>
      <c r="O31" s="249"/>
      <c r="P31" s="249"/>
      <c r="Q31" s="249"/>
      <c r="R31" s="249"/>
      <c r="S31" s="249"/>
      <c r="T31" s="249"/>
    </row>
    <row r="32" spans="1:20">
      <c r="A32" s="248">
        <v>1988</v>
      </c>
      <c r="B32" s="129">
        <f>'7J'!G32-'7T'!G32</f>
        <v>1218.3000000000002</v>
      </c>
      <c r="C32" s="129" t="s">
        <v>9</v>
      </c>
      <c r="D32" s="129" t="s">
        <v>9</v>
      </c>
      <c r="E32" s="129">
        <f>'7J'!J32-'7T'!J32</f>
        <v>3.3</v>
      </c>
      <c r="F32" s="129">
        <f>'7J'!K32-'7T'!K32</f>
        <v>7.7000000000000028</v>
      </c>
      <c r="G32" s="129">
        <f>'7J'!L32-'7T'!L32</f>
        <v>988.59999999999991</v>
      </c>
      <c r="H32" s="129" t="s">
        <v>9</v>
      </c>
      <c r="I32" s="129" t="s">
        <v>9</v>
      </c>
      <c r="J32" s="129">
        <f>'7J'!O32-'7T'!O32</f>
        <v>2.4000000000000004</v>
      </c>
      <c r="K32" s="129">
        <f>'7J'!P32-'7T'!P32</f>
        <v>5.8000000000000007</v>
      </c>
      <c r="L32" s="249"/>
      <c r="M32" s="249"/>
      <c r="N32" s="249"/>
      <c r="O32" s="249"/>
      <c r="P32" s="249"/>
      <c r="Q32" s="249"/>
      <c r="R32" s="249"/>
      <c r="S32" s="249"/>
      <c r="T32" s="249"/>
    </row>
    <row r="33" spans="1:20">
      <c r="A33" s="248">
        <v>1989</v>
      </c>
      <c r="B33" s="129">
        <f>'7J'!G33-'7T'!G33</f>
        <v>892.5</v>
      </c>
      <c r="C33" s="129" t="s">
        <v>9</v>
      </c>
      <c r="D33" s="129" t="s">
        <v>9</v>
      </c>
      <c r="E33" s="129">
        <f>'7J'!J33-'7T'!J33</f>
        <v>9.9999999999999645E-2</v>
      </c>
      <c r="F33" s="129">
        <f>'7J'!K33-'7T'!K33</f>
        <v>14.500000000000004</v>
      </c>
      <c r="G33" s="129">
        <f>'7J'!L33-'7T'!L33</f>
        <v>852.69999999999982</v>
      </c>
      <c r="H33" s="129" t="s">
        <v>9</v>
      </c>
      <c r="I33" s="129" t="s">
        <v>9</v>
      </c>
      <c r="J33" s="129">
        <f>'7J'!O33-'7T'!O33</f>
        <v>-0.19999999999999929</v>
      </c>
      <c r="K33" s="129">
        <f>'7J'!P33-'7T'!P33</f>
        <v>13.100000000000001</v>
      </c>
      <c r="L33" s="249"/>
      <c r="M33" s="249"/>
      <c r="N33" s="249"/>
      <c r="O33" s="249"/>
      <c r="P33" s="249"/>
      <c r="Q33" s="249"/>
      <c r="R33" s="249"/>
      <c r="S33" s="249"/>
      <c r="T33" s="249"/>
    </row>
    <row r="34" spans="1:20">
      <c r="A34" s="248">
        <v>1990</v>
      </c>
      <c r="B34" s="129">
        <f>'7J'!G34-'7T'!G34</f>
        <v>1166.8999999999996</v>
      </c>
      <c r="C34" s="129" t="s">
        <v>9</v>
      </c>
      <c r="D34" s="129" t="s">
        <v>9</v>
      </c>
      <c r="E34" s="129">
        <f>'7J'!J34-'7T'!J34</f>
        <v>-2.9000000000000004</v>
      </c>
      <c r="F34" s="129">
        <f>'7J'!K34-'7T'!K34</f>
        <v>8.5</v>
      </c>
      <c r="G34" s="129">
        <f>'7J'!L34-'7T'!L34</f>
        <v>1067.6999999999998</v>
      </c>
      <c r="H34" s="129" t="s">
        <v>9</v>
      </c>
      <c r="I34" s="129" t="s">
        <v>9</v>
      </c>
      <c r="J34" s="129">
        <f>'7J'!O34-'7T'!O34</f>
        <v>-2.1999999999999997</v>
      </c>
      <c r="K34" s="129">
        <f>'7J'!P34-'7T'!P34</f>
        <v>7.1999999999999993</v>
      </c>
      <c r="L34" s="249"/>
      <c r="M34" s="249"/>
      <c r="N34" s="249"/>
      <c r="O34" s="249"/>
      <c r="P34" s="249"/>
      <c r="Q34" s="249"/>
      <c r="R34" s="249"/>
      <c r="S34" s="249"/>
      <c r="T34" s="249"/>
    </row>
    <row r="35" spans="1:20">
      <c r="A35" s="248">
        <v>1991</v>
      </c>
      <c r="B35" s="129">
        <f>'7J'!G35-'7T'!G35</f>
        <v>978.09999999999945</v>
      </c>
      <c r="C35" s="129" t="s">
        <v>9</v>
      </c>
      <c r="D35" s="129" t="s">
        <v>9</v>
      </c>
      <c r="E35" s="129">
        <f>'7J'!J35-'7T'!J35</f>
        <v>9.9999999999999645E-2</v>
      </c>
      <c r="F35" s="129">
        <f>'7J'!K35-'7T'!K35</f>
        <v>3.3999999999999986</v>
      </c>
      <c r="G35" s="129">
        <f>'7J'!L35-'7T'!L35</f>
        <v>871.5</v>
      </c>
      <c r="H35" s="129" t="s">
        <v>9</v>
      </c>
      <c r="I35" s="129" t="s">
        <v>9</v>
      </c>
      <c r="J35" s="129">
        <f>'7J'!O35-'7T'!O35</f>
        <v>-0.29999999999999982</v>
      </c>
      <c r="K35" s="129">
        <f>'7J'!P35-'7T'!P35</f>
        <v>1.9000000000000021</v>
      </c>
      <c r="L35" s="249"/>
      <c r="M35" s="249"/>
      <c r="N35" s="249"/>
      <c r="O35" s="249"/>
      <c r="P35" s="249"/>
      <c r="Q35" s="249"/>
      <c r="R35" s="249"/>
      <c r="S35" s="249"/>
      <c r="T35" s="249"/>
    </row>
    <row r="36" spans="1:20">
      <c r="A36" s="248">
        <v>1992</v>
      </c>
      <c r="B36" s="129">
        <f>'7J'!G36-'7T'!G36</f>
        <v>984.29999999999927</v>
      </c>
      <c r="C36" s="129" t="s">
        <v>9</v>
      </c>
      <c r="D36" s="129" t="s">
        <v>9</v>
      </c>
      <c r="E36" s="129">
        <f>'7J'!J36-'7T'!J36</f>
        <v>1.3000000000000007</v>
      </c>
      <c r="F36" s="129">
        <f>'7J'!K36-'7T'!K36</f>
        <v>3.8999999999999986</v>
      </c>
      <c r="G36" s="129">
        <f>'7J'!L36-'7T'!L36</f>
        <v>958.39999999999964</v>
      </c>
      <c r="H36" s="129" t="s">
        <v>9</v>
      </c>
      <c r="I36" s="129" t="s">
        <v>9</v>
      </c>
      <c r="J36" s="129">
        <f>'7J'!O36-'7T'!O36</f>
        <v>0.80000000000000071</v>
      </c>
      <c r="K36" s="129">
        <f>'7J'!P36-'7T'!P36</f>
        <v>3.9000000000000021</v>
      </c>
      <c r="L36" s="249"/>
      <c r="M36" s="249"/>
      <c r="N36" s="249"/>
      <c r="O36" s="249"/>
      <c r="P36" s="249"/>
      <c r="Q36" s="249"/>
      <c r="R36" s="249"/>
      <c r="S36" s="249"/>
      <c r="T36" s="249"/>
    </row>
    <row r="37" spans="1:20">
      <c r="A37" s="248">
        <v>1993</v>
      </c>
      <c r="B37" s="129">
        <f>'7J'!G37-'7T'!G37</f>
        <v>1149.5</v>
      </c>
      <c r="C37" s="129" t="s">
        <v>9</v>
      </c>
      <c r="D37" s="129" t="s">
        <v>9</v>
      </c>
      <c r="E37" s="129">
        <f>'7J'!J37-'7T'!J37</f>
        <v>3.3999999999999995</v>
      </c>
      <c r="F37" s="129">
        <f>'7J'!K37-'7T'!K37</f>
        <v>-1.3999999999999986</v>
      </c>
      <c r="G37" s="129">
        <f>'7J'!L37-'7T'!L37</f>
        <v>1180.1999999999998</v>
      </c>
      <c r="H37" s="129" t="s">
        <v>9</v>
      </c>
      <c r="I37" s="129" t="s">
        <v>9</v>
      </c>
      <c r="J37" s="129">
        <f>'7J'!O37-'7T'!O37</f>
        <v>2.5</v>
      </c>
      <c r="K37" s="129">
        <f>'7J'!P37-'7T'!P37</f>
        <v>-0.40000000000000213</v>
      </c>
      <c r="L37" s="249"/>
      <c r="M37" s="249"/>
      <c r="N37" s="249"/>
      <c r="O37" s="249"/>
      <c r="P37" s="249"/>
      <c r="Q37" s="249"/>
      <c r="R37" s="249"/>
      <c r="S37" s="249"/>
      <c r="T37" s="249"/>
    </row>
    <row r="38" spans="1:20">
      <c r="A38" s="248">
        <v>1994</v>
      </c>
      <c r="B38" s="129">
        <f>'7J'!G38-'7T'!G38</f>
        <v>1639</v>
      </c>
      <c r="C38" s="129" t="s">
        <v>9</v>
      </c>
      <c r="D38" s="129" t="s">
        <v>9</v>
      </c>
      <c r="E38" s="129">
        <f>'7J'!J38-'7T'!J38</f>
        <v>6.7</v>
      </c>
      <c r="F38" s="129">
        <f>'7J'!K38-'7T'!K38</f>
        <v>-2.8999999999999986</v>
      </c>
      <c r="G38" s="129">
        <f>'7J'!L38-'7T'!L38</f>
        <v>1628.5</v>
      </c>
      <c r="H38" s="129" t="s">
        <v>9</v>
      </c>
      <c r="I38" s="129" t="s">
        <v>9</v>
      </c>
      <c r="J38" s="129">
        <f>'7J'!O38-'7T'!O38</f>
        <v>4.9000000000000004</v>
      </c>
      <c r="K38" s="129">
        <f>'7J'!P38-'7T'!P38</f>
        <v>-2.8000000000000007</v>
      </c>
      <c r="L38" s="249"/>
      <c r="M38" s="249"/>
      <c r="N38" s="249"/>
      <c r="O38" s="249"/>
      <c r="P38" s="249"/>
      <c r="Q38" s="249"/>
      <c r="R38" s="249"/>
      <c r="S38" s="249"/>
      <c r="T38" s="249"/>
    </row>
    <row r="39" spans="1:20">
      <c r="A39" s="248">
        <v>1995</v>
      </c>
      <c r="B39" s="129">
        <f>'7J'!G39-'7T'!G39</f>
        <v>1330.3000000000002</v>
      </c>
      <c r="C39" s="129" t="s">
        <v>9</v>
      </c>
      <c r="D39" s="129" t="s">
        <v>9</v>
      </c>
      <c r="E39" s="129">
        <f>'7J'!J39-'7T'!J39</f>
        <v>10.900000000000002</v>
      </c>
      <c r="F39" s="129">
        <f>'7J'!K39-'7T'!K39</f>
        <v>29.800000000000004</v>
      </c>
      <c r="G39" s="129">
        <f>'7J'!L39-'7T'!L39</f>
        <v>1317.9000000000005</v>
      </c>
      <c r="H39" s="129" t="s">
        <v>9</v>
      </c>
      <c r="I39" s="129" t="s">
        <v>9</v>
      </c>
      <c r="J39" s="129">
        <f>'7J'!O39-'7T'!O39</f>
        <v>8.3999999999999986</v>
      </c>
      <c r="K39" s="129">
        <f>'7J'!P39-'7T'!P39</f>
        <v>29.400000000000006</v>
      </c>
      <c r="L39" s="249"/>
      <c r="M39" s="249"/>
      <c r="N39" s="249"/>
      <c r="O39" s="249"/>
      <c r="P39" s="249"/>
      <c r="Q39" s="249"/>
      <c r="R39" s="249"/>
      <c r="S39" s="249"/>
      <c r="T39" s="249"/>
    </row>
    <row r="40" spans="1:20">
      <c r="A40" s="248">
        <v>1996</v>
      </c>
      <c r="B40" s="129">
        <f>'7J'!G40-'7T'!G40</f>
        <v>1527.8999999999996</v>
      </c>
      <c r="C40" s="129" t="s">
        <v>9</v>
      </c>
      <c r="D40" s="129" t="s">
        <v>9</v>
      </c>
      <c r="E40" s="129">
        <f>'7J'!J40-'7T'!J40</f>
        <v>3.7999999999999989</v>
      </c>
      <c r="F40" s="129">
        <f>'7J'!K40-'7T'!K40</f>
        <v>11.600000000000001</v>
      </c>
      <c r="G40" s="129">
        <f>'7J'!L40-'7T'!L40</f>
        <v>1552.7999999999993</v>
      </c>
      <c r="H40" s="129" t="s">
        <v>9</v>
      </c>
      <c r="I40" s="129" t="s">
        <v>9</v>
      </c>
      <c r="J40" s="129">
        <f>'7J'!O40-'7T'!O40</f>
        <v>2.5</v>
      </c>
      <c r="K40" s="129">
        <f>'7J'!P40-'7T'!P40</f>
        <v>11.600000000000001</v>
      </c>
      <c r="L40" s="249"/>
      <c r="M40" s="249"/>
      <c r="N40" s="249"/>
      <c r="O40" s="249"/>
      <c r="P40" s="249"/>
      <c r="Q40" s="249"/>
      <c r="R40" s="249"/>
      <c r="S40" s="249"/>
      <c r="T40" s="249"/>
    </row>
    <row r="41" spans="1:20">
      <c r="A41" s="248">
        <v>1997</v>
      </c>
      <c r="B41" s="129">
        <f>'7J'!G41-'7T'!G41</f>
        <v>1415.1000000000004</v>
      </c>
      <c r="C41" s="129" t="s">
        <v>9</v>
      </c>
      <c r="D41" s="129" t="s">
        <v>9</v>
      </c>
      <c r="E41" s="129">
        <f>'7J'!J41-'7T'!J41</f>
        <v>5.6999999999999993</v>
      </c>
      <c r="F41" s="129">
        <f>'7J'!K41-'7T'!K41</f>
        <v>-13</v>
      </c>
      <c r="G41" s="129">
        <f>'7J'!L41-'7T'!L41</f>
        <v>1376.8999999999996</v>
      </c>
      <c r="H41" s="129" t="s">
        <v>9</v>
      </c>
      <c r="I41" s="129" t="s">
        <v>9</v>
      </c>
      <c r="J41" s="129">
        <f>'7J'!O41-'7T'!O41</f>
        <v>3.6999999999999993</v>
      </c>
      <c r="K41" s="129">
        <f>'7J'!P41-'7T'!P41</f>
        <v>-13.5</v>
      </c>
      <c r="L41" s="249"/>
      <c r="M41" s="249"/>
      <c r="N41" s="249"/>
      <c r="O41" s="249"/>
      <c r="P41" s="249"/>
      <c r="Q41" s="249"/>
      <c r="R41" s="249"/>
      <c r="S41" s="249"/>
      <c r="T41" s="249"/>
    </row>
    <row r="42" spans="1:20">
      <c r="A42" s="248">
        <v>1998</v>
      </c>
      <c r="B42" s="129">
        <f>'7J'!G42-'7T'!G42</f>
        <v>1794.6000000000004</v>
      </c>
      <c r="C42" s="129" t="s">
        <v>9</v>
      </c>
      <c r="D42" s="129" t="s">
        <v>9</v>
      </c>
      <c r="E42" s="129">
        <f>'7J'!J42-'7T'!J42</f>
        <v>-6.5</v>
      </c>
      <c r="F42" s="129">
        <f>'7J'!K42-'7T'!K42</f>
        <v>-23.499999999999996</v>
      </c>
      <c r="G42" s="129">
        <f>'7J'!L42-'7T'!L42</f>
        <v>1882</v>
      </c>
      <c r="H42" s="129" t="s">
        <v>9</v>
      </c>
      <c r="I42" s="129" t="s">
        <v>9</v>
      </c>
      <c r="J42" s="129">
        <f>'7J'!O42-'7T'!O42</f>
        <v>-5.8</v>
      </c>
      <c r="K42" s="129">
        <f>'7J'!P42-'7T'!P42</f>
        <v>-23.5</v>
      </c>
      <c r="L42" s="249"/>
      <c r="M42" s="249"/>
      <c r="N42" s="249"/>
      <c r="O42" s="249"/>
      <c r="P42" s="249"/>
      <c r="Q42" s="249"/>
      <c r="R42" s="249"/>
      <c r="S42" s="249"/>
      <c r="T42" s="249"/>
    </row>
    <row r="43" spans="1:20">
      <c r="A43" s="248">
        <v>1999</v>
      </c>
      <c r="B43" s="129">
        <f>'7J'!G43-'7T'!G43</f>
        <v>1142.2000000000007</v>
      </c>
      <c r="C43" s="129" t="s">
        <v>9</v>
      </c>
      <c r="D43" s="129" t="s">
        <v>9</v>
      </c>
      <c r="E43" s="129">
        <f>'7J'!J43-'7T'!J43</f>
        <v>2.8000000000000007</v>
      </c>
      <c r="F43" s="129">
        <f>'7J'!K43-'7T'!K43</f>
        <v>-17.999999999999996</v>
      </c>
      <c r="G43" s="129">
        <f>'7J'!L43-'7T'!L43</f>
        <v>1165.5</v>
      </c>
      <c r="H43" s="129" t="s">
        <v>9</v>
      </c>
      <c r="I43" s="129" t="s">
        <v>9</v>
      </c>
      <c r="J43" s="129">
        <f>'7J'!O43-'7T'!O43</f>
        <v>2.1999999999999993</v>
      </c>
      <c r="K43" s="129">
        <f>'7J'!P43-'7T'!P43</f>
        <v>-17.600000000000001</v>
      </c>
      <c r="L43" s="249"/>
      <c r="M43" s="249"/>
      <c r="N43" s="249"/>
      <c r="O43" s="249"/>
      <c r="P43" s="249"/>
      <c r="Q43" s="249"/>
      <c r="R43" s="249"/>
      <c r="S43" s="249"/>
      <c r="T43" s="249"/>
    </row>
    <row r="44" spans="1:20">
      <c r="A44" s="248">
        <v>2000</v>
      </c>
      <c r="B44" s="129">
        <f>'7J'!G44-'7T'!G44</f>
        <v>2503.4000000000015</v>
      </c>
      <c r="C44" s="129" t="s">
        <v>9</v>
      </c>
      <c r="D44" s="129" t="s">
        <v>9</v>
      </c>
      <c r="E44" s="129">
        <f>'7J'!J44-'7T'!J44</f>
        <v>9.9999999999999645E-2</v>
      </c>
      <c r="F44" s="129">
        <f>'7J'!K44-'7T'!K44</f>
        <v>70</v>
      </c>
      <c r="G44" s="129">
        <f>'7J'!L44-'7T'!L44</f>
        <v>2498.8999999999996</v>
      </c>
      <c r="H44" s="129" t="s">
        <v>9</v>
      </c>
      <c r="I44" s="129" t="s">
        <v>9</v>
      </c>
      <c r="J44" s="129">
        <f>'7J'!O44-'7T'!O44</f>
        <v>-0.19999999999999929</v>
      </c>
      <c r="K44" s="129">
        <f>'7J'!P44-'7T'!P44</f>
        <v>65.8</v>
      </c>
      <c r="L44" s="249"/>
      <c r="M44" s="249"/>
      <c r="N44" s="249"/>
      <c r="O44" s="249"/>
      <c r="P44" s="249"/>
      <c r="Q44" s="249"/>
      <c r="R44" s="249"/>
      <c r="S44" s="249"/>
      <c r="T44" s="249"/>
    </row>
    <row r="45" spans="1:20">
      <c r="A45" s="248">
        <v>2001</v>
      </c>
      <c r="B45" s="129">
        <f>'7J'!G45-'7T'!G45</f>
        <v>2197.7000000000007</v>
      </c>
      <c r="C45" s="129" t="s">
        <v>9</v>
      </c>
      <c r="D45" s="129" t="s">
        <v>9</v>
      </c>
      <c r="E45" s="129">
        <f>'7J'!J45-'7T'!J45</f>
        <v>1.2000000000000011</v>
      </c>
      <c r="F45" s="129">
        <f>'7J'!K45-'7T'!K45</f>
        <v>77.099999999999994</v>
      </c>
      <c r="G45" s="129">
        <f>'7J'!L45-'7T'!L45</f>
        <v>2669.5</v>
      </c>
      <c r="H45" s="129" t="s">
        <v>9</v>
      </c>
      <c r="I45" s="129" t="s">
        <v>9</v>
      </c>
      <c r="J45" s="129">
        <f>'7J'!O45-'7T'!O45</f>
        <v>1.1999999999999993</v>
      </c>
      <c r="K45" s="129">
        <f>'7J'!P45-'7T'!P45</f>
        <v>73.2</v>
      </c>
      <c r="L45" s="249"/>
      <c r="M45" s="249"/>
      <c r="N45" s="249"/>
      <c r="O45" s="249"/>
      <c r="P45" s="249"/>
      <c r="Q45" s="249"/>
      <c r="R45" s="249"/>
      <c r="S45" s="249"/>
      <c r="T45" s="249"/>
    </row>
    <row r="46" spans="1:20">
      <c r="A46" s="248">
        <v>2002</v>
      </c>
      <c r="B46" s="129">
        <f>'7J'!G46-'7T'!G46</f>
        <v>2258.3999999999996</v>
      </c>
      <c r="C46" s="129" t="s">
        <v>9</v>
      </c>
      <c r="D46" s="129" t="s">
        <v>9</v>
      </c>
      <c r="E46" s="129">
        <f>'7J'!J46-'7T'!J46</f>
        <v>5.7999999999999989</v>
      </c>
      <c r="F46" s="129">
        <f>'7J'!K46-'7T'!K46</f>
        <v>39.5</v>
      </c>
      <c r="G46" s="129">
        <f>'7J'!L46-'7T'!L46</f>
        <v>2392.5</v>
      </c>
      <c r="H46" s="129" t="s">
        <v>9</v>
      </c>
      <c r="I46" s="129" t="s">
        <v>9</v>
      </c>
      <c r="J46" s="129">
        <f>'7J'!O46-'7T'!O46</f>
        <v>4.6999999999999993</v>
      </c>
      <c r="K46" s="129">
        <f>'7J'!P46-'7T'!P46</f>
        <v>37</v>
      </c>
      <c r="L46" s="249"/>
      <c r="M46" s="249"/>
      <c r="N46" s="249"/>
      <c r="O46" s="249"/>
      <c r="P46" s="249"/>
      <c r="Q46" s="249"/>
      <c r="R46" s="249"/>
      <c r="S46" s="249"/>
      <c r="T46" s="249"/>
    </row>
    <row r="47" spans="1:20">
      <c r="A47" s="248">
        <v>2003</v>
      </c>
      <c r="B47" s="129">
        <f>'7J'!G47-'7T'!G47</f>
        <v>3017.7999999999993</v>
      </c>
      <c r="C47" s="129" t="s">
        <v>9</v>
      </c>
      <c r="D47" s="129" t="s">
        <v>9</v>
      </c>
      <c r="E47" s="129">
        <f>'7J'!J47-'7T'!J47</f>
        <v>1.8999999999999986</v>
      </c>
      <c r="F47" s="129">
        <f>'7J'!K47-'7T'!K47</f>
        <v>73</v>
      </c>
      <c r="G47" s="129">
        <f>'7J'!L47-'7T'!L47</f>
        <v>2931.3000000000011</v>
      </c>
      <c r="H47" s="129" t="s">
        <v>9</v>
      </c>
      <c r="I47" s="129" t="s">
        <v>9</v>
      </c>
      <c r="J47" s="129">
        <f>'7J'!O47-'7T'!O47</f>
        <v>2.3999999999999986</v>
      </c>
      <c r="K47" s="129">
        <f>'7J'!P47-'7T'!P47</f>
        <v>63.799999999999983</v>
      </c>
      <c r="L47" s="249"/>
      <c r="M47" s="249"/>
      <c r="N47" s="249"/>
      <c r="O47" s="249"/>
      <c r="P47" s="249"/>
      <c r="Q47" s="249"/>
      <c r="R47" s="249"/>
      <c r="S47" s="249"/>
      <c r="T47" s="249"/>
    </row>
    <row r="48" spans="1:20">
      <c r="A48" s="248">
        <v>2004</v>
      </c>
      <c r="B48" s="129">
        <f>'7J'!G48-'7T'!G48</f>
        <v>4279.5</v>
      </c>
      <c r="C48" s="129" t="s">
        <v>9</v>
      </c>
      <c r="D48" s="129" t="s">
        <v>9</v>
      </c>
      <c r="E48" s="129">
        <f>'7J'!J48-'7T'!J48</f>
        <v>8.3999999999999986</v>
      </c>
      <c r="F48" s="129">
        <f>'7J'!K48-'7T'!K48</f>
        <v>66.7</v>
      </c>
      <c r="G48" s="129">
        <f>'7J'!L48-'7T'!L48</f>
        <v>4153.3999999999996</v>
      </c>
      <c r="H48" s="129" t="s">
        <v>9</v>
      </c>
      <c r="I48" s="129" t="s">
        <v>9</v>
      </c>
      <c r="J48" s="129">
        <f>'7J'!O48-'7T'!O48</f>
        <v>8.1999999999999993</v>
      </c>
      <c r="K48" s="129">
        <f>'7J'!P48-'7T'!P48</f>
        <v>63.000000000000014</v>
      </c>
      <c r="L48" s="249"/>
      <c r="M48" s="249"/>
      <c r="N48" s="249"/>
      <c r="O48" s="249"/>
      <c r="P48" s="249"/>
      <c r="Q48" s="249"/>
      <c r="R48" s="249"/>
      <c r="S48" s="249"/>
      <c r="T48" s="249"/>
    </row>
    <row r="49" spans="1:20">
      <c r="A49" s="248">
        <v>2005</v>
      </c>
      <c r="B49" s="129">
        <f>'7J'!G49-'7T'!G49</f>
        <v>4054.3999999999996</v>
      </c>
      <c r="C49" s="129" t="s">
        <v>9</v>
      </c>
      <c r="D49" s="129" t="s">
        <v>9</v>
      </c>
      <c r="E49" s="129">
        <f>'7J'!J49-'7T'!J49</f>
        <v>1.3000000000000007</v>
      </c>
      <c r="F49" s="129">
        <f>'7J'!K49-'7T'!K49</f>
        <v>2.6000000000000085</v>
      </c>
      <c r="G49" s="129">
        <f>'7J'!L49-'7T'!L49</f>
        <v>4086.3999999999996</v>
      </c>
      <c r="H49" s="129" t="s">
        <v>9</v>
      </c>
      <c r="I49" s="129" t="s">
        <v>9</v>
      </c>
      <c r="J49" s="129">
        <f>'7J'!O49-'7T'!O49</f>
        <v>1.4000000000000021</v>
      </c>
      <c r="K49" s="129">
        <f>'7J'!P49-'7T'!P49</f>
        <v>3.0999999999999943</v>
      </c>
      <c r="L49" s="249"/>
      <c r="M49" s="249"/>
      <c r="N49" s="249"/>
      <c r="O49" s="249"/>
      <c r="P49" s="249"/>
      <c r="Q49" s="249"/>
      <c r="R49" s="249"/>
      <c r="S49" s="249"/>
      <c r="T49" s="249"/>
    </row>
    <row r="50" spans="1:20">
      <c r="A50" s="248">
        <v>2006</v>
      </c>
      <c r="B50" s="129">
        <f>'7J'!G50-'7T'!G50</f>
        <v>3602.8999999999996</v>
      </c>
      <c r="C50" s="129" t="s">
        <v>9</v>
      </c>
      <c r="D50" s="129" t="s">
        <v>9</v>
      </c>
      <c r="E50" s="129">
        <f>'7J'!J50-'7T'!J50</f>
        <v>0.19999999999999929</v>
      </c>
      <c r="F50" s="129">
        <f>'7J'!K50-'7T'!K50</f>
        <v>-2.5999999999999943</v>
      </c>
      <c r="G50" s="129">
        <f>'7J'!L50-'7T'!L50</f>
        <v>3593.8000000000011</v>
      </c>
      <c r="H50" s="129" t="s">
        <v>9</v>
      </c>
      <c r="I50" s="129" t="s">
        <v>9</v>
      </c>
      <c r="J50" s="129">
        <f>'7J'!O50-'7T'!O50</f>
        <v>0.19999999999999929</v>
      </c>
      <c r="K50" s="129">
        <f>'7J'!P50-'7T'!P50</f>
        <v>-3</v>
      </c>
      <c r="L50" s="249"/>
      <c r="M50" s="249"/>
      <c r="N50" s="249"/>
      <c r="O50" s="249"/>
      <c r="P50" s="249"/>
      <c r="Q50" s="249"/>
      <c r="R50" s="249"/>
      <c r="S50" s="249"/>
      <c r="T50" s="249"/>
    </row>
    <row r="51" spans="1:20">
      <c r="A51" s="248">
        <v>2007</v>
      </c>
      <c r="B51" s="129">
        <f>'7J'!G51-'7T'!G51</f>
        <v>2995.7999999999993</v>
      </c>
      <c r="C51" s="129" t="s">
        <v>9</v>
      </c>
      <c r="D51" s="129" t="s">
        <v>9</v>
      </c>
      <c r="E51" s="129">
        <f>'7J'!J51-'7T'!J51</f>
        <v>2.8000000000000007</v>
      </c>
      <c r="F51" s="129">
        <f>'7J'!K51-'7T'!K51</f>
        <v>-13.799999999999997</v>
      </c>
      <c r="G51" s="129">
        <f>'7J'!L51-'7T'!L51</f>
        <v>2995.7999999999993</v>
      </c>
      <c r="H51" s="129" t="s">
        <v>9</v>
      </c>
      <c r="I51" s="129" t="s">
        <v>9</v>
      </c>
      <c r="J51" s="129">
        <f>'7J'!O51-'7T'!O51</f>
        <v>2.8000000000000007</v>
      </c>
      <c r="K51" s="129">
        <f>'7J'!P51-'7T'!P51</f>
        <v>-13.799999999999997</v>
      </c>
      <c r="L51" s="249"/>
      <c r="M51" s="249"/>
      <c r="N51" s="249"/>
      <c r="O51" s="249"/>
      <c r="P51" s="249"/>
      <c r="Q51" s="249"/>
      <c r="R51" s="249"/>
      <c r="S51" s="249"/>
      <c r="T51" s="249"/>
    </row>
    <row r="52" spans="1:20">
      <c r="A52" s="248">
        <v>2008</v>
      </c>
      <c r="B52" s="129">
        <f>'7J'!G52-'7T'!G52</f>
        <v>2950.0999999999985</v>
      </c>
      <c r="C52" s="129" t="s">
        <v>9</v>
      </c>
      <c r="D52" s="129" t="s">
        <v>9</v>
      </c>
      <c r="E52" s="129">
        <f>'7J'!J52-'7T'!J52</f>
        <v>12.899999999999999</v>
      </c>
      <c r="F52" s="129">
        <f>'7J'!K52-'7T'!K52</f>
        <v>-22</v>
      </c>
      <c r="G52" s="129">
        <f>'7J'!L52-'7T'!L52</f>
        <v>2938.5</v>
      </c>
      <c r="H52" s="129" t="s">
        <v>9</v>
      </c>
      <c r="I52" s="129" t="s">
        <v>9</v>
      </c>
      <c r="J52" s="129">
        <f>'7J'!O52-'7T'!O52</f>
        <v>13.100000000000001</v>
      </c>
      <c r="K52" s="129">
        <f>'7J'!P52-'7T'!P52</f>
        <v>-22</v>
      </c>
      <c r="L52" s="249"/>
      <c r="M52" s="249"/>
      <c r="N52" s="249"/>
      <c r="O52" s="249"/>
      <c r="P52" s="249"/>
      <c r="Q52" s="249"/>
      <c r="R52" s="249"/>
      <c r="S52" s="249"/>
      <c r="T52" s="249"/>
    </row>
    <row r="53" spans="1:20">
      <c r="A53" s="248">
        <v>2009</v>
      </c>
      <c r="B53" s="129">
        <f>'7J'!G53-'7T'!G53</f>
        <v>675.10000000000218</v>
      </c>
      <c r="C53" s="129" t="s">
        <v>9</v>
      </c>
      <c r="D53" s="129" t="s">
        <v>9</v>
      </c>
      <c r="E53" s="129">
        <f>'7J'!J53-'7T'!J53</f>
        <v>2</v>
      </c>
      <c r="F53" s="129">
        <f>'7J'!K53-'7T'!K53</f>
        <v>-58.999999999999993</v>
      </c>
      <c r="G53" s="129">
        <f>'7J'!L53-'7T'!L53</f>
        <v>668</v>
      </c>
      <c r="H53" s="129" t="s">
        <v>9</v>
      </c>
      <c r="I53" s="129" t="s">
        <v>9</v>
      </c>
      <c r="J53" s="129">
        <f>'7J'!O53-'7T'!O53</f>
        <v>1.9000000000000021</v>
      </c>
      <c r="K53" s="129">
        <f>'7J'!P53-'7T'!P53</f>
        <v>-58.900000000000006</v>
      </c>
      <c r="L53" s="249"/>
      <c r="M53" s="249"/>
      <c r="N53" s="249"/>
      <c r="O53" s="249"/>
      <c r="P53" s="249"/>
      <c r="Q53" s="249"/>
      <c r="R53" s="249"/>
      <c r="S53" s="249"/>
      <c r="T53" s="249"/>
    </row>
    <row r="54" spans="1:20">
      <c r="A54" s="248">
        <v>2010</v>
      </c>
      <c r="B54" s="129">
        <f>'7J'!G54-'7T'!G54</f>
        <v>1585.5999999999985</v>
      </c>
      <c r="C54" s="129" t="s">
        <v>9</v>
      </c>
      <c r="D54" s="129" t="s">
        <v>9</v>
      </c>
      <c r="E54" s="129" t="s">
        <v>9</v>
      </c>
      <c r="F54" s="129">
        <f>'7J'!K54-'7T'!K54</f>
        <v>-36</v>
      </c>
      <c r="G54" s="129">
        <f>'7J'!L54-'7T'!L54</f>
        <v>1549.8999999999978</v>
      </c>
      <c r="H54" s="129" t="s">
        <v>9</v>
      </c>
      <c r="I54" s="129" t="s">
        <v>9</v>
      </c>
      <c r="J54" s="129" t="s">
        <v>9</v>
      </c>
      <c r="K54" s="129">
        <f>'7J'!P54-'7T'!P54</f>
        <v>-35.799999999999997</v>
      </c>
      <c r="L54" s="249"/>
      <c r="M54" s="249"/>
      <c r="N54" s="249"/>
      <c r="O54" s="249"/>
      <c r="P54" s="249"/>
      <c r="Q54" s="249"/>
      <c r="R54" s="249"/>
      <c r="S54" s="249"/>
      <c r="T54" s="249"/>
    </row>
    <row r="55" spans="1:20">
      <c r="A55" s="248">
        <v>2011</v>
      </c>
      <c r="B55" s="129">
        <f>'7J'!G55-'7T'!G55</f>
        <v>1546.7999999999993</v>
      </c>
      <c r="C55" s="129" t="s">
        <v>9</v>
      </c>
      <c r="D55" s="129" t="s">
        <v>9</v>
      </c>
      <c r="E55" s="129" t="s">
        <v>9</v>
      </c>
      <c r="F55" s="129">
        <f>'7J'!K55-'7T'!K55</f>
        <v>-25.799999999999997</v>
      </c>
      <c r="G55" s="129">
        <f>'7J'!L55-'7T'!L55</f>
        <v>1581.2999999999993</v>
      </c>
      <c r="H55" s="129" t="s">
        <v>9</v>
      </c>
      <c r="I55" s="129" t="s">
        <v>9</v>
      </c>
      <c r="J55" s="129" t="s">
        <v>9</v>
      </c>
      <c r="K55" s="129">
        <f>'7J'!P55-'7T'!P55</f>
        <v>-25.100000000000009</v>
      </c>
      <c r="L55" s="249"/>
      <c r="M55" s="249"/>
      <c r="N55" s="249"/>
      <c r="O55" s="249"/>
      <c r="P55" s="249"/>
      <c r="Q55" s="249"/>
      <c r="R55" s="249"/>
      <c r="S55" s="249"/>
      <c r="T55" s="249"/>
    </row>
    <row r="56" spans="1:20">
      <c r="A56" s="248">
        <v>2012</v>
      </c>
      <c r="B56" s="129">
        <f>'7J'!G56-'7T'!G56</f>
        <v>1201.4000000000015</v>
      </c>
      <c r="C56" s="129" t="s">
        <v>9</v>
      </c>
      <c r="D56" s="129" t="s">
        <v>9</v>
      </c>
      <c r="E56" s="129" t="s">
        <v>9</v>
      </c>
      <c r="F56" s="129">
        <f>'7J'!K56-'7T'!K56</f>
        <v>-5.7999999999999972</v>
      </c>
      <c r="G56" s="129">
        <f>'7J'!L56-'7T'!L56</f>
        <v>1198.9000000000015</v>
      </c>
      <c r="H56" s="129" t="s">
        <v>9</v>
      </c>
      <c r="I56" s="129" t="s">
        <v>9</v>
      </c>
      <c r="J56" s="129" t="s">
        <v>9</v>
      </c>
      <c r="K56" s="129">
        <f>'7J'!P56-'7T'!P56</f>
        <v>-5</v>
      </c>
      <c r="L56" s="249"/>
      <c r="M56" s="249"/>
      <c r="N56" s="249"/>
      <c r="O56" s="249"/>
      <c r="P56" s="249"/>
      <c r="Q56" s="249"/>
      <c r="R56" s="249"/>
      <c r="S56" s="249"/>
      <c r="T56" s="249"/>
    </row>
    <row r="57" spans="1:20">
      <c r="A57" s="248">
        <v>2013</v>
      </c>
      <c r="B57" s="129">
        <f>'7J'!G57-'7T'!G57</f>
        <v>1033.7000000000007</v>
      </c>
      <c r="C57" s="129" t="s">
        <v>9</v>
      </c>
      <c r="D57" s="129" t="s">
        <v>9</v>
      </c>
      <c r="E57" s="129" t="s">
        <v>9</v>
      </c>
      <c r="F57" s="129">
        <f>'7J'!K57-'7T'!K57</f>
        <v>6.8999999999999915</v>
      </c>
      <c r="G57" s="129">
        <f>'7J'!L57-'7T'!L57</f>
        <v>992.59999999999854</v>
      </c>
      <c r="H57" s="129" t="s">
        <v>9</v>
      </c>
      <c r="I57" s="129" t="s">
        <v>9</v>
      </c>
      <c r="J57" s="129" t="s">
        <v>9</v>
      </c>
      <c r="K57" s="129">
        <f>'7J'!P57-'7T'!P57</f>
        <v>8.2000000000000028</v>
      </c>
      <c r="L57" s="249"/>
      <c r="M57" s="249"/>
      <c r="N57" s="249"/>
      <c r="O57" s="249"/>
      <c r="P57" s="249"/>
      <c r="Q57" s="249"/>
      <c r="R57" s="249"/>
      <c r="S57" s="249"/>
      <c r="T57" s="249"/>
    </row>
    <row r="58" spans="1:20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249"/>
      <c r="M58" s="249"/>
      <c r="N58" s="249"/>
      <c r="O58" s="249"/>
      <c r="P58" s="249"/>
      <c r="Q58" s="249"/>
      <c r="R58" s="249"/>
      <c r="S58" s="249"/>
      <c r="T58" s="249"/>
    </row>
    <row r="59" spans="1:20">
      <c r="A59" s="454" t="s">
        <v>11</v>
      </c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249"/>
      <c r="M59" s="249"/>
      <c r="N59" s="249"/>
      <c r="O59" s="249"/>
      <c r="P59" s="249"/>
      <c r="Q59" s="249"/>
      <c r="R59" s="249"/>
      <c r="S59" s="249"/>
      <c r="T59" s="249"/>
    </row>
    <row r="60" spans="1:20" ht="30">
      <c r="A60" s="248" t="s">
        <v>12</v>
      </c>
      <c r="B60" s="11">
        <f t="shared" ref="B60:K60" si="0">((B57/B28)^(1/29)-1)*100</f>
        <v>0.69212894469870001</v>
      </c>
      <c r="C60" s="11" t="s">
        <v>10</v>
      </c>
      <c r="D60" s="11" t="s">
        <v>10</v>
      </c>
      <c r="E60" s="11" t="s">
        <v>10</v>
      </c>
      <c r="F60" s="11">
        <f t="shared" si="0"/>
        <v>2.3681520960742386</v>
      </c>
      <c r="G60" s="11">
        <f t="shared" si="0"/>
        <v>1.9065621983230141</v>
      </c>
      <c r="H60" s="11" t="s">
        <v>10</v>
      </c>
      <c r="I60" s="11" t="s">
        <v>10</v>
      </c>
      <c r="J60" s="11" t="s">
        <v>10</v>
      </c>
      <c r="K60" s="11">
        <f t="shared" si="0"/>
        <v>4.9857796645349506</v>
      </c>
      <c r="L60" s="249"/>
      <c r="M60" s="249"/>
      <c r="N60" s="249"/>
      <c r="O60" s="249"/>
      <c r="P60" s="249"/>
      <c r="Q60" s="249"/>
      <c r="R60" s="249"/>
      <c r="S60" s="249"/>
      <c r="T60" s="249"/>
    </row>
    <row r="61" spans="1:20" ht="30">
      <c r="A61" s="248" t="s">
        <v>13</v>
      </c>
      <c r="B61" s="11">
        <f t="shared" ref="B61:K61" si="1">((B33/B28)^(1/5)-1)*100</f>
        <v>1.0687226143668349</v>
      </c>
      <c r="C61" s="11" t="s">
        <v>10</v>
      </c>
      <c r="D61" s="11" t="s">
        <v>10</v>
      </c>
      <c r="E61" s="11">
        <f t="shared" si="1"/>
        <v>-19.725843823976984</v>
      </c>
      <c r="F61" s="11">
        <f t="shared" si="1"/>
        <v>32.880113860839266</v>
      </c>
      <c r="G61" s="11">
        <f t="shared" si="1"/>
        <v>8.2372810465674675</v>
      </c>
      <c r="H61" s="11" t="s">
        <v>10</v>
      </c>
      <c r="I61" s="11" t="s">
        <v>10</v>
      </c>
      <c r="J61" s="11">
        <f t="shared" si="1"/>
        <v>-199.99999999999991</v>
      </c>
      <c r="K61" s="11">
        <f t="shared" si="1"/>
        <v>45.629131672505267</v>
      </c>
      <c r="L61" s="249"/>
      <c r="M61" s="249"/>
      <c r="N61" s="249"/>
      <c r="O61" s="249"/>
      <c r="P61" s="249"/>
      <c r="Q61" s="249"/>
      <c r="R61" s="249"/>
      <c r="S61" s="249"/>
      <c r="T61" s="249"/>
    </row>
    <row r="62" spans="1:20" ht="30">
      <c r="A62" s="248" t="s">
        <v>14</v>
      </c>
      <c r="B62" s="11">
        <f t="shared" ref="B62:K62" si="2">((B44/B33)^(1/11)-1)*100</f>
        <v>9.8297977662766165</v>
      </c>
      <c r="C62" s="11" t="s">
        <v>10</v>
      </c>
      <c r="D62" s="11" t="s">
        <v>10</v>
      </c>
      <c r="E62" s="11">
        <f t="shared" si="2"/>
        <v>0</v>
      </c>
      <c r="F62" s="11">
        <f t="shared" si="2"/>
        <v>15.387104704216625</v>
      </c>
      <c r="G62" s="11">
        <f t="shared" si="2"/>
        <v>10.268187904597559</v>
      </c>
      <c r="H62" s="11" t="s">
        <v>10</v>
      </c>
      <c r="I62" s="11" t="s">
        <v>10</v>
      </c>
      <c r="J62" s="11">
        <f t="shared" si="2"/>
        <v>0</v>
      </c>
      <c r="K62" s="11">
        <f t="shared" si="2"/>
        <v>15.803889234263213</v>
      </c>
      <c r="L62" s="249"/>
      <c r="M62" s="249"/>
      <c r="N62" s="249"/>
      <c r="O62" s="249"/>
      <c r="P62" s="249"/>
      <c r="Q62" s="249"/>
      <c r="R62" s="249"/>
      <c r="S62" s="249"/>
      <c r="T62" s="249"/>
    </row>
    <row r="63" spans="1:20" s="259" customFormat="1" ht="30">
      <c r="A63" s="248" t="s">
        <v>68</v>
      </c>
      <c r="B63" s="11">
        <f>((B51/B44)^(1/7)-1)*100</f>
        <v>2.5983477517076858</v>
      </c>
      <c r="C63" s="11" t="s">
        <v>10</v>
      </c>
      <c r="D63" s="11" t="s">
        <v>10</v>
      </c>
      <c r="E63" s="11">
        <f t="shared" ref="E63:K63" si="3">((E51/E44)^(1/7)-1)*100</f>
        <v>60.967004297182825</v>
      </c>
      <c r="F63" s="11">
        <f t="shared" si="3"/>
        <v>-179.29657603070757</v>
      </c>
      <c r="G63" s="11">
        <f t="shared" si="3"/>
        <v>2.6247214499619309</v>
      </c>
      <c r="H63" s="11" t="s">
        <v>10</v>
      </c>
      <c r="I63" s="11" t="s">
        <v>10</v>
      </c>
      <c r="J63" s="11">
        <f t="shared" si="3"/>
        <v>-245.79162495762841</v>
      </c>
      <c r="K63" s="11">
        <f t="shared" si="3"/>
        <v>-180.00061272270477</v>
      </c>
      <c r="L63" s="11"/>
      <c r="M63" s="11"/>
      <c r="N63" s="11"/>
      <c r="O63" s="11"/>
      <c r="P63" s="11"/>
      <c r="Q63" s="249"/>
      <c r="R63" s="249"/>
      <c r="S63" s="249"/>
      <c r="T63" s="249"/>
    </row>
    <row r="64" spans="1:20" s="259" customFormat="1" ht="30">
      <c r="A64" s="248" t="s">
        <v>69</v>
      </c>
      <c r="B64" s="11">
        <f>((B57/B51)^(1/6)-1)*100</f>
        <v>-16.250874030855844</v>
      </c>
      <c r="C64" s="11" t="s">
        <v>10</v>
      </c>
      <c r="D64" s="11" t="s">
        <v>10</v>
      </c>
      <c r="E64" s="11" t="s">
        <v>10</v>
      </c>
      <c r="F64" s="11" t="e">
        <f t="shared" ref="F64:G64" si="4">((F57/F51)^(1/6)-1)*100</f>
        <v>#NUM!</v>
      </c>
      <c r="G64" s="11">
        <f t="shared" si="4"/>
        <v>-16.815276815968772</v>
      </c>
      <c r="H64" s="11" t="s">
        <v>10</v>
      </c>
      <c r="I64" s="11" t="s">
        <v>10</v>
      </c>
      <c r="J64" s="11" t="s">
        <v>10</v>
      </c>
      <c r="K64" s="11" t="s">
        <v>10</v>
      </c>
      <c r="L64" s="11"/>
      <c r="M64" s="11"/>
      <c r="N64" s="11"/>
      <c r="O64" s="11"/>
      <c r="P64" s="11"/>
      <c r="Q64" s="249"/>
      <c r="R64" s="249"/>
      <c r="S64" s="249"/>
      <c r="T64" s="249"/>
    </row>
    <row r="65" spans="1:20" ht="30">
      <c r="A65" s="248" t="s">
        <v>15</v>
      </c>
      <c r="B65" s="11">
        <f t="shared" ref="B65:K65" si="5">((B57/B44)^(1/13)-1)*100</f>
        <v>-6.5775833186383359</v>
      </c>
      <c r="C65" s="11" t="s">
        <v>10</v>
      </c>
      <c r="D65" s="11" t="s">
        <v>10</v>
      </c>
      <c r="E65" s="11" t="s">
        <v>10</v>
      </c>
      <c r="F65" s="11">
        <f t="shared" si="5"/>
        <v>-16.324901037306784</v>
      </c>
      <c r="G65" s="11">
        <f t="shared" si="5"/>
        <v>-6.8558037423806617</v>
      </c>
      <c r="H65" s="11" t="s">
        <v>10</v>
      </c>
      <c r="I65" s="11" t="s">
        <v>10</v>
      </c>
      <c r="J65" s="11" t="s">
        <v>10</v>
      </c>
      <c r="K65" s="11">
        <f t="shared" si="5"/>
        <v>-14.80191308602431</v>
      </c>
      <c r="L65" s="249"/>
      <c r="M65" s="249"/>
      <c r="N65" s="249"/>
      <c r="O65" s="249"/>
      <c r="P65" s="249"/>
      <c r="Q65" s="249"/>
      <c r="R65" s="249"/>
      <c r="S65" s="249"/>
      <c r="T65" s="249"/>
    </row>
    <row r="66" spans="1:20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</row>
    <row r="67" spans="1:20">
      <c r="A67" s="231" t="s">
        <v>55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20">
      <c r="A68" s="229" t="s">
        <v>56</v>
      </c>
      <c r="B68" s="229"/>
      <c r="C68" s="229"/>
      <c r="D68" s="229"/>
      <c r="E68" s="229"/>
      <c r="F68" s="229"/>
      <c r="G68" s="231"/>
      <c r="H68" s="132"/>
      <c r="I68" s="132"/>
      <c r="J68" s="132"/>
      <c r="K68" s="132"/>
    </row>
    <row r="69" spans="1:20">
      <c r="A69" s="229" t="s">
        <v>41</v>
      </c>
      <c r="B69" s="229"/>
      <c r="C69" s="229"/>
      <c r="D69" s="229"/>
      <c r="E69" s="229"/>
      <c r="F69" s="229"/>
    </row>
    <row r="70" spans="1:20">
      <c r="A70" s="229" t="s">
        <v>62</v>
      </c>
      <c r="B70" s="229"/>
      <c r="C70" s="229"/>
      <c r="D70" s="229"/>
      <c r="E70" s="229"/>
      <c r="F70" s="229"/>
    </row>
  </sheetData>
  <mergeCells count="4">
    <mergeCell ref="A1:K1"/>
    <mergeCell ref="B2:F2"/>
    <mergeCell ref="G2:K2"/>
    <mergeCell ref="A59:K59"/>
  </mergeCells>
  <printOptions gridLines="1"/>
  <pageMargins left="0.7" right="0.7" top="0.75" bottom="0.75" header="0.3" footer="0.3"/>
  <pageSetup scale="59"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F31"/>
  <sheetViews>
    <sheetView view="pageBreakPreview" zoomScaleNormal="100" zoomScaleSheetLayoutView="100" workbookViewId="0">
      <selection activeCell="I20" sqref="I20"/>
    </sheetView>
  </sheetViews>
  <sheetFormatPr defaultRowHeight="15"/>
  <sheetData>
    <row r="1" spans="1:6">
      <c r="A1" s="454" t="s">
        <v>541</v>
      </c>
      <c r="B1" s="454"/>
      <c r="C1" s="454"/>
      <c r="D1" s="454"/>
      <c r="E1" s="454"/>
      <c r="F1" s="454"/>
    </row>
    <row r="2" spans="1:6">
      <c r="A2" s="375"/>
      <c r="B2" s="454" t="s">
        <v>34</v>
      </c>
      <c r="C2" s="454"/>
      <c r="D2" s="454"/>
      <c r="E2" s="454"/>
      <c r="F2" s="454"/>
    </row>
    <row r="3" spans="1:6" ht="75">
      <c r="A3" s="375"/>
      <c r="B3" s="375" t="s">
        <v>2</v>
      </c>
      <c r="C3" s="375" t="s">
        <v>223</v>
      </c>
      <c r="D3" s="375" t="s">
        <v>20</v>
      </c>
      <c r="E3" s="375" t="s">
        <v>4</v>
      </c>
      <c r="F3" s="375" t="s">
        <v>17</v>
      </c>
    </row>
    <row r="4" spans="1:6">
      <c r="A4" s="373"/>
      <c r="B4" s="373"/>
      <c r="C4" s="373"/>
      <c r="D4" s="373"/>
      <c r="E4" s="373"/>
      <c r="F4" s="373"/>
    </row>
    <row r="5" spans="1:6">
      <c r="A5" s="375">
        <v>1997</v>
      </c>
      <c r="B5" s="379">
        <v>1.6852737628167453</v>
      </c>
      <c r="C5" s="376" t="s">
        <v>9</v>
      </c>
      <c r="D5" s="376">
        <v>43.2</v>
      </c>
      <c r="E5" s="376">
        <v>364.5</v>
      </c>
      <c r="F5" s="376" t="s">
        <v>9</v>
      </c>
    </row>
    <row r="6" spans="1:6">
      <c r="A6" s="375">
        <v>1998</v>
      </c>
      <c r="B6" s="379">
        <v>1.8866062287879073</v>
      </c>
      <c r="C6" s="376" t="s">
        <v>9</v>
      </c>
      <c r="D6" s="376">
        <v>32.200000000000003</v>
      </c>
      <c r="E6" s="376">
        <v>263</v>
      </c>
      <c r="F6" s="376" t="s">
        <v>9</v>
      </c>
    </row>
    <row r="7" spans="1:6">
      <c r="A7" s="375">
        <v>1999</v>
      </c>
      <c r="B7" s="379">
        <v>2.0291802688528349</v>
      </c>
      <c r="C7" s="376" t="s">
        <v>9</v>
      </c>
      <c r="D7" s="376">
        <v>55.2</v>
      </c>
      <c r="E7" s="376">
        <v>264.89999999999998</v>
      </c>
      <c r="F7" s="376" t="s">
        <v>9</v>
      </c>
    </row>
    <row r="8" spans="1:6">
      <c r="A8" s="375">
        <v>2000</v>
      </c>
      <c r="B8" s="379">
        <v>2.1019156571698145</v>
      </c>
      <c r="C8" s="376" t="s">
        <v>9</v>
      </c>
      <c r="D8" s="376" t="s">
        <v>9</v>
      </c>
      <c r="E8" s="376">
        <v>391.7</v>
      </c>
      <c r="F8" s="376" t="s">
        <v>9</v>
      </c>
    </row>
    <row r="9" spans="1:6">
      <c r="A9" s="375">
        <v>2001</v>
      </c>
      <c r="B9" s="379">
        <v>1.8842495899410139</v>
      </c>
      <c r="C9" s="376" t="s">
        <v>9</v>
      </c>
      <c r="D9" s="376" t="s">
        <v>9</v>
      </c>
      <c r="E9" s="376">
        <v>145</v>
      </c>
      <c r="F9" s="376" t="s">
        <v>9</v>
      </c>
    </row>
    <row r="10" spans="1:6">
      <c r="A10" s="375">
        <v>2002</v>
      </c>
      <c r="B10" s="379">
        <v>1.7504010089084963</v>
      </c>
      <c r="C10" s="376" t="s">
        <v>9</v>
      </c>
      <c r="D10" s="376" t="s">
        <v>9</v>
      </c>
      <c r="E10" s="376">
        <v>102.5</v>
      </c>
      <c r="F10" s="376" t="s">
        <v>9</v>
      </c>
    </row>
    <row r="11" spans="1:6">
      <c r="A11" s="375">
        <v>2003</v>
      </c>
      <c r="B11" s="379">
        <v>1.8642291329953786</v>
      </c>
      <c r="C11" s="376" t="s">
        <v>9</v>
      </c>
      <c r="D11" s="376" t="s">
        <v>9</v>
      </c>
      <c r="E11" s="376">
        <v>131.30000000000001</v>
      </c>
      <c r="F11" s="376" t="s">
        <v>9</v>
      </c>
    </row>
    <row r="12" spans="1:6">
      <c r="A12" s="375">
        <v>2004</v>
      </c>
      <c r="B12" s="379">
        <v>2.107545860584854</v>
      </c>
      <c r="C12" s="376" t="s">
        <v>9</v>
      </c>
      <c r="D12" s="376" t="s">
        <v>9</v>
      </c>
      <c r="E12" s="376">
        <v>215.9</v>
      </c>
      <c r="F12" s="376" t="s">
        <v>9</v>
      </c>
    </row>
    <row r="13" spans="1:6">
      <c r="A13" s="375">
        <v>2005</v>
      </c>
      <c r="B13" s="379">
        <v>2.2286901335509284</v>
      </c>
      <c r="C13" s="376" t="s">
        <v>9</v>
      </c>
      <c r="D13" s="376" t="s">
        <v>9</v>
      </c>
      <c r="E13" s="376">
        <v>196.2</v>
      </c>
      <c r="F13" s="376" t="s">
        <v>9</v>
      </c>
    </row>
    <row r="14" spans="1:6">
      <c r="A14" s="375">
        <v>2006</v>
      </c>
      <c r="B14" s="379">
        <v>2.4031290211453231</v>
      </c>
      <c r="C14" s="376" t="s">
        <v>9</v>
      </c>
      <c r="D14" s="376" t="s">
        <v>9</v>
      </c>
      <c r="E14" s="376">
        <v>257.3</v>
      </c>
      <c r="F14" s="376" t="s">
        <v>9</v>
      </c>
    </row>
    <row r="15" spans="1:6">
      <c r="A15" s="375">
        <v>2007</v>
      </c>
      <c r="B15" s="379">
        <v>2.5123500643696479</v>
      </c>
      <c r="C15" s="376" t="s">
        <v>9</v>
      </c>
      <c r="D15" s="376" t="s">
        <v>9</v>
      </c>
      <c r="E15" s="376">
        <v>264.8</v>
      </c>
      <c r="F15" s="376" t="s">
        <v>9</v>
      </c>
    </row>
    <row r="16" spans="1:6">
      <c r="A16" s="375">
        <v>2008</v>
      </c>
      <c r="B16" s="379">
        <v>2.5572186645672024</v>
      </c>
      <c r="C16" s="376" t="s">
        <v>9</v>
      </c>
      <c r="D16" s="376" t="s">
        <v>9</v>
      </c>
      <c r="E16" s="376">
        <v>132.30000000000001</v>
      </c>
      <c r="F16" s="376" t="s">
        <v>9</v>
      </c>
    </row>
    <row r="17" spans="1:6">
      <c r="A17" s="375">
        <v>2009</v>
      </c>
      <c r="B17" s="379">
        <v>2.186723373321565</v>
      </c>
      <c r="C17" s="376" t="s">
        <v>9</v>
      </c>
      <c r="D17" s="376" t="s">
        <v>9</v>
      </c>
      <c r="E17" s="376">
        <v>83.1</v>
      </c>
      <c r="F17" s="376" t="s">
        <v>9</v>
      </c>
    </row>
    <row r="18" spans="1:6">
      <c r="A18" s="375">
        <v>2010</v>
      </c>
      <c r="B18" s="379">
        <v>2.174848956513749</v>
      </c>
      <c r="C18" s="376" t="s">
        <v>9</v>
      </c>
      <c r="D18" s="376" t="s">
        <v>9</v>
      </c>
      <c r="E18" s="376">
        <v>158.6</v>
      </c>
      <c r="F18" s="376" t="s">
        <v>9</v>
      </c>
    </row>
    <row r="19" spans="1:6">
      <c r="A19" s="375">
        <v>2011</v>
      </c>
      <c r="B19" s="379">
        <v>2.2592121342344749</v>
      </c>
      <c r="C19" s="376" t="s">
        <v>9</v>
      </c>
      <c r="D19" s="376" t="s">
        <v>9</v>
      </c>
      <c r="E19" s="376">
        <v>144.30000000000001</v>
      </c>
      <c r="F19" s="376" t="s">
        <v>9</v>
      </c>
    </row>
    <row r="20" spans="1:6">
      <c r="A20" s="375">
        <v>2012</v>
      </c>
      <c r="B20" s="379">
        <v>2.511132708742879</v>
      </c>
      <c r="C20" s="376" t="s">
        <v>9</v>
      </c>
      <c r="D20" s="376" t="s">
        <v>9</v>
      </c>
      <c r="E20" s="376">
        <v>116.6</v>
      </c>
      <c r="F20" s="376" t="s">
        <v>9</v>
      </c>
    </row>
    <row r="21" spans="1:6">
      <c r="A21" s="375">
        <v>2013</v>
      </c>
      <c r="B21" s="379">
        <v>2.530782274746366</v>
      </c>
      <c r="C21" s="376" t="s">
        <v>9</v>
      </c>
      <c r="D21" s="376" t="s">
        <v>9</v>
      </c>
      <c r="E21" s="376">
        <v>138.1</v>
      </c>
      <c r="F21" s="376" t="s">
        <v>9</v>
      </c>
    </row>
    <row r="22" spans="1:6">
      <c r="A22" s="373"/>
      <c r="B22" s="373"/>
      <c r="C22" s="373"/>
      <c r="D22" s="373"/>
      <c r="E22" s="373"/>
      <c r="F22" s="373"/>
    </row>
    <row r="23" spans="1:6">
      <c r="A23" s="454" t="s">
        <v>11</v>
      </c>
      <c r="B23" s="454"/>
      <c r="C23" s="454"/>
      <c r="D23" s="454"/>
      <c r="E23" s="454"/>
      <c r="F23" s="454"/>
    </row>
    <row r="24" spans="1:6" ht="30">
      <c r="A24" s="375" t="s">
        <v>68</v>
      </c>
      <c r="B24" s="374">
        <v>2.5808774629459075</v>
      </c>
      <c r="C24" s="374" t="s">
        <v>10</v>
      </c>
      <c r="D24" s="374" t="s">
        <v>10</v>
      </c>
      <c r="E24" s="374">
        <v>-5.439621628166746</v>
      </c>
      <c r="F24" s="374" t="s">
        <v>10</v>
      </c>
    </row>
    <row r="25" spans="1:6" ht="30">
      <c r="A25" s="375" t="s">
        <v>69</v>
      </c>
      <c r="B25" s="374">
        <v>0.12190522274893034</v>
      </c>
      <c r="C25" s="374" t="s">
        <v>10</v>
      </c>
      <c r="D25" s="374" t="s">
        <v>10</v>
      </c>
      <c r="E25" s="374">
        <v>-10.282062125172132</v>
      </c>
      <c r="F25" s="374" t="s">
        <v>10</v>
      </c>
    </row>
    <row r="26" spans="1:6" ht="30">
      <c r="A26" s="375" t="s">
        <v>15</v>
      </c>
      <c r="B26" s="374">
        <v>1.4385513435919428</v>
      </c>
      <c r="C26" s="374" t="s">
        <v>10</v>
      </c>
      <c r="D26" s="374" t="s">
        <v>10</v>
      </c>
      <c r="E26" s="374">
        <v>-7.7062449631086549</v>
      </c>
      <c r="F26" s="374" t="s">
        <v>10</v>
      </c>
    </row>
    <row r="28" spans="1:6">
      <c r="A28" s="378" t="s">
        <v>55</v>
      </c>
      <c r="B28" s="372"/>
      <c r="C28" s="372"/>
      <c r="D28" s="372"/>
      <c r="E28" s="372"/>
      <c r="F28" s="372"/>
    </row>
    <row r="29" spans="1:6">
      <c r="A29" s="377" t="s">
        <v>56</v>
      </c>
      <c r="B29" s="372"/>
      <c r="C29" s="372"/>
      <c r="D29" s="372"/>
      <c r="E29" s="372"/>
      <c r="F29" s="372"/>
    </row>
    <row r="30" spans="1:6">
      <c r="A30" s="377" t="s">
        <v>41</v>
      </c>
      <c r="B30" s="377"/>
      <c r="C30" s="377"/>
      <c r="D30" s="377"/>
      <c r="E30" s="377"/>
      <c r="F30" s="377"/>
    </row>
    <row r="31" spans="1:6">
      <c r="A31" s="377" t="s">
        <v>62</v>
      </c>
      <c r="B31" s="377"/>
      <c r="C31" s="377"/>
      <c r="D31" s="377"/>
      <c r="E31" s="377"/>
      <c r="F31" s="377"/>
    </row>
  </sheetData>
  <mergeCells count="3">
    <mergeCell ref="A1:F1"/>
    <mergeCell ref="B2:F2"/>
    <mergeCell ref="A23:F23"/>
  </mergeCell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F31"/>
  <sheetViews>
    <sheetView view="pageBreakPreview" zoomScaleNormal="100" zoomScaleSheetLayoutView="100" workbookViewId="0">
      <selection activeCell="I20" sqref="I20"/>
    </sheetView>
  </sheetViews>
  <sheetFormatPr defaultRowHeight="15"/>
  <cols>
    <col min="1" max="16384" width="9.140625" style="259"/>
  </cols>
  <sheetData>
    <row r="1" spans="1:6">
      <c r="A1" s="454" t="s">
        <v>542</v>
      </c>
      <c r="B1" s="454"/>
      <c r="C1" s="454"/>
      <c r="D1" s="454"/>
      <c r="E1" s="454"/>
      <c r="F1" s="454"/>
    </row>
    <row r="2" spans="1:6">
      <c r="A2" s="384"/>
      <c r="B2" s="454" t="s">
        <v>34</v>
      </c>
      <c r="C2" s="454"/>
      <c r="D2" s="454"/>
      <c r="E2" s="454"/>
      <c r="F2" s="454"/>
    </row>
    <row r="3" spans="1:6" ht="75">
      <c r="A3" s="384"/>
      <c r="B3" s="384" t="s">
        <v>2</v>
      </c>
      <c r="C3" s="384" t="s">
        <v>223</v>
      </c>
      <c r="D3" s="384" t="s">
        <v>20</v>
      </c>
      <c r="E3" s="384" t="s">
        <v>4</v>
      </c>
      <c r="F3" s="384" t="s">
        <v>17</v>
      </c>
    </row>
    <row r="4" spans="1:6">
      <c r="A4" s="381"/>
      <c r="B4" s="381"/>
      <c r="C4" s="381"/>
      <c r="D4" s="381"/>
      <c r="E4" s="381"/>
      <c r="F4" s="381"/>
    </row>
    <row r="5" spans="1:6">
      <c r="A5" s="384">
        <v>1997</v>
      </c>
      <c r="B5" s="387">
        <v>2.1239878131186503</v>
      </c>
      <c r="C5" s="387" t="s">
        <v>9</v>
      </c>
      <c r="D5" s="387" t="s">
        <v>9</v>
      </c>
      <c r="E5" s="387">
        <v>2.6195220819920633</v>
      </c>
      <c r="F5" s="387">
        <v>6.1140198682614502</v>
      </c>
    </row>
    <row r="6" spans="1:6">
      <c r="A6" s="384">
        <v>1998</v>
      </c>
      <c r="B6" s="387">
        <v>2.1743224152265639</v>
      </c>
      <c r="C6" s="387" t="s">
        <v>9</v>
      </c>
      <c r="D6" s="387" t="s">
        <v>9</v>
      </c>
      <c r="E6" s="387">
        <v>2.0156354555988969</v>
      </c>
      <c r="F6" s="387">
        <v>6.904448667348829</v>
      </c>
    </row>
    <row r="7" spans="1:6">
      <c r="A7" s="384">
        <v>1999</v>
      </c>
      <c r="B7" s="387">
        <v>2.2917598820925216</v>
      </c>
      <c r="C7" s="387" t="s">
        <v>9</v>
      </c>
      <c r="D7" s="387" t="s">
        <v>9</v>
      </c>
      <c r="E7" s="387">
        <v>1.5071257409509395</v>
      </c>
      <c r="F7" s="387">
        <v>5.8255826343750474</v>
      </c>
    </row>
    <row r="8" spans="1:6">
      <c r="A8" s="384">
        <v>2000</v>
      </c>
      <c r="B8" s="387">
        <v>2.2792632626670444</v>
      </c>
      <c r="C8" s="387" t="s">
        <v>9</v>
      </c>
      <c r="D8" s="387" t="s">
        <v>9</v>
      </c>
      <c r="E8" s="387">
        <v>1.9447354635935046</v>
      </c>
      <c r="F8" s="387">
        <v>6.3287001727707128</v>
      </c>
    </row>
    <row r="9" spans="1:6">
      <c r="A9" s="384">
        <v>2001</v>
      </c>
      <c r="B9" s="387">
        <v>2.1673978070975095</v>
      </c>
      <c r="C9" s="387" t="s">
        <v>9</v>
      </c>
      <c r="D9" s="387" t="s">
        <v>9</v>
      </c>
      <c r="E9" s="387">
        <v>1.193586889899674</v>
      </c>
      <c r="F9" s="387">
        <v>4.2281899377499768</v>
      </c>
    </row>
    <row r="10" spans="1:6">
      <c r="A10" s="384">
        <v>2002</v>
      </c>
      <c r="B10" s="387">
        <v>1.9851273788997212</v>
      </c>
      <c r="C10" s="387" t="s">
        <v>9</v>
      </c>
      <c r="D10" s="387" t="s">
        <v>9</v>
      </c>
      <c r="E10" s="387">
        <v>1.171148045947507</v>
      </c>
      <c r="F10" s="387">
        <v>3.7318405970944957</v>
      </c>
    </row>
    <row r="11" spans="1:6">
      <c r="A11" s="384">
        <v>2003</v>
      </c>
      <c r="B11" s="387">
        <v>2.1444283467785734</v>
      </c>
      <c r="C11" s="387" t="s">
        <v>9</v>
      </c>
      <c r="D11" s="387" t="s">
        <v>9</v>
      </c>
      <c r="E11" s="387">
        <v>1.2136245588333223</v>
      </c>
      <c r="F11" s="387">
        <v>4.6151501295534221</v>
      </c>
    </row>
    <row r="12" spans="1:6">
      <c r="A12" s="384">
        <v>2004</v>
      </c>
      <c r="B12" s="387">
        <v>2.2640056680254355</v>
      </c>
      <c r="C12" s="387" t="s">
        <v>9</v>
      </c>
      <c r="D12" s="387" t="s">
        <v>9</v>
      </c>
      <c r="E12" s="387">
        <v>1.7717155311003201</v>
      </c>
      <c r="F12" s="387">
        <v>3.3540823109929292</v>
      </c>
    </row>
    <row r="13" spans="1:6">
      <c r="A13" s="384">
        <v>2005</v>
      </c>
      <c r="B13" s="387">
        <v>2.558244068151458</v>
      </c>
      <c r="C13" s="387" t="s">
        <v>9</v>
      </c>
      <c r="D13" s="387" t="s">
        <v>9</v>
      </c>
      <c r="E13" s="387">
        <v>1.9359603312760456</v>
      </c>
      <c r="F13" s="387">
        <v>3.7124212713460163</v>
      </c>
    </row>
    <row r="14" spans="1:6">
      <c r="A14" s="384">
        <v>2006</v>
      </c>
      <c r="B14" s="387">
        <v>2.7826632750587739</v>
      </c>
      <c r="C14" s="387" t="s">
        <v>9</v>
      </c>
      <c r="D14" s="387" t="s">
        <v>9</v>
      </c>
      <c r="E14" s="387">
        <v>1.7503314343043463</v>
      </c>
      <c r="F14" s="387">
        <v>3.7691542970758634</v>
      </c>
    </row>
    <row r="15" spans="1:6">
      <c r="A15" s="384">
        <v>2007</v>
      </c>
      <c r="B15" s="387">
        <v>2.7043382362337329</v>
      </c>
      <c r="C15" s="387" t="s">
        <v>9</v>
      </c>
      <c r="D15" s="387" t="s">
        <v>9</v>
      </c>
      <c r="E15" s="387">
        <v>1.9796275336968825</v>
      </c>
      <c r="F15" s="387">
        <v>4.0938101892065406</v>
      </c>
    </row>
    <row r="16" spans="1:6">
      <c r="A16" s="384">
        <v>2008</v>
      </c>
      <c r="B16" s="387">
        <v>2.7631145892143198</v>
      </c>
      <c r="C16" s="387" t="s">
        <v>9</v>
      </c>
      <c r="D16" s="387" t="s">
        <v>9</v>
      </c>
      <c r="E16" s="387">
        <v>1.7092633283219616</v>
      </c>
      <c r="F16" s="387">
        <v>3.842279174725983</v>
      </c>
    </row>
    <row r="17" spans="1:6">
      <c r="A17" s="384">
        <v>2009</v>
      </c>
      <c r="B17" s="387">
        <v>2.2865046630482579</v>
      </c>
      <c r="C17" s="387" t="s">
        <v>9</v>
      </c>
      <c r="D17" s="387" t="s">
        <v>9</v>
      </c>
      <c r="E17" s="387">
        <v>0.63417990367644861</v>
      </c>
      <c r="F17" s="387">
        <v>3.334705640181145</v>
      </c>
    </row>
    <row r="18" spans="1:6">
      <c r="A18" s="384">
        <v>2010</v>
      </c>
      <c r="B18" s="387">
        <v>2.5154047791070737</v>
      </c>
      <c r="C18" s="387" t="s">
        <v>9</v>
      </c>
      <c r="D18" s="387" t="s">
        <v>9</v>
      </c>
      <c r="E18" s="387" t="s">
        <v>9</v>
      </c>
      <c r="F18" s="387">
        <v>2.7016415969376486</v>
      </c>
    </row>
    <row r="19" spans="1:6">
      <c r="A19" s="384">
        <v>2011</v>
      </c>
      <c r="B19" s="387">
        <v>2.5739076783592072</v>
      </c>
      <c r="C19" s="387" t="s">
        <v>9</v>
      </c>
      <c r="D19" s="387" t="s">
        <v>9</v>
      </c>
      <c r="E19" s="387" t="s">
        <v>9</v>
      </c>
      <c r="F19" s="387">
        <v>2.9553938929836319</v>
      </c>
    </row>
    <row r="20" spans="1:6">
      <c r="A20" s="384">
        <v>2012</v>
      </c>
      <c r="B20" s="387">
        <v>2.5716652597478991</v>
      </c>
      <c r="C20" s="387" t="s">
        <v>9</v>
      </c>
      <c r="D20" s="387" t="s">
        <v>9</v>
      </c>
      <c r="E20" s="387" t="s">
        <v>9</v>
      </c>
      <c r="F20" s="387">
        <v>4.3553368580851171</v>
      </c>
    </row>
    <row r="21" spans="1:6">
      <c r="A21" s="384">
        <v>2013</v>
      </c>
      <c r="B21" s="387">
        <v>2.6774686987522403</v>
      </c>
      <c r="C21" s="387" t="s">
        <v>9</v>
      </c>
      <c r="D21" s="387" t="s">
        <v>9</v>
      </c>
      <c r="E21" s="387" t="s">
        <v>9</v>
      </c>
      <c r="F21" s="387">
        <v>5.7105620129265633</v>
      </c>
    </row>
    <row r="22" spans="1:6">
      <c r="A22" s="381"/>
      <c r="B22" s="381"/>
      <c r="C22" s="381"/>
      <c r="D22" s="381"/>
      <c r="E22" s="381"/>
      <c r="F22" s="381"/>
    </row>
    <row r="23" spans="1:6">
      <c r="A23" s="454" t="s">
        <v>11</v>
      </c>
      <c r="B23" s="454"/>
      <c r="C23" s="454"/>
      <c r="D23" s="454"/>
      <c r="E23" s="454"/>
      <c r="F23" s="454"/>
    </row>
    <row r="24" spans="1:6" ht="30">
      <c r="A24" s="384" t="s">
        <v>68</v>
      </c>
      <c r="B24" s="382">
        <v>2.4730122175306013</v>
      </c>
      <c r="C24" s="382" t="s">
        <v>10</v>
      </c>
      <c r="D24" s="382" t="s">
        <v>10</v>
      </c>
      <c r="E24" s="382">
        <v>0.25436228663284766</v>
      </c>
      <c r="F24" s="382">
        <v>-6.033443574463071</v>
      </c>
    </row>
    <row r="25" spans="1:6" ht="30">
      <c r="A25" s="384" t="s">
        <v>69</v>
      </c>
      <c r="B25" s="382">
        <v>-0.1662850084653722</v>
      </c>
      <c r="C25" s="382" t="s">
        <v>10</v>
      </c>
      <c r="D25" s="382" t="s">
        <v>10</v>
      </c>
      <c r="E25" s="382" t="s">
        <v>10</v>
      </c>
      <c r="F25" s="382">
        <v>5.7041061825906736</v>
      </c>
    </row>
    <row r="26" spans="1:6" ht="30">
      <c r="A26" s="384" t="s">
        <v>15</v>
      </c>
      <c r="B26" s="382">
        <v>1.246314664237147</v>
      </c>
      <c r="C26" s="382" t="s">
        <v>10</v>
      </c>
      <c r="D26" s="382" t="s">
        <v>10</v>
      </c>
      <c r="E26" s="382" t="s">
        <v>10</v>
      </c>
      <c r="F26" s="382">
        <v>-0.78747859898904427</v>
      </c>
    </row>
    <row r="27" spans="1:6">
      <c r="A27" s="383"/>
      <c r="B27" s="383"/>
      <c r="C27" s="383"/>
      <c r="D27" s="383"/>
      <c r="E27" s="383"/>
      <c r="F27" s="383"/>
    </row>
    <row r="28" spans="1:6">
      <c r="A28" s="386" t="s">
        <v>55</v>
      </c>
      <c r="B28" s="383"/>
      <c r="C28" s="383"/>
      <c r="D28" s="383"/>
      <c r="E28" s="383"/>
      <c r="F28" s="383"/>
    </row>
    <row r="29" spans="1:6">
      <c r="A29" s="385" t="s">
        <v>56</v>
      </c>
      <c r="B29" s="386"/>
      <c r="C29" s="383"/>
      <c r="D29" s="383"/>
      <c r="E29" s="383"/>
      <c r="F29" s="383"/>
    </row>
    <row r="30" spans="1:6">
      <c r="A30" s="385" t="s">
        <v>41</v>
      </c>
      <c r="B30" s="380"/>
      <c r="C30" s="380"/>
      <c r="D30" s="380"/>
      <c r="E30" s="380"/>
      <c r="F30" s="380"/>
    </row>
    <row r="31" spans="1:6">
      <c r="A31" s="385" t="s">
        <v>62</v>
      </c>
      <c r="B31" s="380"/>
      <c r="C31" s="380"/>
      <c r="D31" s="380"/>
      <c r="E31" s="380"/>
      <c r="F31" s="380"/>
    </row>
  </sheetData>
  <mergeCells count="3">
    <mergeCell ref="A1:F1"/>
    <mergeCell ref="B2:F2"/>
    <mergeCell ref="A23:F23"/>
  </mergeCell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43"/>
  <sheetViews>
    <sheetView view="pageBreakPreview" zoomScale="75" zoomScaleNormal="100" zoomScaleSheetLayoutView="75" workbookViewId="0">
      <selection activeCell="E7" sqref="E7"/>
    </sheetView>
  </sheetViews>
  <sheetFormatPr defaultRowHeight="15"/>
  <cols>
    <col min="1" max="1" width="21" style="91" customWidth="1"/>
    <col min="2" max="2" width="18.7109375" style="91" customWidth="1"/>
    <col min="3" max="3" width="24.42578125" style="91" customWidth="1"/>
    <col min="4" max="4" width="16" style="91" customWidth="1"/>
    <col min="5" max="5" width="20" style="91" customWidth="1"/>
    <col min="6" max="6" width="24" style="91" customWidth="1"/>
    <col min="7" max="7" width="23.42578125" style="99" customWidth="1"/>
    <col min="8" max="27" width="10.140625" style="99" customWidth="1"/>
    <col min="28" max="29" width="10.140625" style="91" bestFit="1" customWidth="1"/>
    <col min="30" max="30" width="9.140625" style="91"/>
    <col min="31" max="47" width="0" style="91" hidden="1" customWidth="1"/>
    <col min="48" max="16384" width="9.140625" style="91"/>
  </cols>
  <sheetData>
    <row r="1" spans="1:47" ht="15" customHeight="1">
      <c r="A1" s="454" t="s">
        <v>372</v>
      </c>
      <c r="B1" s="454"/>
      <c r="C1" s="454"/>
      <c r="D1" s="454"/>
      <c r="E1" s="454"/>
      <c r="F1" s="454"/>
      <c r="G1" s="454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47" ht="34.5" customHeight="1">
      <c r="A2" s="66"/>
      <c r="B2" s="462" t="s">
        <v>86</v>
      </c>
      <c r="C2" s="462"/>
      <c r="D2" s="462"/>
      <c r="E2" s="462"/>
      <c r="F2" s="462"/>
      <c r="G2" s="462"/>
    </row>
    <row r="3" spans="1:47" ht="30">
      <c r="A3" s="66"/>
      <c r="B3" s="66" t="s">
        <v>80</v>
      </c>
      <c r="C3" s="66" t="s">
        <v>83</v>
      </c>
      <c r="D3" s="66" t="s">
        <v>84</v>
      </c>
      <c r="E3" s="66" t="s">
        <v>81</v>
      </c>
      <c r="F3" s="384" t="s">
        <v>540</v>
      </c>
      <c r="G3" s="269" t="s">
        <v>369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</row>
    <row r="4" spans="1:47" s="12" customFormat="1">
      <c r="A4" s="66">
        <v>1990</v>
      </c>
      <c r="B4" s="25">
        <v>2077</v>
      </c>
      <c r="C4" s="25">
        <v>706266</v>
      </c>
      <c r="D4" s="25">
        <v>11649</v>
      </c>
      <c r="E4" s="62">
        <f t="shared" ref="E4:E13" si="0">D4/B4</f>
        <v>5.6085700529610012</v>
      </c>
      <c r="F4" s="10">
        <f>(C4/B4)</f>
        <v>340.04140587385655</v>
      </c>
      <c r="G4" s="129">
        <f>(C4/D4)*1000</f>
        <v>60628.895184135974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47" s="12" customFormat="1">
      <c r="A5" s="66">
        <v>1991</v>
      </c>
      <c r="B5" s="25">
        <v>2034</v>
      </c>
      <c r="C5" s="25">
        <v>633682</v>
      </c>
      <c r="D5" s="25">
        <v>10673</v>
      </c>
      <c r="E5" s="62">
        <f t="shared" si="0"/>
        <v>5.2472959685349068</v>
      </c>
      <c r="F5" s="10">
        <f t="shared" ref="F5:F24" si="1">(C5/B5)</f>
        <v>311.5447394296952</v>
      </c>
      <c r="G5" s="129">
        <f t="shared" ref="G5:G24" si="2">(C5/D5)*1000</f>
        <v>59372.435116649489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47" s="12" customFormat="1">
      <c r="A6" s="66">
        <v>1992</v>
      </c>
      <c r="B6" s="25">
        <v>2054</v>
      </c>
      <c r="C6" s="25">
        <v>656966</v>
      </c>
      <c r="D6" s="25">
        <v>10534</v>
      </c>
      <c r="E6" s="62">
        <f t="shared" si="0"/>
        <v>5.1285296981499515</v>
      </c>
      <c r="F6" s="10">
        <f t="shared" si="1"/>
        <v>319.84712755598832</v>
      </c>
      <c r="G6" s="129">
        <f t="shared" si="2"/>
        <v>62366.242642870704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47" s="12" customFormat="1">
      <c r="A7" s="66">
        <v>1993</v>
      </c>
      <c r="B7" s="25">
        <v>2039</v>
      </c>
      <c r="C7" s="25">
        <v>674907</v>
      </c>
      <c r="D7" s="25">
        <v>10298</v>
      </c>
      <c r="E7" s="62">
        <f t="shared" si="0"/>
        <v>5.0505149583128981</v>
      </c>
      <c r="F7" s="10">
        <f t="shared" si="1"/>
        <v>330.99901912702308</v>
      </c>
      <c r="G7" s="129">
        <f t="shared" si="2"/>
        <v>65537.677218877448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47" s="12" customFormat="1">
      <c r="A8" s="66">
        <v>1994</v>
      </c>
      <c r="B8" s="25">
        <v>1675</v>
      </c>
      <c r="C8" s="25">
        <v>622688</v>
      </c>
      <c r="D8" s="25">
        <v>9464</v>
      </c>
      <c r="E8" s="62">
        <f t="shared" si="0"/>
        <v>5.6501492537313434</v>
      </c>
      <c r="F8" s="10">
        <f t="shared" si="1"/>
        <v>371.75402985074629</v>
      </c>
      <c r="G8" s="129">
        <f t="shared" si="2"/>
        <v>65795.435333896879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O8" s="12" t="s">
        <v>32</v>
      </c>
    </row>
    <row r="9" spans="1:47" s="12" customFormat="1">
      <c r="A9" s="66">
        <v>1995</v>
      </c>
      <c r="B9" s="25">
        <v>2224</v>
      </c>
      <c r="C9" s="25">
        <v>709295</v>
      </c>
      <c r="D9" s="25">
        <v>12181</v>
      </c>
      <c r="E9" s="62">
        <f t="shared" si="0"/>
        <v>5.4770683453237412</v>
      </c>
      <c r="F9" s="10">
        <f t="shared" si="1"/>
        <v>318.92760791366908</v>
      </c>
      <c r="G9" s="129">
        <f t="shared" si="2"/>
        <v>58229.619899844016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F9" s="12" t="s">
        <v>24</v>
      </c>
      <c r="AO9" s="12" t="s">
        <v>16</v>
      </c>
      <c r="AP9" s="12" t="s">
        <v>8</v>
      </c>
      <c r="AQ9" s="12" t="s">
        <v>3</v>
      </c>
      <c r="AR9" s="12" t="s">
        <v>4</v>
      </c>
      <c r="AS9" s="12" t="s">
        <v>17</v>
      </c>
      <c r="AT9" s="12" t="s">
        <v>6</v>
      </c>
      <c r="AU9" s="12" t="s">
        <v>7</v>
      </c>
    </row>
    <row r="10" spans="1:47" s="12" customFormat="1">
      <c r="A10" s="66">
        <v>1996</v>
      </c>
      <c r="B10" s="25">
        <v>2083</v>
      </c>
      <c r="C10" s="25">
        <v>750104</v>
      </c>
      <c r="D10" s="25">
        <v>11251</v>
      </c>
      <c r="E10" s="62">
        <f t="shared" si="0"/>
        <v>5.4013442150744115</v>
      </c>
      <c r="F10" s="10">
        <f t="shared" si="1"/>
        <v>360.10753720595295</v>
      </c>
      <c r="G10" s="129">
        <f t="shared" si="2"/>
        <v>66669.984890231979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F10" s="12" t="s">
        <v>16</v>
      </c>
      <c r="AG10" s="12" t="s">
        <v>8</v>
      </c>
      <c r="AH10" s="12" t="s">
        <v>3</v>
      </c>
      <c r="AI10" s="12" t="s">
        <v>4</v>
      </c>
      <c r="AJ10" s="12" t="s">
        <v>17</v>
      </c>
      <c r="AK10" s="12" t="s">
        <v>6</v>
      </c>
      <c r="AL10" s="12" t="s">
        <v>7</v>
      </c>
      <c r="AN10" s="12" t="s">
        <v>19</v>
      </c>
      <c r="AO10" s="12" t="e">
        <f>((B14/B11)^(1/3)-1)*100</f>
        <v>#VALUE!</v>
      </c>
      <c r="AP10" s="12">
        <f>((C14/C11)^(1/3)-1)*100</f>
        <v>12.289626004104859</v>
      </c>
      <c r="AQ10" s="12" t="e">
        <f>((F14/F11)^(1/3)-1)*100</f>
        <v>#VALUE!</v>
      </c>
      <c r="AR10" s="12">
        <f>((D14/D11)^(1/3)-1)*100</f>
        <v>20.193257023220056</v>
      </c>
      <c r="AS10" s="12" t="e">
        <f>((#REF!/#REF!)^(1/3)-1)*100</f>
        <v>#REF!</v>
      </c>
      <c r="AT10" s="12" t="e">
        <f>((AB14/AB11)^(1/3)-1)*100</f>
        <v>#DIV/0!</v>
      </c>
      <c r="AU10" s="12" t="e">
        <f t="shared" ref="AU10" si="3">((AC14/AC11)^(1/3)-1)*100</f>
        <v>#DIV/0!</v>
      </c>
    </row>
    <row r="11" spans="1:47" s="12" customFormat="1">
      <c r="A11" s="66">
        <v>1997</v>
      </c>
      <c r="B11" s="25">
        <v>1742</v>
      </c>
      <c r="C11" s="25">
        <v>739495</v>
      </c>
      <c r="D11" s="25">
        <v>12282</v>
      </c>
      <c r="E11" s="62">
        <f t="shared" si="0"/>
        <v>7.0505166475315733</v>
      </c>
      <c r="F11" s="10">
        <f t="shared" si="1"/>
        <v>424.50918484500573</v>
      </c>
      <c r="G11" s="129">
        <f t="shared" si="2"/>
        <v>60209.656407751179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E11" s="12">
        <v>1998</v>
      </c>
      <c r="AF11" s="12">
        <f t="shared" ref="AF11:AG16" si="4">((B12/B11)-1)*100</f>
        <v>19.058553386911605</v>
      </c>
      <c r="AG11" s="12">
        <f t="shared" si="4"/>
        <v>9.6134524236134222</v>
      </c>
      <c r="AH11" s="12">
        <f t="shared" ref="AH11:AH23" si="5">((F12/F11)-1)*100</f>
        <v>-7.9331561610730184</v>
      </c>
      <c r="AI11" s="12">
        <f t="shared" ref="AI11:AI16" si="6">((D12/D11)-1)*100</f>
        <v>14.150789773652495</v>
      </c>
      <c r="AJ11" s="12" t="e">
        <f>((#REF!/#REF!)-1)*100</f>
        <v>#REF!</v>
      </c>
      <c r="AK11" s="12" t="e">
        <f t="shared" ref="AK11:AK23" si="7">((AB12/AB11)-1)*100</f>
        <v>#DIV/0!</v>
      </c>
      <c r="AL11" s="12" t="e">
        <f t="shared" ref="AL11:AL23" si="8">((AC12/AC11)-1)*100</f>
        <v>#DIV/0!</v>
      </c>
      <c r="AN11" s="12" t="s">
        <v>21</v>
      </c>
      <c r="AO11" s="12" t="e">
        <f>((D22/B14)^(1/8)-1)*100</f>
        <v>#VALUE!</v>
      </c>
      <c r="AP11" s="12">
        <f>((C22/C14)^(1/8)-1)*100</f>
        <v>-2.1062006184805804</v>
      </c>
      <c r="AQ11" s="12" t="e">
        <f>((F22/F14)^(1/8)-1)*100</f>
        <v>#VALUE!</v>
      </c>
      <c r="AR11" s="12" t="e">
        <f>((#REF!/D14)^(1/8)-1)*100</f>
        <v>#REF!</v>
      </c>
      <c r="AS11" s="12" t="e">
        <f>((#REF!/#REF!)^(1/8)-1)*100</f>
        <v>#REF!</v>
      </c>
      <c r="AT11" s="12" t="e">
        <f>((AB22/AB14)^(1/8)-1)*100</f>
        <v>#DIV/0!</v>
      </c>
      <c r="AU11" s="12" t="e">
        <f t="shared" ref="AU11" si="9">((AC22/AC14)^(1/8)-1)*100</f>
        <v>#DIV/0!</v>
      </c>
    </row>
    <row r="12" spans="1:47" s="12" customFormat="1">
      <c r="A12" s="66">
        <v>1998</v>
      </c>
      <c r="B12" s="25">
        <v>2074</v>
      </c>
      <c r="C12" s="25">
        <v>810586</v>
      </c>
      <c r="D12" s="25">
        <v>14020</v>
      </c>
      <c r="E12" s="62">
        <f t="shared" si="0"/>
        <v>6.7598842815814848</v>
      </c>
      <c r="F12" s="10">
        <f t="shared" si="1"/>
        <v>390.83220829315331</v>
      </c>
      <c r="G12" s="129">
        <f t="shared" si="2"/>
        <v>57816.405135520683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E12" s="12">
        <v>1999</v>
      </c>
      <c r="AF12" s="12">
        <f t="shared" si="4"/>
        <v>9.2092574734812018</v>
      </c>
      <c r="AG12" s="12">
        <f t="shared" si="4"/>
        <v>-12.032282817615902</v>
      </c>
      <c r="AH12" s="12">
        <f t="shared" si="5"/>
        <v>-19.450311065666824</v>
      </c>
      <c r="AI12" s="12">
        <f t="shared" si="6"/>
        <v>-20.684736091298149</v>
      </c>
      <c r="AJ12" s="12" t="e">
        <f>((#REF!/#REF!)-1)*100</f>
        <v>#REF!</v>
      </c>
      <c r="AK12" s="12" t="e">
        <f t="shared" si="7"/>
        <v>#DIV/0!</v>
      </c>
      <c r="AL12" s="12" t="e">
        <f t="shared" si="8"/>
        <v>#DIV/0!</v>
      </c>
      <c r="AN12" s="12" t="s">
        <v>22</v>
      </c>
      <c r="AO12" s="12" t="e">
        <f>((#REF!/D22)^(1/5)-1)*100</f>
        <v>#REF!</v>
      </c>
      <c r="AP12" s="12" t="e">
        <f>((#REF!/C22)^(1/5)-1)*100</f>
        <v>#REF!</v>
      </c>
      <c r="AQ12" s="12" t="e">
        <f>((#REF!/F22)^(1/5)-1)*100</f>
        <v>#REF!</v>
      </c>
      <c r="AR12" s="12" t="e">
        <f>((#REF!/#REF!)^(1/5)-1)*100</f>
        <v>#REF!</v>
      </c>
      <c r="AS12" s="12" t="e">
        <f>((#REF!/#REF!)^(1/5)-1)*100</f>
        <v>#REF!</v>
      </c>
      <c r="AT12" s="12" t="e">
        <f>((#REF!/AB22)^(1/5)-1)*100</f>
        <v>#REF!</v>
      </c>
      <c r="AU12" s="12" t="e">
        <f>((#REF!/AC22)^(1/5)-1)*100</f>
        <v>#REF!</v>
      </c>
    </row>
    <row r="13" spans="1:47" s="12" customFormat="1">
      <c r="A13" s="66">
        <v>1999</v>
      </c>
      <c r="B13" s="25">
        <v>2265</v>
      </c>
      <c r="C13" s="25">
        <v>713054</v>
      </c>
      <c r="D13" s="25">
        <v>11120</v>
      </c>
      <c r="E13" s="62">
        <f t="shared" si="0"/>
        <v>4.9094922737306845</v>
      </c>
      <c r="F13" s="10">
        <f t="shared" si="1"/>
        <v>314.8141280353201</v>
      </c>
      <c r="G13" s="129">
        <f t="shared" si="2"/>
        <v>64123.561151079128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E13" s="12">
        <v>2000</v>
      </c>
      <c r="AF13" s="12" t="e">
        <f t="shared" si="4"/>
        <v>#VALUE!</v>
      </c>
      <c r="AG13" s="12">
        <f t="shared" si="4"/>
        <v>46.835723521640716</v>
      </c>
      <c r="AH13" s="12" t="e">
        <f t="shared" si="5"/>
        <v>#VALUE!</v>
      </c>
      <c r="AI13" s="12">
        <f t="shared" si="6"/>
        <v>91.78057553956836</v>
      </c>
      <c r="AJ13" s="12" t="e">
        <f>((#REF!/#REF!)-1)*100</f>
        <v>#REF!</v>
      </c>
      <c r="AK13" s="12" t="e">
        <f t="shared" si="7"/>
        <v>#DIV/0!</v>
      </c>
      <c r="AL13" s="12" t="e">
        <f t="shared" si="8"/>
        <v>#DIV/0!</v>
      </c>
      <c r="AN13" s="12" t="s">
        <v>18</v>
      </c>
      <c r="AO13" s="12" t="e">
        <f>((#REF!/B11)^(1/16)-1)*100</f>
        <v>#REF!</v>
      </c>
      <c r="AP13" s="12" t="e">
        <f>((#REF!/C11)^(1/16)-1)*100</f>
        <v>#REF!</v>
      </c>
      <c r="AQ13" s="12" t="e">
        <f>((#REF!/F11)^(1/16)-1)*100</f>
        <v>#REF!</v>
      </c>
      <c r="AR13" s="12" t="e">
        <f>((#REF!/D11)^(1/16)-1)*100</f>
        <v>#REF!</v>
      </c>
      <c r="AS13" s="12" t="e">
        <f>((#REF!/#REF!)^(1/16)-1)*100</f>
        <v>#REF!</v>
      </c>
      <c r="AT13" s="12" t="e">
        <f>((#REF!/AB11)^(1/16)-1)*100</f>
        <v>#REF!</v>
      </c>
      <c r="AU13" s="12" t="e">
        <f>((#REF!/AC11)^(1/16)-1)*100</f>
        <v>#REF!</v>
      </c>
    </row>
    <row r="14" spans="1:47" s="12" customFormat="1">
      <c r="A14" s="66">
        <v>2000</v>
      </c>
      <c r="B14" s="25" t="s">
        <v>9</v>
      </c>
      <c r="C14" s="25">
        <v>1047018</v>
      </c>
      <c r="D14" s="25">
        <v>21326</v>
      </c>
      <c r="E14" s="62" t="s">
        <v>9</v>
      </c>
      <c r="F14" s="62" t="s">
        <v>9</v>
      </c>
      <c r="G14" s="129">
        <f t="shared" si="2"/>
        <v>49095.845446872358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E14" s="12">
        <v>2001</v>
      </c>
      <c r="AF14" s="12" t="e">
        <f t="shared" si="4"/>
        <v>#VALUE!</v>
      </c>
      <c r="AG14" s="12">
        <f t="shared" si="4"/>
        <v>5.2487158768999231</v>
      </c>
      <c r="AH14" s="12" t="e">
        <f t="shared" si="5"/>
        <v>#VALUE!</v>
      </c>
      <c r="AI14" s="12">
        <f t="shared" si="6"/>
        <v>-18.489168151552093</v>
      </c>
      <c r="AJ14" s="12" t="e">
        <f>((#REF!/#REF!)-1)*100</f>
        <v>#REF!</v>
      </c>
      <c r="AK14" s="12" t="e">
        <f t="shared" si="7"/>
        <v>#DIV/0!</v>
      </c>
      <c r="AL14" s="12" t="e">
        <f t="shared" si="8"/>
        <v>#DIV/0!</v>
      </c>
    </row>
    <row r="15" spans="1:47" s="12" customFormat="1">
      <c r="A15" s="66">
        <v>2001</v>
      </c>
      <c r="B15" s="25" t="s">
        <v>9</v>
      </c>
      <c r="C15" s="25">
        <v>1101973</v>
      </c>
      <c r="D15" s="25">
        <v>17383</v>
      </c>
      <c r="E15" s="62" t="s">
        <v>9</v>
      </c>
      <c r="F15" s="62" t="s">
        <v>9</v>
      </c>
      <c r="G15" s="129">
        <f t="shared" si="2"/>
        <v>63393.718000345165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E15" s="12">
        <v>2002</v>
      </c>
      <c r="AF15" s="12" t="e">
        <f t="shared" si="4"/>
        <v>#VALUE!</v>
      </c>
      <c r="AG15" s="12">
        <f t="shared" si="4"/>
        <v>-16.717923215904563</v>
      </c>
      <c r="AH15" s="12" t="e">
        <f t="shared" si="5"/>
        <v>#VALUE!</v>
      </c>
      <c r="AI15" s="12">
        <f t="shared" si="6"/>
        <v>-13.392394868549729</v>
      </c>
      <c r="AJ15" s="12" t="e">
        <f>((#REF!/#REF!)-1)*100</f>
        <v>#REF!</v>
      </c>
      <c r="AK15" s="12" t="e">
        <f t="shared" si="7"/>
        <v>#DIV/0!</v>
      </c>
      <c r="AL15" s="12" t="e">
        <f t="shared" si="8"/>
        <v>#DIV/0!</v>
      </c>
    </row>
    <row r="16" spans="1:47" s="12" customFormat="1">
      <c r="A16" s="66">
        <v>2002</v>
      </c>
      <c r="B16" s="25" t="s">
        <v>9</v>
      </c>
      <c r="C16" s="25">
        <v>917746</v>
      </c>
      <c r="D16" s="25">
        <v>15055</v>
      </c>
      <c r="E16" s="62" t="s">
        <v>9</v>
      </c>
      <c r="F16" s="62" t="s">
        <v>9</v>
      </c>
      <c r="G16" s="129">
        <f t="shared" si="2"/>
        <v>60959.548322816336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E16" s="12">
        <v>2003</v>
      </c>
      <c r="AF16" s="12" t="e">
        <f t="shared" si="4"/>
        <v>#VALUE!</v>
      </c>
      <c r="AG16" s="12">
        <f t="shared" si="4"/>
        <v>2.4015359369585987</v>
      </c>
      <c r="AH16" s="12" t="e">
        <f t="shared" si="5"/>
        <v>#VALUE!</v>
      </c>
      <c r="AI16" s="12">
        <f t="shared" si="6"/>
        <v>-11.14579873796081</v>
      </c>
      <c r="AJ16" s="12" t="e">
        <f>((#REF!/#REF!)-1)*100</f>
        <v>#REF!</v>
      </c>
      <c r="AK16" s="12" t="e">
        <f t="shared" si="7"/>
        <v>#DIV/0!</v>
      </c>
      <c r="AL16" s="12" t="e">
        <f t="shared" si="8"/>
        <v>#DIV/0!</v>
      </c>
    </row>
    <row r="17" spans="1:38" s="95" customFormat="1" ht="15.75" thickBot="1">
      <c r="A17" s="94">
        <v>2003</v>
      </c>
      <c r="B17" s="82" t="s">
        <v>9</v>
      </c>
      <c r="C17" s="82">
        <v>939786</v>
      </c>
      <c r="D17" s="82">
        <v>13377</v>
      </c>
      <c r="E17" s="78" t="s">
        <v>9</v>
      </c>
      <c r="F17" s="78" t="s">
        <v>9</v>
      </c>
      <c r="G17" s="82">
        <f t="shared" si="2"/>
        <v>70253.868580399198</v>
      </c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E17" s="95">
        <v>2004</v>
      </c>
      <c r="AF17" s="95" t="e">
        <f>((D18/B17)-1)*100</f>
        <v>#VALUE!</v>
      </c>
      <c r="AG17" s="95">
        <f t="shared" ref="AG17:AG23" si="10">((C18/C17)-1)*100</f>
        <v>30.54323005450177</v>
      </c>
      <c r="AH17" s="95" t="e">
        <f t="shared" si="5"/>
        <v>#VALUE!</v>
      </c>
      <c r="AI17" s="95" t="e">
        <f>((#REF!/D17)-1)*100</f>
        <v>#REF!</v>
      </c>
      <c r="AJ17" s="95" t="e">
        <f>((#REF!/#REF!)-1)*100</f>
        <v>#REF!</v>
      </c>
      <c r="AK17" s="95" t="e">
        <f t="shared" si="7"/>
        <v>#DIV/0!</v>
      </c>
      <c r="AL17" s="95" t="e">
        <f t="shared" si="8"/>
        <v>#DIV/0!</v>
      </c>
    </row>
    <row r="18" spans="1:38" s="12" customFormat="1">
      <c r="A18" s="66">
        <v>2004</v>
      </c>
      <c r="B18" s="77">
        <v>2762</v>
      </c>
      <c r="C18" s="77">
        <v>1226827</v>
      </c>
      <c r="D18" s="77">
        <v>12660</v>
      </c>
      <c r="E18" s="62">
        <f t="shared" ref="E18:E24" si="11">D18/B18</f>
        <v>4.5836350470673421</v>
      </c>
      <c r="F18" s="10">
        <f t="shared" si="1"/>
        <v>444.1806661839247</v>
      </c>
      <c r="G18" s="129">
        <f t="shared" si="2"/>
        <v>96905.766192733005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E18" s="12">
        <v>2005</v>
      </c>
      <c r="AF18" s="12">
        <f t="shared" ref="AF18:AF23" si="12">((D19/D18)-1)*100</f>
        <v>10.639810426540276</v>
      </c>
      <c r="AG18" s="12">
        <f t="shared" si="10"/>
        <v>10.394619616294708</v>
      </c>
      <c r="AH18" s="12">
        <f t="shared" si="5"/>
        <v>-26.136158095880337</v>
      </c>
      <c r="AI18" s="12" t="e">
        <f>((#REF!/#REF!)-1)*100</f>
        <v>#REF!</v>
      </c>
      <c r="AJ18" s="12" t="e">
        <f>((#REF!/#REF!)-1)*100</f>
        <v>#REF!</v>
      </c>
      <c r="AK18" s="12" t="e">
        <f t="shared" si="7"/>
        <v>#DIV/0!</v>
      </c>
      <c r="AL18" s="12" t="e">
        <f t="shared" si="8"/>
        <v>#DIV/0!</v>
      </c>
    </row>
    <row r="19" spans="1:38" s="12" customFormat="1">
      <c r="A19" s="66">
        <v>2005</v>
      </c>
      <c r="B19" s="25">
        <v>4128</v>
      </c>
      <c r="C19" s="25">
        <v>1354351</v>
      </c>
      <c r="D19" s="25">
        <v>14007</v>
      </c>
      <c r="E19" s="62">
        <f t="shared" si="11"/>
        <v>3.3931686046511627</v>
      </c>
      <c r="F19" s="10">
        <f t="shared" si="1"/>
        <v>328.08890503875966</v>
      </c>
      <c r="G19" s="129">
        <f t="shared" si="2"/>
        <v>96691.011637038624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E19" s="12">
        <v>2006</v>
      </c>
      <c r="AF19" s="12">
        <f t="shared" si="12"/>
        <v>-8.4529163989433886</v>
      </c>
      <c r="AG19" s="12">
        <f t="shared" si="10"/>
        <v>-13.945646291101788</v>
      </c>
      <c r="AH19" s="12">
        <f t="shared" si="5"/>
        <v>-14.195079200402926</v>
      </c>
      <c r="AI19" s="12" t="e">
        <f>((#REF!/#REF!)-1)*100</f>
        <v>#REF!</v>
      </c>
      <c r="AJ19" s="12" t="e">
        <f>((#REF!/#REF!)-1)*100</f>
        <v>#REF!</v>
      </c>
      <c r="AK19" s="12" t="e">
        <f t="shared" si="7"/>
        <v>#DIV/0!</v>
      </c>
      <c r="AL19" s="12" t="e">
        <f t="shared" si="8"/>
        <v>#DIV/0!</v>
      </c>
    </row>
    <row r="20" spans="1:38" s="12" customFormat="1">
      <c r="A20" s="66">
        <v>2006</v>
      </c>
      <c r="B20" s="25">
        <v>4140</v>
      </c>
      <c r="C20" s="25">
        <v>1165478</v>
      </c>
      <c r="D20" s="25">
        <v>12823</v>
      </c>
      <c r="E20" s="62">
        <f t="shared" si="11"/>
        <v>3.0973429951690821</v>
      </c>
      <c r="F20" s="10">
        <f t="shared" si="1"/>
        <v>281.51642512077296</v>
      </c>
      <c r="G20" s="129">
        <f t="shared" si="2"/>
        <v>90889.651407626909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E20" s="12">
        <v>2007</v>
      </c>
      <c r="AF20" s="12">
        <f t="shared" si="12"/>
        <v>-3.6496919597598043</v>
      </c>
      <c r="AG20" s="12">
        <f t="shared" si="10"/>
        <v>-8.9764028149823538</v>
      </c>
      <c r="AH20" s="12">
        <f t="shared" si="5"/>
        <v>-8.6010932946948735</v>
      </c>
      <c r="AI20" s="12" t="e">
        <f>((#REF!/#REF!)-1)*100</f>
        <v>#REF!</v>
      </c>
      <c r="AJ20" s="12" t="e">
        <f>((#REF!/#REF!)-1)*100</f>
        <v>#REF!</v>
      </c>
      <c r="AK20" s="12" t="e">
        <f t="shared" si="7"/>
        <v>#DIV/0!</v>
      </c>
      <c r="AL20" s="12" t="e">
        <f t="shared" si="8"/>
        <v>#DIV/0!</v>
      </c>
    </row>
    <row r="21" spans="1:38" s="12" customFormat="1">
      <c r="A21" s="66">
        <v>2007</v>
      </c>
      <c r="B21" s="25">
        <v>4123</v>
      </c>
      <c r="C21" s="25">
        <v>1060860</v>
      </c>
      <c r="D21" s="25">
        <v>12355</v>
      </c>
      <c r="E21" s="62">
        <f t="shared" si="11"/>
        <v>2.9966044142614603</v>
      </c>
      <c r="F21" s="10">
        <f t="shared" si="1"/>
        <v>257.30293475624546</v>
      </c>
      <c r="G21" s="129">
        <f t="shared" si="2"/>
        <v>85864.832051800884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E21" s="12">
        <v>2008</v>
      </c>
      <c r="AF21" s="12">
        <f t="shared" si="12"/>
        <v>-5.3743423715095107</v>
      </c>
      <c r="AG21" s="12">
        <f t="shared" si="10"/>
        <v>-16.758950285617324</v>
      </c>
      <c r="AH21" s="12">
        <f t="shared" si="5"/>
        <v>-15.592019682144686</v>
      </c>
      <c r="AI21" s="12" t="e">
        <f>((#REF!/#REF!)-1)*100</f>
        <v>#REF!</v>
      </c>
      <c r="AJ21" s="12" t="e">
        <f>((#REF!/#REF!)-1)*100</f>
        <v>#REF!</v>
      </c>
      <c r="AK21" s="12" t="e">
        <f t="shared" si="7"/>
        <v>#DIV/0!</v>
      </c>
      <c r="AL21" s="12" t="e">
        <f t="shared" si="8"/>
        <v>#DIV/0!</v>
      </c>
    </row>
    <row r="22" spans="1:38" s="12" customFormat="1">
      <c r="A22" s="66">
        <v>2008</v>
      </c>
      <c r="B22" s="25">
        <v>4066</v>
      </c>
      <c r="C22" s="25">
        <v>883071</v>
      </c>
      <c r="D22" s="25">
        <v>11691</v>
      </c>
      <c r="E22" s="62">
        <f t="shared" si="11"/>
        <v>2.8753074274471224</v>
      </c>
      <c r="F22" s="10">
        <f t="shared" si="1"/>
        <v>217.18421052631578</v>
      </c>
      <c r="G22" s="129">
        <f t="shared" si="2"/>
        <v>75534.25712086221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E22" s="12">
        <v>2009</v>
      </c>
      <c r="AF22" s="12">
        <f t="shared" si="12"/>
        <v>-13.531776580275423</v>
      </c>
      <c r="AG22" s="12">
        <f t="shared" si="10"/>
        <v>-9.0166022890571629</v>
      </c>
      <c r="AH22" s="12">
        <f t="shared" si="5"/>
        <v>-4.0864674377252825</v>
      </c>
      <c r="AI22" s="12" t="e">
        <f>((#REF!/#REF!)-1)*100</f>
        <v>#REF!</v>
      </c>
      <c r="AJ22" s="12" t="e">
        <f>((#REF!/#REF!)-1)*100</f>
        <v>#REF!</v>
      </c>
      <c r="AK22" s="12" t="e">
        <f t="shared" si="7"/>
        <v>#DIV/0!</v>
      </c>
      <c r="AL22" s="12" t="e">
        <f t="shared" si="8"/>
        <v>#DIV/0!</v>
      </c>
    </row>
    <row r="23" spans="1:38" s="12" customFormat="1">
      <c r="A23" s="66">
        <v>2009</v>
      </c>
      <c r="B23" s="25">
        <v>3857</v>
      </c>
      <c r="C23" s="25">
        <v>803448</v>
      </c>
      <c r="D23" s="25">
        <v>10109</v>
      </c>
      <c r="E23" s="62">
        <f t="shared" si="11"/>
        <v>2.6209489240342236</v>
      </c>
      <c r="F23" s="10">
        <f t="shared" si="1"/>
        <v>208.30904848327717</v>
      </c>
      <c r="G23" s="129">
        <f t="shared" si="2"/>
        <v>79478.484518745667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E23" s="12">
        <v>2010</v>
      </c>
      <c r="AF23" s="12">
        <f t="shared" si="12"/>
        <v>-4.4712632307844498</v>
      </c>
      <c r="AG23" s="12">
        <f t="shared" si="10"/>
        <v>-2.0795371946908836</v>
      </c>
      <c r="AH23" s="12">
        <f t="shared" si="5"/>
        <v>-2.4840627317125552</v>
      </c>
      <c r="AI23" s="12" t="e">
        <f>((#REF!/#REF!)-1)*100</f>
        <v>#REF!</v>
      </c>
      <c r="AJ23" s="12" t="e">
        <f>((#REF!/#REF!)-1)*100</f>
        <v>#REF!</v>
      </c>
      <c r="AK23" s="12" t="e">
        <f t="shared" si="7"/>
        <v>#DIV/0!</v>
      </c>
      <c r="AL23" s="12" t="e">
        <f t="shared" si="8"/>
        <v>#DIV/0!</v>
      </c>
    </row>
    <row r="24" spans="1:38" s="12" customFormat="1">
      <c r="A24" s="66">
        <v>2010</v>
      </c>
      <c r="B24" s="81">
        <v>3873</v>
      </c>
      <c r="C24" s="81">
        <v>786740</v>
      </c>
      <c r="D24" s="81">
        <v>9657</v>
      </c>
      <c r="E24" s="92">
        <f t="shared" si="11"/>
        <v>2.4934159566227732</v>
      </c>
      <c r="F24" s="10">
        <f t="shared" si="1"/>
        <v>203.13452104311904</v>
      </c>
      <c r="G24" s="129">
        <f t="shared" si="2"/>
        <v>81468.364916640785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E24" s="12">
        <v>2011</v>
      </c>
      <c r="AF24" s="12" t="e">
        <f>((#REF!/D24)-1)*100</f>
        <v>#REF!</v>
      </c>
      <c r="AG24" s="12" t="e">
        <f>((#REF!/C24)-1)*100</f>
        <v>#REF!</v>
      </c>
      <c r="AH24" s="12" t="e">
        <f>((#REF!/F24)-1)*100</f>
        <v>#REF!</v>
      </c>
      <c r="AI24" s="12" t="e">
        <f>((#REF!/#REF!)-1)*100</f>
        <v>#REF!</v>
      </c>
      <c r="AJ24" s="12" t="e">
        <f>((#REF!/#REF!)-1)*100</f>
        <v>#REF!</v>
      </c>
      <c r="AK24" s="12" t="e">
        <f>((#REF!/AB24)-1)*100</f>
        <v>#REF!</v>
      </c>
      <c r="AL24" s="12" t="e">
        <f>((#REF!/AC24)-1)*100</f>
        <v>#REF!</v>
      </c>
    </row>
    <row r="25" spans="1:38">
      <c r="A25" s="9"/>
      <c r="B25" s="62"/>
      <c r="C25" s="62"/>
      <c r="D25" s="62"/>
      <c r="E25" s="62"/>
      <c r="F25" s="62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F25" s="91" t="s">
        <v>27</v>
      </c>
    </row>
    <row r="26" spans="1:38" ht="15" customHeight="1">
      <c r="A26" s="454" t="s">
        <v>32</v>
      </c>
      <c r="B26" s="454"/>
      <c r="C26" s="454"/>
      <c r="D26" s="454"/>
      <c r="E26" s="454"/>
      <c r="F26" s="454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F26" s="91" t="s">
        <v>16</v>
      </c>
      <c r="AG26" s="91" t="s">
        <v>8</v>
      </c>
      <c r="AH26" s="91" t="s">
        <v>3</v>
      </c>
      <c r="AI26" s="91" t="s">
        <v>4</v>
      </c>
      <c r="AJ26" s="91" t="s">
        <v>17</v>
      </c>
      <c r="AK26" s="91" t="s">
        <v>6</v>
      </c>
      <c r="AL26" s="91" t="s">
        <v>7</v>
      </c>
    </row>
    <row r="27" spans="1:38">
      <c r="A27" s="66" t="s">
        <v>85</v>
      </c>
      <c r="B27" s="11">
        <f>((B4/B13)^(1/9)-1)*100</f>
        <v>-0.95816026621591277</v>
      </c>
      <c r="C27" s="11">
        <f t="shared" ref="C27" si="13">((C4/C13)^(1/9)-1)*100</f>
        <v>-0.10622372928505985</v>
      </c>
      <c r="D27" s="11">
        <f t="shared" ref="D27:G27" si="14">((D4/D13)^(1/9)-1)*100</f>
        <v>0.51772503933966707</v>
      </c>
      <c r="E27" s="11">
        <f t="shared" si="14"/>
        <v>1.4901634597283664</v>
      </c>
      <c r="F27" s="11">
        <f t="shared" si="14"/>
        <v>0.86017842481600493</v>
      </c>
      <c r="G27" s="11">
        <f t="shared" si="14"/>
        <v>-0.6207350677510215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91">
        <v>1999</v>
      </c>
      <c r="AF27" s="91" t="e">
        <f>B13/$B$14</f>
        <v>#VALUE!</v>
      </c>
      <c r="AG27" s="91">
        <f t="shared" ref="AG27:AG28" si="15">C13/$C$14</f>
        <v>0.68103318185551731</v>
      </c>
      <c r="AH27" s="91" t="e">
        <f>F13/$F$14</f>
        <v>#VALUE!</v>
      </c>
      <c r="AI27" s="91">
        <f>D13/$D$14</f>
        <v>0.52142924130169743</v>
      </c>
      <c r="AJ27" s="91" t="e">
        <f>#REF!/#REF!</f>
        <v>#REF!</v>
      </c>
      <c r="AK27" s="91" t="e">
        <f t="shared" ref="AK27:AK28" si="16">AB13/$AB$14</f>
        <v>#DIV/0!</v>
      </c>
      <c r="AL27" s="91" t="e">
        <f t="shared" ref="AL27:AL28" si="17">AC13/$AC$14</f>
        <v>#DIV/0!</v>
      </c>
    </row>
    <row r="28" spans="1:38">
      <c r="A28" s="130" t="s">
        <v>323</v>
      </c>
      <c r="B28" s="11" t="s">
        <v>10</v>
      </c>
      <c r="C28" s="11">
        <f t="shared" ref="C28" si="18">((C13/C17)^(1/4)-1)*100</f>
        <v>-6.6695494543486999</v>
      </c>
      <c r="D28" s="11">
        <f t="shared" ref="D28:G28" si="19">((D13/D17)^(1/4)-1)*100</f>
        <v>-4.5147004126726902</v>
      </c>
      <c r="E28" s="11" t="s">
        <v>10</v>
      </c>
      <c r="F28" s="11" t="s">
        <v>10</v>
      </c>
      <c r="G28" s="11">
        <f t="shared" si="19"/>
        <v>-2.2567338124181879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91">
        <v>2000</v>
      </c>
      <c r="AF28" s="91" t="e">
        <f>B14/$B$14</f>
        <v>#VALUE!</v>
      </c>
      <c r="AG28" s="91">
        <f t="shared" si="15"/>
        <v>1</v>
      </c>
      <c r="AH28" s="91" t="e">
        <f>F14/$F$14</f>
        <v>#VALUE!</v>
      </c>
      <c r="AI28" s="91">
        <f>D14/$D$14</f>
        <v>1</v>
      </c>
      <c r="AJ28" s="91" t="e">
        <f>#REF!/#REF!</f>
        <v>#REF!</v>
      </c>
      <c r="AK28" s="91" t="e">
        <f t="shared" si="16"/>
        <v>#DIV/0!</v>
      </c>
      <c r="AL28" s="91" t="e">
        <f t="shared" si="17"/>
        <v>#DIV/0!</v>
      </c>
    </row>
    <row r="29" spans="1:38" s="259" customFormat="1">
      <c r="A29" s="325" t="s">
        <v>524</v>
      </c>
      <c r="B29" s="11" t="s">
        <v>10</v>
      </c>
      <c r="C29" s="11">
        <f t="shared" ref="C29:G29" si="20">((C21/C17)^(1/4)-1)*100</f>
        <v>3.0759333155560009</v>
      </c>
      <c r="D29" s="11">
        <f t="shared" si="20"/>
        <v>-1.9672906097879417</v>
      </c>
      <c r="E29" s="11" t="s">
        <v>10</v>
      </c>
      <c r="F29" s="11" t="s">
        <v>10</v>
      </c>
      <c r="G29" s="11">
        <f t="shared" si="20"/>
        <v>5.144429809921669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38" s="259" customFormat="1">
      <c r="A30" s="248" t="s">
        <v>368</v>
      </c>
      <c r="B30" s="11">
        <f>((B24/B21)^(1/3)-1)*100</f>
        <v>-2.0634681262257759</v>
      </c>
      <c r="C30" s="11">
        <f t="shared" ref="C30" si="21">((C24/C21)^(1/3)-1)*100</f>
        <v>-9.4842017776343148</v>
      </c>
      <c r="D30" s="11">
        <f t="shared" ref="D30:G30" si="22">((D24/D21)^(1/3)-1)*100</f>
        <v>-7.8844052373151063</v>
      </c>
      <c r="E30" s="11">
        <f t="shared" si="22"/>
        <v>-5.9435810108036673</v>
      </c>
      <c r="F30" s="11">
        <f t="shared" si="22"/>
        <v>-7.5770843723287795</v>
      </c>
      <c r="G30" s="11">
        <f t="shared" si="22"/>
        <v>-1.7367271464085121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38">
      <c r="A31" s="325" t="s">
        <v>525</v>
      </c>
      <c r="B31" s="11" t="s">
        <v>10</v>
      </c>
      <c r="C31" s="11">
        <f t="shared" ref="C31:G31" si="23">((C24/C14)^(1/10)-1)*100</f>
        <v>-2.817580258337582</v>
      </c>
      <c r="D31" s="11">
        <f t="shared" si="23"/>
        <v>-7.6167401733520101</v>
      </c>
      <c r="E31" s="11" t="s">
        <v>10</v>
      </c>
      <c r="F31" s="11" t="s">
        <v>10</v>
      </c>
      <c r="G31" s="11">
        <f t="shared" si="23"/>
        <v>5.194837164243582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E31" s="91">
        <v>2001</v>
      </c>
      <c r="AF31" s="91" t="e">
        <f>B15/$B$14</f>
        <v>#VALUE!</v>
      </c>
      <c r="AG31" s="91">
        <f>C15/$C$14</f>
        <v>1.0524871587689992</v>
      </c>
      <c r="AH31" s="91" t="e">
        <f>F15/$F$14</f>
        <v>#VALUE!</v>
      </c>
      <c r="AI31" s="91">
        <f>D15/$D$14</f>
        <v>0.81510831848447907</v>
      </c>
      <c r="AJ31" s="91" t="e">
        <f>#REF!/#REF!</f>
        <v>#REF!</v>
      </c>
      <c r="AK31" s="91" t="e">
        <f>AB15/$AB$14</f>
        <v>#DIV/0!</v>
      </c>
      <c r="AL31" s="91" t="e">
        <f>AC15/$AC$14</f>
        <v>#DIV/0!</v>
      </c>
    </row>
    <row r="32" spans="1:38" s="93" customFormat="1">
      <c r="A32" s="66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38" s="103" customFormat="1">
      <c r="A33" s="104" t="s">
        <v>39</v>
      </c>
      <c r="B33" s="104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38" s="103" customFormat="1">
      <c r="A34" s="104" t="s">
        <v>76</v>
      </c>
      <c r="B34" s="104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38" s="103" customFormat="1">
      <c r="A35" s="104" t="s">
        <v>9</v>
      </c>
      <c r="B35" s="104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38" s="103" customFormat="1">
      <c r="A36" s="104" t="s">
        <v>10</v>
      </c>
      <c r="B36" s="104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38" s="105" customFormat="1">
      <c r="A37" s="106" t="s">
        <v>40</v>
      </c>
      <c r="B37" s="10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38" s="105" customFormat="1">
      <c r="A38" s="231" t="s">
        <v>322</v>
      </c>
      <c r="B38" s="233"/>
      <c r="C38" s="233"/>
      <c r="D38" s="233"/>
      <c r="E38" s="233"/>
      <c r="F38" s="233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38" s="105" customFormat="1">
      <c r="A39" s="231" t="s">
        <v>144</v>
      </c>
      <c r="B39" s="107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38">
      <c r="A40" s="259" t="s">
        <v>370</v>
      </c>
      <c r="B40" s="97"/>
      <c r="AE40" s="91">
        <v>2008</v>
      </c>
      <c r="AF40" s="91" t="e">
        <f>D22/$B$14</f>
        <v>#VALUE!</v>
      </c>
      <c r="AG40" s="91">
        <f t="shared" ref="AG40" si="24">C22/$C$14</f>
        <v>0.84341529945043925</v>
      </c>
      <c r="AH40" s="91" t="e">
        <f>F22/$F$14</f>
        <v>#VALUE!</v>
      </c>
      <c r="AI40" s="91" t="e">
        <f>#REF!/$D$14</f>
        <v>#REF!</v>
      </c>
      <c r="AJ40" s="91" t="e">
        <f>#REF!/#REF!</f>
        <v>#REF!</v>
      </c>
      <c r="AK40" s="91" t="e">
        <f t="shared" ref="AK40" si="25">AB22/$AB$14</f>
        <v>#DIV/0!</v>
      </c>
      <c r="AL40" s="91" t="e">
        <f t="shared" ref="AL40" si="26">AC22/$AC$14</f>
        <v>#DIV/0!</v>
      </c>
    </row>
    <row r="41" spans="1:38">
      <c r="AE41" s="91">
        <v>2011</v>
      </c>
      <c r="AF41" s="91" t="e">
        <f>#REF!/$B$14</f>
        <v>#REF!</v>
      </c>
      <c r="AG41" s="91" t="e">
        <f>#REF!/$C$14</f>
        <v>#REF!</v>
      </c>
      <c r="AH41" s="91" t="e">
        <f>#REF!/$F$14</f>
        <v>#REF!</v>
      </c>
      <c r="AI41" s="91" t="e">
        <f>#REF!/$D$14</f>
        <v>#REF!</v>
      </c>
      <c r="AJ41" s="91" t="e">
        <f>#REF!/#REF!</f>
        <v>#REF!</v>
      </c>
      <c r="AK41" s="91" t="e">
        <f>#REF!/$AB$14</f>
        <v>#REF!</v>
      </c>
      <c r="AL41" s="91" t="e">
        <f>#REF!/$AC$14</f>
        <v>#REF!</v>
      </c>
    </row>
    <row r="42" spans="1:38">
      <c r="AE42" s="91">
        <v>2012</v>
      </c>
      <c r="AF42" s="91" t="e">
        <f>#REF!/$B$14</f>
        <v>#REF!</v>
      </c>
      <c r="AG42" s="91" t="e">
        <f>#REF!/$C$14</f>
        <v>#REF!</v>
      </c>
      <c r="AH42" s="91" t="e">
        <f>#REF!/$F$14</f>
        <v>#REF!</v>
      </c>
      <c r="AI42" s="91" t="e">
        <f>#REF!/$D$14</f>
        <v>#REF!</v>
      </c>
      <c r="AJ42" s="91" t="e">
        <f>#REF!/#REF!</f>
        <v>#REF!</v>
      </c>
      <c r="AK42" s="91" t="e">
        <f>#REF!/$AB$14</f>
        <v>#REF!</v>
      </c>
      <c r="AL42" s="91" t="e">
        <f>#REF!/$AC$14</f>
        <v>#REF!</v>
      </c>
    </row>
    <row r="43" spans="1:38">
      <c r="AE43" s="91">
        <v>2013</v>
      </c>
      <c r="AF43" s="91" t="e">
        <f>#REF!/$B$14</f>
        <v>#REF!</v>
      </c>
      <c r="AG43" s="91" t="e">
        <f>#REF!/$C$14</f>
        <v>#REF!</v>
      </c>
      <c r="AH43" s="91" t="e">
        <f>#REF!/$F$14</f>
        <v>#REF!</v>
      </c>
      <c r="AI43" s="91" t="e">
        <f>#REF!/$D$14</f>
        <v>#REF!</v>
      </c>
      <c r="AJ43" s="91" t="e">
        <f>#REF!/#REF!</f>
        <v>#REF!</v>
      </c>
      <c r="AK43" s="91" t="e">
        <f>#REF!/$AB$14</f>
        <v>#REF!</v>
      </c>
      <c r="AL43" s="91" t="e">
        <f>#REF!/$AC$14</f>
        <v>#REF!</v>
      </c>
    </row>
  </sheetData>
  <mergeCells count="3">
    <mergeCell ref="A26:F26"/>
    <mergeCell ref="B2:G2"/>
    <mergeCell ref="A1:G1"/>
  </mergeCells>
  <printOptions gridLines="1"/>
  <pageMargins left="0.70866141732283472" right="0.70866141732283472" top="0.74803149606299213" bottom="0.74803149606299213" header="0.31496062992125984" footer="0.31496062992125984"/>
  <pageSetup scale="61"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43"/>
  <sheetViews>
    <sheetView view="pageBreakPreview" zoomScale="75" zoomScaleNormal="100" zoomScaleSheetLayoutView="75" workbookViewId="0">
      <selection activeCell="B2" sqref="B2:G2"/>
    </sheetView>
  </sheetViews>
  <sheetFormatPr defaultRowHeight="15"/>
  <cols>
    <col min="1" max="1" width="21.140625" style="104" customWidth="1"/>
    <col min="2" max="2" width="27.28515625" style="104" customWidth="1"/>
    <col min="3" max="3" width="21.42578125" style="104" customWidth="1"/>
    <col min="4" max="4" width="21.28515625" style="104" customWidth="1"/>
    <col min="5" max="5" width="16" style="104" customWidth="1"/>
    <col min="6" max="6" width="25" style="104" customWidth="1"/>
    <col min="7" max="7" width="23.42578125" style="104" customWidth="1"/>
    <col min="8" max="27" width="10.140625" style="104" customWidth="1"/>
    <col min="28" max="29" width="10.140625" style="104" bestFit="1" customWidth="1"/>
    <col min="30" max="30" width="9.140625" style="104"/>
    <col min="31" max="47" width="0" style="104" hidden="1" customWidth="1"/>
    <col min="48" max="16384" width="9.140625" style="104"/>
  </cols>
  <sheetData>
    <row r="1" spans="1:47" ht="15" customHeight="1">
      <c r="A1" s="454" t="s">
        <v>373</v>
      </c>
      <c r="B1" s="454"/>
      <c r="C1" s="454"/>
      <c r="D1" s="454"/>
      <c r="E1" s="454"/>
      <c r="F1" s="454"/>
      <c r="G1" s="454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47" ht="34.5" customHeight="1">
      <c r="A2" s="66"/>
      <c r="B2" s="462" t="s">
        <v>86</v>
      </c>
      <c r="C2" s="462"/>
      <c r="D2" s="462"/>
      <c r="E2" s="462"/>
      <c r="F2" s="462"/>
      <c r="G2" s="462"/>
    </row>
    <row r="3" spans="1:47" ht="45">
      <c r="A3" s="66"/>
      <c r="B3" s="66" t="s">
        <v>80</v>
      </c>
      <c r="C3" s="66" t="s">
        <v>83</v>
      </c>
      <c r="D3" s="66" t="s">
        <v>84</v>
      </c>
      <c r="E3" s="66" t="s">
        <v>81</v>
      </c>
      <c r="F3" s="371" t="s">
        <v>540</v>
      </c>
      <c r="G3" s="270" t="s">
        <v>369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</row>
    <row r="4" spans="1:47" s="12" customFormat="1">
      <c r="A4" s="66">
        <v>1990</v>
      </c>
      <c r="B4" s="25">
        <v>1371</v>
      </c>
      <c r="C4" s="25">
        <v>438668</v>
      </c>
      <c r="D4" s="25">
        <v>6570</v>
      </c>
      <c r="E4" s="62">
        <f t="shared" ref="E4:E13" si="0">D4/B4</f>
        <v>4.7921225382932162</v>
      </c>
      <c r="F4" s="129">
        <f t="shared" ref="F4:F24" si="1">(C4/B4)</f>
        <v>319.96207148067106</v>
      </c>
      <c r="G4" s="129">
        <f>(C4/D4)*1000</f>
        <v>66768.340943683419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47" s="12" customFormat="1">
      <c r="A5" s="66">
        <v>1991</v>
      </c>
      <c r="B5" s="25">
        <v>1219</v>
      </c>
      <c r="C5" s="25">
        <v>385117</v>
      </c>
      <c r="D5" s="25">
        <v>5640</v>
      </c>
      <c r="E5" s="62">
        <f t="shared" si="0"/>
        <v>4.6267432321575059</v>
      </c>
      <c r="F5" s="129">
        <f t="shared" si="1"/>
        <v>315.92863002461036</v>
      </c>
      <c r="G5" s="129">
        <f t="shared" ref="G5:G24" si="2">(C5/D5)*1000</f>
        <v>68283.156028368787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47" s="12" customFormat="1">
      <c r="A6" s="66">
        <v>1992</v>
      </c>
      <c r="B6" s="25">
        <v>1563</v>
      </c>
      <c r="C6" s="25">
        <v>448229</v>
      </c>
      <c r="D6" s="25">
        <v>5959</v>
      </c>
      <c r="E6" s="62">
        <f t="shared" si="0"/>
        <v>3.8125399872040946</v>
      </c>
      <c r="F6" s="129">
        <f t="shared" si="1"/>
        <v>286.77479206653868</v>
      </c>
      <c r="G6" s="129">
        <f t="shared" si="2"/>
        <v>75218.828662527274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47" s="12" customFormat="1">
      <c r="A7" s="66">
        <v>1993</v>
      </c>
      <c r="B7" s="25">
        <v>1485</v>
      </c>
      <c r="C7" s="25">
        <v>445883</v>
      </c>
      <c r="D7" s="25">
        <v>5550</v>
      </c>
      <c r="E7" s="62">
        <f t="shared" si="0"/>
        <v>3.7373737373737375</v>
      </c>
      <c r="F7" s="129">
        <f t="shared" si="1"/>
        <v>300.25791245791248</v>
      </c>
      <c r="G7" s="129">
        <f t="shared" si="2"/>
        <v>80339.279279279275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47" s="12" customFormat="1">
      <c r="A8" s="66">
        <v>1994</v>
      </c>
      <c r="B8" s="25">
        <v>1213</v>
      </c>
      <c r="C8" s="25">
        <v>445935</v>
      </c>
      <c r="D8" s="25">
        <v>4949</v>
      </c>
      <c r="E8" s="62">
        <f t="shared" si="0"/>
        <v>4.0799670239076669</v>
      </c>
      <c r="F8" s="129">
        <f t="shared" si="1"/>
        <v>367.62984336356141</v>
      </c>
      <c r="G8" s="129">
        <f t="shared" si="2"/>
        <v>90106.0820367751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O8" s="12" t="s">
        <v>32</v>
      </c>
    </row>
    <row r="9" spans="1:47" s="12" customFormat="1">
      <c r="A9" s="66">
        <v>1995</v>
      </c>
      <c r="B9" s="25">
        <v>1492</v>
      </c>
      <c r="C9" s="25">
        <v>465860</v>
      </c>
      <c r="D9" s="25">
        <v>5508</v>
      </c>
      <c r="E9" s="62">
        <f t="shared" si="0"/>
        <v>3.6916890080428955</v>
      </c>
      <c r="F9" s="129">
        <f t="shared" si="1"/>
        <v>312.2386058981233</v>
      </c>
      <c r="G9" s="129">
        <f t="shared" si="2"/>
        <v>84578.79448075527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F9" s="12" t="s">
        <v>24</v>
      </c>
      <c r="AO9" s="12" t="s">
        <v>16</v>
      </c>
      <c r="AP9" s="12" t="s">
        <v>8</v>
      </c>
      <c r="AQ9" s="12" t="s">
        <v>3</v>
      </c>
      <c r="AR9" s="12" t="s">
        <v>4</v>
      </c>
      <c r="AS9" s="12" t="s">
        <v>17</v>
      </c>
      <c r="AT9" s="12" t="s">
        <v>6</v>
      </c>
      <c r="AU9" s="12" t="s">
        <v>7</v>
      </c>
    </row>
    <row r="10" spans="1:47" s="12" customFormat="1">
      <c r="A10" s="66">
        <v>1996</v>
      </c>
      <c r="B10" s="25">
        <v>1359</v>
      </c>
      <c r="C10" s="25">
        <v>497170</v>
      </c>
      <c r="D10" s="25">
        <v>5889</v>
      </c>
      <c r="E10" s="62">
        <f t="shared" si="0"/>
        <v>4.333333333333333</v>
      </c>
      <c r="F10" s="25">
        <f>(C10/B10)</f>
        <v>365.83517292126561</v>
      </c>
      <c r="G10" s="129">
        <f t="shared" si="2"/>
        <v>84423.501443368994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F10" s="12" t="s">
        <v>16</v>
      </c>
      <c r="AG10" s="12" t="s">
        <v>8</v>
      </c>
      <c r="AH10" s="12" t="s">
        <v>3</v>
      </c>
      <c r="AI10" s="12" t="s">
        <v>4</v>
      </c>
      <c r="AJ10" s="12" t="s">
        <v>17</v>
      </c>
      <c r="AK10" s="12" t="s">
        <v>6</v>
      </c>
      <c r="AL10" s="12" t="s">
        <v>7</v>
      </c>
      <c r="AN10" s="12" t="s">
        <v>19</v>
      </c>
      <c r="AO10" s="12" t="e">
        <f>((B14/B11)^(1/3)-1)*100</f>
        <v>#VALUE!</v>
      </c>
      <c r="AP10" s="12">
        <f>((C14/C11)^(1/3)-1)*100</f>
        <v>4.5682239815621362</v>
      </c>
      <c r="AQ10" s="12" t="e">
        <f>((F14/F11)^(1/3)-1)*100</f>
        <v>#VALUE!</v>
      </c>
      <c r="AR10" s="12">
        <f>((D14/D11)^(1/3)-1)*100</f>
        <v>0.45716136249138728</v>
      </c>
      <c r="AS10" s="12" t="e">
        <f>((#REF!/#REF!)^(1/3)-1)*100</f>
        <v>#REF!</v>
      </c>
      <c r="AT10" s="12" t="e">
        <f>((AB14/AB11)^(1/3)-1)*100</f>
        <v>#DIV/0!</v>
      </c>
      <c r="AU10" s="12" t="e">
        <f t="shared" ref="AU10" si="3">((AC14/AC11)^(1/3)-1)*100</f>
        <v>#DIV/0!</v>
      </c>
    </row>
    <row r="11" spans="1:47" s="12" customFormat="1">
      <c r="A11" s="66">
        <v>1997</v>
      </c>
      <c r="B11" s="25">
        <v>1757</v>
      </c>
      <c r="C11" s="25">
        <v>594201</v>
      </c>
      <c r="D11" s="25">
        <v>6242</v>
      </c>
      <c r="E11" s="62">
        <f t="shared" si="0"/>
        <v>3.5526465566306205</v>
      </c>
      <c r="F11" s="129">
        <f t="shared" si="1"/>
        <v>338.19066590779738</v>
      </c>
      <c r="G11" s="129">
        <f t="shared" si="2"/>
        <v>95194.008330663259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E11" s="12">
        <v>1998</v>
      </c>
      <c r="AF11" s="12">
        <f t="shared" ref="AF11:AG16" si="4">((B12/B11)-1)*100</f>
        <v>-27.717700626067167</v>
      </c>
      <c r="AG11" s="12">
        <f t="shared" si="4"/>
        <v>-1.5826294469379887</v>
      </c>
      <c r="AH11" s="12">
        <f t="shared" ref="AH11:AH23" si="5">((F12/F11)-1)*100</f>
        <v>36.156944930496017</v>
      </c>
      <c r="AI11" s="12">
        <f t="shared" ref="AI11:AI16" si="6">((D12/D11)-1)*100</f>
        <v>15.908362704261458</v>
      </c>
      <c r="AJ11" s="12" t="e">
        <f>((#REF!/#REF!)-1)*100</f>
        <v>#REF!</v>
      </c>
      <c r="AK11" s="12" t="e">
        <f t="shared" ref="AK11:AK23" si="7">((AB12/AB11)-1)*100</f>
        <v>#DIV/0!</v>
      </c>
      <c r="AL11" s="12" t="e">
        <f t="shared" ref="AL11:AL23" si="8">((AC12/AC11)-1)*100</f>
        <v>#DIV/0!</v>
      </c>
      <c r="AN11" s="12" t="s">
        <v>21</v>
      </c>
      <c r="AO11" s="12" t="e">
        <f>((D22/B14)^(1/8)-1)*100</f>
        <v>#VALUE!</v>
      </c>
      <c r="AP11" s="12">
        <f>((C22/C14)^(1/8)-1)*100</f>
        <v>-1.3535738920746776</v>
      </c>
      <c r="AQ11" s="12" t="e">
        <f>((F22/F14)^(1/8)-1)*100</f>
        <v>#VALUE!</v>
      </c>
      <c r="AR11" s="12" t="e">
        <f>((#REF!/D14)^(1/8)-1)*100</f>
        <v>#REF!</v>
      </c>
      <c r="AS11" s="12" t="e">
        <f>((#REF!/#REF!)^(1/8)-1)*100</f>
        <v>#REF!</v>
      </c>
      <c r="AT11" s="12" t="e">
        <f>((AB22/AB14)^(1/8)-1)*100</f>
        <v>#DIV/0!</v>
      </c>
      <c r="AU11" s="12" t="e">
        <f t="shared" ref="AU11" si="9">((AC22/AC14)^(1/8)-1)*100</f>
        <v>#DIV/0!</v>
      </c>
    </row>
    <row r="12" spans="1:47" s="12" customFormat="1">
      <c r="A12" s="66">
        <v>1998</v>
      </c>
      <c r="B12" s="25">
        <v>1270</v>
      </c>
      <c r="C12" s="25">
        <v>584797</v>
      </c>
      <c r="D12" s="25">
        <v>7235</v>
      </c>
      <c r="E12" s="62">
        <f t="shared" si="0"/>
        <v>5.6968503937007871</v>
      </c>
      <c r="F12" s="129">
        <f t="shared" si="1"/>
        <v>460.47007874015748</v>
      </c>
      <c r="G12" s="129">
        <f t="shared" si="2"/>
        <v>80828.887353144441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E12" s="12">
        <v>1999</v>
      </c>
      <c r="AF12" s="12">
        <f t="shared" si="4"/>
        <v>30.472440944881885</v>
      </c>
      <c r="AG12" s="12">
        <f t="shared" si="4"/>
        <v>-5.3883655353909159</v>
      </c>
      <c r="AH12" s="12">
        <f t="shared" si="5"/>
        <v>-27.485349565447471</v>
      </c>
      <c r="AI12" s="12">
        <f t="shared" si="6"/>
        <v>-10.780926053904627</v>
      </c>
      <c r="AJ12" s="12" t="e">
        <f>((#REF!/#REF!)-1)*100</f>
        <v>#REF!</v>
      </c>
      <c r="AK12" s="12" t="e">
        <f t="shared" si="7"/>
        <v>#DIV/0!</v>
      </c>
      <c r="AL12" s="12" t="e">
        <f t="shared" si="8"/>
        <v>#DIV/0!</v>
      </c>
      <c r="AN12" s="12" t="s">
        <v>22</v>
      </c>
      <c r="AO12" s="12" t="e">
        <f>((#REF!/D22)^(1/5)-1)*100</f>
        <v>#REF!</v>
      </c>
      <c r="AP12" s="12" t="e">
        <f>((#REF!/C22)^(1/5)-1)*100</f>
        <v>#REF!</v>
      </c>
      <c r="AQ12" s="12" t="e">
        <f>((#REF!/F22)^(1/5)-1)*100</f>
        <v>#REF!</v>
      </c>
      <c r="AR12" s="12" t="e">
        <f>((#REF!/#REF!)^(1/5)-1)*100</f>
        <v>#REF!</v>
      </c>
      <c r="AS12" s="12" t="e">
        <f>((#REF!/#REF!)^(1/5)-1)*100</f>
        <v>#REF!</v>
      </c>
      <c r="AT12" s="12" t="e">
        <f>((#REF!/AB22)^(1/5)-1)*100</f>
        <v>#REF!</v>
      </c>
      <c r="AU12" s="12" t="e">
        <f>((#REF!/AC22)^(1/5)-1)*100</f>
        <v>#REF!</v>
      </c>
    </row>
    <row r="13" spans="1:47" s="12" customFormat="1">
      <c r="A13" s="66">
        <v>1999</v>
      </c>
      <c r="B13" s="25">
        <v>1657</v>
      </c>
      <c r="C13" s="25">
        <v>553286</v>
      </c>
      <c r="D13" s="25">
        <v>6455</v>
      </c>
      <c r="E13" s="62">
        <f t="shared" si="0"/>
        <v>3.8955944477972237</v>
      </c>
      <c r="F13" s="129">
        <f t="shared" si="1"/>
        <v>333.90826795413398</v>
      </c>
      <c r="G13" s="129">
        <f t="shared" si="2"/>
        <v>85714.329976762208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E13" s="12">
        <v>2000</v>
      </c>
      <c r="AF13" s="12" t="e">
        <f t="shared" si="4"/>
        <v>#VALUE!</v>
      </c>
      <c r="AG13" s="12">
        <f t="shared" si="4"/>
        <v>22.79562468596712</v>
      </c>
      <c r="AH13" s="12" t="e">
        <f t="shared" si="5"/>
        <v>#VALUE!</v>
      </c>
      <c r="AI13" s="12">
        <f t="shared" si="6"/>
        <v>-1.967467079783114</v>
      </c>
      <c r="AJ13" s="12" t="e">
        <f>((#REF!/#REF!)-1)*100</f>
        <v>#REF!</v>
      </c>
      <c r="AK13" s="12" t="e">
        <f t="shared" si="7"/>
        <v>#DIV/0!</v>
      </c>
      <c r="AL13" s="12" t="e">
        <f t="shared" si="8"/>
        <v>#DIV/0!</v>
      </c>
      <c r="AN13" s="12" t="s">
        <v>18</v>
      </c>
      <c r="AO13" s="12" t="e">
        <f>((#REF!/B11)^(1/16)-1)*100</f>
        <v>#REF!</v>
      </c>
      <c r="AP13" s="12" t="e">
        <f>((#REF!/C11)^(1/16)-1)*100</f>
        <v>#REF!</v>
      </c>
      <c r="AQ13" s="12" t="e">
        <f>((#REF!/F11)^(1/16)-1)*100</f>
        <v>#REF!</v>
      </c>
      <c r="AR13" s="12" t="e">
        <f>((#REF!/D11)^(1/16)-1)*100</f>
        <v>#REF!</v>
      </c>
      <c r="AS13" s="12" t="e">
        <f>((#REF!/#REF!)^(1/16)-1)*100</f>
        <v>#REF!</v>
      </c>
      <c r="AT13" s="12" t="e">
        <f>((#REF!/AB11)^(1/16)-1)*100</f>
        <v>#REF!</v>
      </c>
      <c r="AU13" s="12" t="e">
        <f>((#REF!/AC11)^(1/16)-1)*100</f>
        <v>#REF!</v>
      </c>
    </row>
    <row r="14" spans="1:47" s="12" customFormat="1">
      <c r="A14" s="66">
        <v>2000</v>
      </c>
      <c r="B14" s="25" t="s">
        <v>9</v>
      </c>
      <c r="C14" s="25">
        <v>679411</v>
      </c>
      <c r="D14" s="25">
        <v>6328</v>
      </c>
      <c r="E14" s="62" t="s">
        <v>9</v>
      </c>
      <c r="F14" s="62" t="s">
        <v>9</v>
      </c>
      <c r="G14" s="129">
        <f t="shared" si="2"/>
        <v>107365.83438685209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E14" s="12">
        <v>2001</v>
      </c>
      <c r="AF14" s="12" t="e">
        <f t="shared" si="4"/>
        <v>#VALUE!</v>
      </c>
      <c r="AG14" s="12">
        <f t="shared" si="4"/>
        <v>35.916404061753497</v>
      </c>
      <c r="AH14" s="12" t="e">
        <f t="shared" si="5"/>
        <v>#VALUE!</v>
      </c>
      <c r="AI14" s="12">
        <f t="shared" si="6"/>
        <v>-1.896333754740831</v>
      </c>
      <c r="AJ14" s="12" t="e">
        <f>((#REF!/#REF!)-1)*100</f>
        <v>#REF!</v>
      </c>
      <c r="AK14" s="12" t="e">
        <f t="shared" si="7"/>
        <v>#DIV/0!</v>
      </c>
      <c r="AL14" s="12" t="e">
        <f t="shared" si="8"/>
        <v>#DIV/0!</v>
      </c>
    </row>
    <row r="15" spans="1:47" s="12" customFormat="1">
      <c r="A15" s="66">
        <v>2001</v>
      </c>
      <c r="B15" s="25" t="s">
        <v>9</v>
      </c>
      <c r="C15" s="25">
        <v>923431</v>
      </c>
      <c r="D15" s="25">
        <v>6208</v>
      </c>
      <c r="E15" s="62" t="s">
        <v>9</v>
      </c>
      <c r="F15" s="62" t="s">
        <v>9</v>
      </c>
      <c r="G15" s="129">
        <f t="shared" si="2"/>
        <v>148748.55025773196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E15" s="12">
        <v>2002</v>
      </c>
      <c r="AF15" s="12" t="e">
        <f t="shared" si="4"/>
        <v>#VALUE!</v>
      </c>
      <c r="AG15" s="12">
        <f t="shared" si="4"/>
        <v>-43.725410994432721</v>
      </c>
      <c r="AH15" s="12" t="e">
        <f t="shared" si="5"/>
        <v>#VALUE!</v>
      </c>
      <c r="AI15" s="12">
        <f t="shared" si="6"/>
        <v>-0.9503865979381465</v>
      </c>
      <c r="AJ15" s="12" t="e">
        <f>((#REF!/#REF!)-1)*100</f>
        <v>#REF!</v>
      </c>
      <c r="AK15" s="12" t="e">
        <f t="shared" si="7"/>
        <v>#DIV/0!</v>
      </c>
      <c r="AL15" s="12" t="e">
        <f t="shared" si="8"/>
        <v>#DIV/0!</v>
      </c>
    </row>
    <row r="16" spans="1:47" s="12" customFormat="1">
      <c r="A16" s="66">
        <v>2002</v>
      </c>
      <c r="B16" s="25" t="s">
        <v>9</v>
      </c>
      <c r="C16" s="25">
        <v>519657</v>
      </c>
      <c r="D16" s="25">
        <v>6149</v>
      </c>
      <c r="E16" s="62" t="s">
        <v>9</v>
      </c>
      <c r="F16" s="62" t="s">
        <v>9</v>
      </c>
      <c r="G16" s="129">
        <f t="shared" si="2"/>
        <v>84510.814766628726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E16" s="12">
        <v>2003</v>
      </c>
      <c r="AF16" s="12" t="e">
        <f t="shared" si="4"/>
        <v>#VALUE!</v>
      </c>
      <c r="AG16" s="12">
        <f t="shared" si="4"/>
        <v>19.154557717879285</v>
      </c>
      <c r="AH16" s="12" t="e">
        <f t="shared" si="5"/>
        <v>#VALUE!</v>
      </c>
      <c r="AI16" s="12">
        <f t="shared" si="6"/>
        <v>5.9684501544966739</v>
      </c>
      <c r="AJ16" s="12" t="e">
        <f>((#REF!/#REF!)-1)*100</f>
        <v>#REF!</v>
      </c>
      <c r="AK16" s="12" t="e">
        <f t="shared" si="7"/>
        <v>#DIV/0!</v>
      </c>
      <c r="AL16" s="12" t="e">
        <f t="shared" si="8"/>
        <v>#DIV/0!</v>
      </c>
    </row>
    <row r="17" spans="1:38" s="95" customFormat="1" ht="15.75" thickBot="1">
      <c r="A17" s="94">
        <v>2003</v>
      </c>
      <c r="B17" s="82" t="s">
        <v>9</v>
      </c>
      <c r="C17" s="82">
        <v>619195</v>
      </c>
      <c r="D17" s="82">
        <v>6516</v>
      </c>
      <c r="E17" s="78" t="s">
        <v>9</v>
      </c>
      <c r="F17" s="78" t="s">
        <v>9</v>
      </c>
      <c r="G17" s="82">
        <f t="shared" si="2"/>
        <v>95026.856967464701</v>
      </c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E17" s="95">
        <v>2004</v>
      </c>
      <c r="AF17" s="95" t="e">
        <f>((D18/B17)-1)*100</f>
        <v>#VALUE!</v>
      </c>
      <c r="AG17" s="95">
        <f t="shared" ref="AG17:AG23" si="10">((C18/C17)-1)*100</f>
        <v>34.521758089131851</v>
      </c>
      <c r="AH17" s="95" t="e">
        <f t="shared" si="5"/>
        <v>#VALUE!</v>
      </c>
      <c r="AI17" s="95" t="e">
        <f>((#REF!/D17)-1)*100</f>
        <v>#REF!</v>
      </c>
      <c r="AJ17" s="95" t="e">
        <f>((#REF!/#REF!)-1)*100</f>
        <v>#REF!</v>
      </c>
      <c r="AK17" s="95" t="e">
        <f t="shared" si="7"/>
        <v>#DIV/0!</v>
      </c>
      <c r="AL17" s="95" t="e">
        <f t="shared" si="8"/>
        <v>#DIV/0!</v>
      </c>
    </row>
    <row r="18" spans="1:38" s="12" customFormat="1">
      <c r="A18" s="66">
        <v>2004</v>
      </c>
      <c r="B18" s="77">
        <v>1352</v>
      </c>
      <c r="C18" s="77">
        <v>832952</v>
      </c>
      <c r="D18" s="77">
        <v>7546</v>
      </c>
      <c r="E18" s="62">
        <f t="shared" ref="E18:E24" si="11">D18/B18</f>
        <v>5.581360946745562</v>
      </c>
      <c r="F18" s="129">
        <f t="shared" si="1"/>
        <v>616.08875739644975</v>
      </c>
      <c r="G18" s="129">
        <f t="shared" si="2"/>
        <v>110383.24940365757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E18" s="12">
        <v>2005</v>
      </c>
      <c r="AF18" s="12">
        <f t="shared" ref="AF18:AF23" si="12">((D19/D18)-1)*100</f>
        <v>8.7728597932679619</v>
      </c>
      <c r="AG18" s="12">
        <f t="shared" si="10"/>
        <v>15.879426425532328</v>
      </c>
      <c r="AH18" s="12">
        <f t="shared" si="5"/>
        <v>-30.769339581387676</v>
      </c>
      <c r="AI18" s="12" t="e">
        <f>((#REF!/#REF!)-1)*100</f>
        <v>#REF!</v>
      </c>
      <c r="AJ18" s="12" t="e">
        <f>((#REF!/#REF!)-1)*100</f>
        <v>#REF!</v>
      </c>
      <c r="AK18" s="12" t="e">
        <f t="shared" si="7"/>
        <v>#DIV/0!</v>
      </c>
      <c r="AL18" s="12" t="e">
        <f t="shared" si="8"/>
        <v>#DIV/0!</v>
      </c>
    </row>
    <row r="19" spans="1:38" s="12" customFormat="1">
      <c r="A19" s="66">
        <v>2005</v>
      </c>
      <c r="B19" s="25">
        <v>2263</v>
      </c>
      <c r="C19" s="25">
        <v>965220</v>
      </c>
      <c r="D19" s="25">
        <v>8208</v>
      </c>
      <c r="E19" s="62">
        <f t="shared" si="11"/>
        <v>3.6270437472381793</v>
      </c>
      <c r="F19" s="129">
        <f t="shared" si="1"/>
        <v>426.52231551038443</v>
      </c>
      <c r="G19" s="129">
        <f t="shared" si="2"/>
        <v>117595.02923976608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E19" s="12">
        <v>2006</v>
      </c>
      <c r="AF19" s="12">
        <f t="shared" si="12"/>
        <v>-10.806530214424948</v>
      </c>
      <c r="AG19" s="12">
        <f t="shared" si="10"/>
        <v>-15.161517581484018</v>
      </c>
      <c r="AH19" s="12">
        <f t="shared" si="5"/>
        <v>-6.3008854499259641</v>
      </c>
      <c r="AI19" s="12" t="e">
        <f>((#REF!/#REF!)-1)*100</f>
        <v>#REF!</v>
      </c>
      <c r="AJ19" s="12" t="e">
        <f>((#REF!/#REF!)-1)*100</f>
        <v>#REF!</v>
      </c>
      <c r="AK19" s="12" t="e">
        <f t="shared" si="7"/>
        <v>#DIV/0!</v>
      </c>
      <c r="AL19" s="12" t="e">
        <f t="shared" si="8"/>
        <v>#DIV/0!</v>
      </c>
    </row>
    <row r="20" spans="1:38" s="12" customFormat="1">
      <c r="A20" s="66">
        <v>2006</v>
      </c>
      <c r="B20" s="25">
        <v>2049</v>
      </c>
      <c r="C20" s="25">
        <v>818878</v>
      </c>
      <c r="D20" s="25">
        <v>7321</v>
      </c>
      <c r="E20" s="62">
        <f t="shared" si="11"/>
        <v>3.5729624206930208</v>
      </c>
      <c r="F20" s="129">
        <f t="shared" si="1"/>
        <v>399.64763299170329</v>
      </c>
      <c r="G20" s="129">
        <f t="shared" si="2"/>
        <v>111853.29872968174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E20" s="12">
        <v>2007</v>
      </c>
      <c r="AF20" s="12">
        <f t="shared" si="12"/>
        <v>-8.2638983745390036</v>
      </c>
      <c r="AG20" s="12">
        <f t="shared" si="10"/>
        <v>-15.966480965418539</v>
      </c>
      <c r="AH20" s="12">
        <f t="shared" si="5"/>
        <v>-14.207931987116385</v>
      </c>
      <c r="AI20" s="12" t="e">
        <f>((#REF!/#REF!)-1)*100</f>
        <v>#REF!</v>
      </c>
      <c r="AJ20" s="12" t="e">
        <f>((#REF!/#REF!)-1)*100</f>
        <v>#REF!</v>
      </c>
      <c r="AK20" s="12" t="e">
        <f t="shared" si="7"/>
        <v>#DIV/0!</v>
      </c>
      <c r="AL20" s="12" t="e">
        <f t="shared" si="8"/>
        <v>#DIV/0!</v>
      </c>
    </row>
    <row r="21" spans="1:38" s="12" customFormat="1">
      <c r="A21" s="66">
        <v>2007</v>
      </c>
      <c r="B21" s="25">
        <v>2007</v>
      </c>
      <c r="C21" s="25">
        <v>688132</v>
      </c>
      <c r="D21" s="25">
        <v>6716</v>
      </c>
      <c r="E21" s="62">
        <f t="shared" si="11"/>
        <v>3.3462879920279023</v>
      </c>
      <c r="F21" s="129">
        <f t="shared" si="1"/>
        <v>342.86596910812159</v>
      </c>
      <c r="G21" s="129">
        <f t="shared" si="2"/>
        <v>102461.58427635497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E21" s="12">
        <v>2008</v>
      </c>
      <c r="AF21" s="12">
        <f t="shared" si="12"/>
        <v>-16.259678379988085</v>
      </c>
      <c r="AG21" s="12">
        <f t="shared" si="10"/>
        <v>-11.46567809664425</v>
      </c>
      <c r="AH21" s="12">
        <f t="shared" si="5"/>
        <v>-7.0667447384754283</v>
      </c>
      <c r="AI21" s="12" t="e">
        <f>((#REF!/#REF!)-1)*100</f>
        <v>#REF!</v>
      </c>
      <c r="AJ21" s="12" t="e">
        <f>((#REF!/#REF!)-1)*100</f>
        <v>#REF!</v>
      </c>
      <c r="AK21" s="12" t="e">
        <f t="shared" si="7"/>
        <v>#DIV/0!</v>
      </c>
      <c r="AL21" s="12" t="e">
        <f t="shared" si="8"/>
        <v>#DIV/0!</v>
      </c>
    </row>
    <row r="22" spans="1:38" s="12" customFormat="1">
      <c r="A22" s="66">
        <v>2008</v>
      </c>
      <c r="B22" s="25">
        <v>1912</v>
      </c>
      <c r="C22" s="25">
        <v>609233</v>
      </c>
      <c r="D22" s="25">
        <v>5624</v>
      </c>
      <c r="E22" s="62">
        <f t="shared" si="11"/>
        <v>2.9414225941422596</v>
      </c>
      <c r="F22" s="129">
        <f t="shared" si="1"/>
        <v>318.63650627615061</v>
      </c>
      <c r="G22" s="129">
        <f t="shared" si="2"/>
        <v>108327.34708392603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E22" s="12">
        <v>2009</v>
      </c>
      <c r="AF22" s="12">
        <f t="shared" si="12"/>
        <v>-33.108108108108105</v>
      </c>
      <c r="AG22" s="12">
        <f t="shared" si="10"/>
        <v>-31.427384924979439</v>
      </c>
      <c r="AH22" s="12">
        <f t="shared" si="5"/>
        <v>-26.507376668475715</v>
      </c>
      <c r="AI22" s="12" t="e">
        <f>((#REF!/#REF!)-1)*100</f>
        <v>#REF!</v>
      </c>
      <c r="AJ22" s="12" t="e">
        <f>((#REF!/#REF!)-1)*100</f>
        <v>#REF!</v>
      </c>
      <c r="AK22" s="12" t="e">
        <f t="shared" si="7"/>
        <v>#DIV/0!</v>
      </c>
      <c r="AL22" s="12" t="e">
        <f t="shared" si="8"/>
        <v>#DIV/0!</v>
      </c>
    </row>
    <row r="23" spans="1:38" s="12" customFormat="1">
      <c r="A23" s="66">
        <v>2009</v>
      </c>
      <c r="B23" s="25">
        <v>1784</v>
      </c>
      <c r="C23" s="25">
        <v>417767</v>
      </c>
      <c r="D23" s="25">
        <v>3762</v>
      </c>
      <c r="E23" s="62">
        <f t="shared" si="11"/>
        <v>2.1087443946188342</v>
      </c>
      <c r="F23" s="129">
        <f t="shared" si="1"/>
        <v>234.1743273542601</v>
      </c>
      <c r="G23" s="129">
        <f t="shared" si="2"/>
        <v>111049.17597022861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E23" s="12">
        <v>2010</v>
      </c>
      <c r="AF23" s="12">
        <f t="shared" si="12"/>
        <v>-2.3391812865497075</v>
      </c>
      <c r="AG23" s="12">
        <f t="shared" si="10"/>
        <v>-13.565695710767011</v>
      </c>
      <c r="AH23" s="12">
        <f t="shared" si="5"/>
        <v>-12.087343870016165</v>
      </c>
      <c r="AI23" s="12" t="e">
        <f>((#REF!/#REF!)-1)*100</f>
        <v>#REF!</v>
      </c>
      <c r="AJ23" s="12" t="e">
        <f>((#REF!/#REF!)-1)*100</f>
        <v>#REF!</v>
      </c>
      <c r="AK23" s="12" t="e">
        <f t="shared" si="7"/>
        <v>#DIV/0!</v>
      </c>
      <c r="AL23" s="12" t="e">
        <f t="shared" si="8"/>
        <v>#DIV/0!</v>
      </c>
    </row>
    <row r="24" spans="1:38" s="12" customFormat="1">
      <c r="A24" s="66">
        <v>2010</v>
      </c>
      <c r="B24" s="25">
        <v>1754</v>
      </c>
      <c r="C24" s="25">
        <v>361094</v>
      </c>
      <c r="D24" s="25">
        <v>3674</v>
      </c>
      <c r="E24" s="62">
        <f t="shared" si="11"/>
        <v>2.0946408209806155</v>
      </c>
      <c r="F24" s="129">
        <f t="shared" si="1"/>
        <v>205.86887115165337</v>
      </c>
      <c r="G24" s="129">
        <f t="shared" si="2"/>
        <v>98283.614589003802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E24" s="12">
        <v>2011</v>
      </c>
      <c r="AF24" s="12" t="e">
        <f>((#REF!/D24)-1)*100</f>
        <v>#REF!</v>
      </c>
      <c r="AG24" s="12" t="e">
        <f>((#REF!/C24)-1)*100</f>
        <v>#REF!</v>
      </c>
      <c r="AH24" s="12" t="e">
        <f>((#REF!/F24)-1)*100</f>
        <v>#REF!</v>
      </c>
      <c r="AI24" s="12" t="e">
        <f>((#REF!/#REF!)-1)*100</f>
        <v>#REF!</v>
      </c>
      <c r="AJ24" s="12" t="e">
        <f>((#REF!/#REF!)-1)*100</f>
        <v>#REF!</v>
      </c>
      <c r="AK24" s="12" t="e">
        <f>((#REF!/AB24)-1)*100</f>
        <v>#REF!</v>
      </c>
      <c r="AL24" s="12" t="e">
        <f>((#REF!/AC24)-1)*100</f>
        <v>#REF!</v>
      </c>
    </row>
    <row r="25" spans="1:38">
      <c r="A25" s="9"/>
      <c r="B25" s="62"/>
      <c r="C25" s="62"/>
      <c r="D25" s="62"/>
      <c r="E25" s="62"/>
      <c r="F25" s="62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F25" s="104" t="s">
        <v>27</v>
      </c>
    </row>
    <row r="26" spans="1:38" ht="15" customHeight="1">
      <c r="A26" s="454" t="s">
        <v>32</v>
      </c>
      <c r="B26" s="454"/>
      <c r="C26" s="454"/>
      <c r="D26" s="454"/>
      <c r="E26" s="454"/>
      <c r="F26" s="454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F26" s="104" t="s">
        <v>16</v>
      </c>
      <c r="AG26" s="104" t="s">
        <v>8</v>
      </c>
      <c r="AH26" s="104" t="s">
        <v>3</v>
      </c>
      <c r="AI26" s="104" t="s">
        <v>4</v>
      </c>
      <c r="AJ26" s="104" t="s">
        <v>17</v>
      </c>
      <c r="AK26" s="104" t="s">
        <v>6</v>
      </c>
      <c r="AL26" s="104" t="s">
        <v>7</v>
      </c>
    </row>
    <row r="27" spans="1:38">
      <c r="A27" s="66" t="s">
        <v>85</v>
      </c>
      <c r="B27" s="11">
        <f>((B4/B13)^(1/9)-1)*100</f>
        <v>-2.0831990251246935</v>
      </c>
      <c r="C27" s="11">
        <f t="shared" ref="C27" si="13">((C4/C13)^(1/9)-1)*100</f>
        <v>-2.5462680679941729</v>
      </c>
      <c r="D27" s="11">
        <f t="shared" ref="D27:G27" si="14">((D4/D13)^(1/9)-1)*100</f>
        <v>0.19640159575180505</v>
      </c>
      <c r="E27" s="11">
        <f t="shared" si="14"/>
        <v>2.3280995683891303</v>
      </c>
      <c r="F27" s="11">
        <f t="shared" si="14"/>
        <v>-0.4729209270105672</v>
      </c>
      <c r="G27" s="11">
        <f t="shared" si="14"/>
        <v>-2.7372935754833239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104">
        <v>1999</v>
      </c>
      <c r="AF27" s="104" t="e">
        <f>B13/$B$14</f>
        <v>#VALUE!</v>
      </c>
      <c r="AG27" s="104">
        <f t="shared" ref="AG27:AG28" si="15">C13/$C$14</f>
        <v>0.81436126291743882</v>
      </c>
      <c r="AH27" s="104" t="e">
        <f>F13/$F$14</f>
        <v>#VALUE!</v>
      </c>
      <c r="AI27" s="104">
        <f>D13/$D$14</f>
        <v>1.0200695322376738</v>
      </c>
      <c r="AJ27" s="104" t="e">
        <f>#REF!/#REF!</f>
        <v>#REF!</v>
      </c>
      <c r="AK27" s="104" t="e">
        <f t="shared" ref="AK27:AK28" si="16">AB13/$AB$14</f>
        <v>#DIV/0!</v>
      </c>
      <c r="AL27" s="104" t="e">
        <f t="shared" ref="AL27:AL28" si="17">AC13/$AC$14</f>
        <v>#DIV/0!</v>
      </c>
    </row>
    <row r="28" spans="1:38">
      <c r="A28" s="130" t="s">
        <v>323</v>
      </c>
      <c r="B28" s="11" t="s">
        <v>10</v>
      </c>
      <c r="C28" s="11">
        <f t="shared" ref="C28" si="18">((C13/C17)^(1/4)-1)*100</f>
        <v>-2.7744160811216556</v>
      </c>
      <c r="D28" s="11">
        <f t="shared" ref="D28:G28" si="19">((D13/D17)^(1/4)-1)*100</f>
        <v>-0.23486541958804841</v>
      </c>
      <c r="E28" s="11" t="s">
        <v>10</v>
      </c>
      <c r="F28" s="11" t="s">
        <v>10</v>
      </c>
      <c r="G28" s="11">
        <f t="shared" si="19"/>
        <v>-2.5455292294390586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104">
        <v>2000</v>
      </c>
      <c r="AF28" s="104" t="e">
        <f>B14/$B$14</f>
        <v>#VALUE!</v>
      </c>
      <c r="AG28" s="104">
        <f t="shared" si="15"/>
        <v>1</v>
      </c>
      <c r="AH28" s="104" t="e">
        <f>F14/$F$14</f>
        <v>#VALUE!</v>
      </c>
      <c r="AI28" s="104">
        <f>D14/$D$14</f>
        <v>1</v>
      </c>
      <c r="AJ28" s="104" t="e">
        <f>#REF!/#REF!</f>
        <v>#REF!</v>
      </c>
      <c r="AK28" s="104" t="e">
        <f t="shared" si="16"/>
        <v>#DIV/0!</v>
      </c>
      <c r="AL28" s="104" t="e">
        <f t="shared" si="17"/>
        <v>#DIV/0!</v>
      </c>
    </row>
    <row r="29" spans="1:38" s="259" customFormat="1">
      <c r="A29" s="325" t="s">
        <v>524</v>
      </c>
      <c r="B29" s="11" t="s">
        <v>10</v>
      </c>
      <c r="C29" s="11">
        <f t="shared" ref="C29:G29" si="20">((C21/C17)^(1/4)-1)*100</f>
        <v>2.6741410571410329</v>
      </c>
      <c r="D29" s="11">
        <f t="shared" si="20"/>
        <v>0.75866459853803914</v>
      </c>
      <c r="E29" s="11" t="s">
        <v>10</v>
      </c>
      <c r="F29" s="11" t="s">
        <v>10</v>
      </c>
      <c r="G29" s="11">
        <f t="shared" si="20"/>
        <v>1.9010538361489804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38" s="259" customFormat="1">
      <c r="A30" s="248" t="s">
        <v>368</v>
      </c>
      <c r="B30" s="11">
        <f>((B24/B21)^(1/3)-1)*100</f>
        <v>-4.3920354894814491</v>
      </c>
      <c r="C30" s="11">
        <f t="shared" ref="C30" si="21">((C24/C21)^(1/3)-1)*100</f>
        <v>-19.341617972757874</v>
      </c>
      <c r="D30" s="11">
        <f t="shared" ref="D30:G30" si="22">((D24/D21)^(1/3)-1)*100</f>
        <v>-18.214529805493928</v>
      </c>
      <c r="E30" s="11">
        <f t="shared" si="22"/>
        <v>-14.457471599546256</v>
      </c>
      <c r="F30" s="11">
        <f t="shared" si="22"/>
        <v>-15.636335905500543</v>
      </c>
      <c r="G30" s="11">
        <f t="shared" si="22"/>
        <v>-1.3781031821220258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38">
      <c r="A31" s="325" t="s">
        <v>525</v>
      </c>
      <c r="B31" s="11" t="s">
        <v>10</v>
      </c>
      <c r="C31" s="11">
        <f t="shared" ref="C31:G31" si="23">((C24/C14)^(1/10)-1)*100</f>
        <v>-6.125255105571803</v>
      </c>
      <c r="D31" s="11">
        <f t="shared" si="23"/>
        <v>-5.2918685736080935</v>
      </c>
      <c r="E31" s="11" t="s">
        <v>10</v>
      </c>
      <c r="F31" s="11" t="s">
        <v>10</v>
      </c>
      <c r="G31" s="11">
        <f t="shared" si="23"/>
        <v>-0.87995245963798929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E31" s="104">
        <v>2001</v>
      </c>
      <c r="AF31" s="104" t="e">
        <f>B15/$B$14</f>
        <v>#VALUE!</v>
      </c>
      <c r="AG31" s="104">
        <f>C15/$C$14</f>
        <v>1.3591640406175349</v>
      </c>
      <c r="AH31" s="104" t="e">
        <f>F15/$F$14</f>
        <v>#VALUE!</v>
      </c>
      <c r="AI31" s="104">
        <f>D15/$D$14</f>
        <v>0.98103666245259169</v>
      </c>
      <c r="AJ31" s="104" t="e">
        <f>#REF!/#REF!</f>
        <v>#REF!</v>
      </c>
      <c r="AK31" s="104" t="e">
        <f>AB15/$AB$14</f>
        <v>#DIV/0!</v>
      </c>
      <c r="AL31" s="104" t="e">
        <f>AC15/$AC$14</f>
        <v>#DIV/0!</v>
      </c>
    </row>
    <row r="32" spans="1:38">
      <c r="A32" s="66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38">
      <c r="A33" s="237" t="s">
        <v>39</v>
      </c>
      <c r="B33" s="237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38">
      <c r="A34" s="237" t="s">
        <v>76</v>
      </c>
      <c r="B34" s="237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38">
      <c r="A35" s="237" t="s">
        <v>9</v>
      </c>
      <c r="B35" s="237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38">
      <c r="A36" s="237" t="s">
        <v>10</v>
      </c>
      <c r="B36" s="237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38">
      <c r="A37" s="237" t="s">
        <v>40</v>
      </c>
      <c r="B37" s="237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38">
      <c r="A38" s="231" t="s">
        <v>322</v>
      </c>
      <c r="B38" s="23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38">
      <c r="A39" s="231" t="s">
        <v>144</v>
      </c>
      <c r="B39" s="238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38">
      <c r="A40" s="259" t="s">
        <v>370</v>
      </c>
      <c r="B40" s="237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38">
      <c r="AE41" s="104">
        <v>2011</v>
      </c>
      <c r="AF41" s="104" t="e">
        <f>#REF!/$B$14</f>
        <v>#REF!</v>
      </c>
      <c r="AG41" s="104" t="e">
        <f>#REF!/$C$14</f>
        <v>#REF!</v>
      </c>
      <c r="AH41" s="104" t="e">
        <f>#REF!/$F$14</f>
        <v>#REF!</v>
      </c>
      <c r="AI41" s="104" t="e">
        <f>#REF!/$D$14</f>
        <v>#REF!</v>
      </c>
      <c r="AJ41" s="104" t="e">
        <f>#REF!/#REF!</f>
        <v>#REF!</v>
      </c>
      <c r="AK41" s="104" t="e">
        <f>#REF!/$AB$14</f>
        <v>#REF!</v>
      </c>
      <c r="AL41" s="104" t="e">
        <f>#REF!/$AC$14</f>
        <v>#REF!</v>
      </c>
    </row>
    <row r="42" spans="1:38">
      <c r="AE42" s="104">
        <v>2012</v>
      </c>
      <c r="AF42" s="104" t="e">
        <f>#REF!/$B$14</f>
        <v>#REF!</v>
      </c>
      <c r="AG42" s="104" t="e">
        <f>#REF!/$C$14</f>
        <v>#REF!</v>
      </c>
      <c r="AH42" s="104" t="e">
        <f>#REF!/$F$14</f>
        <v>#REF!</v>
      </c>
      <c r="AI42" s="104" t="e">
        <f>#REF!/$D$14</f>
        <v>#REF!</v>
      </c>
      <c r="AJ42" s="104" t="e">
        <f>#REF!/#REF!</f>
        <v>#REF!</v>
      </c>
      <c r="AK42" s="104" t="e">
        <f>#REF!/$AB$14</f>
        <v>#REF!</v>
      </c>
      <c r="AL42" s="104" t="e">
        <f>#REF!/$AC$14</f>
        <v>#REF!</v>
      </c>
    </row>
    <row r="43" spans="1:38">
      <c r="AE43" s="104">
        <v>2013</v>
      </c>
      <c r="AF43" s="104" t="e">
        <f>#REF!/$B$14</f>
        <v>#REF!</v>
      </c>
      <c r="AG43" s="104" t="e">
        <f>#REF!/$C$14</f>
        <v>#REF!</v>
      </c>
      <c r="AH43" s="104" t="e">
        <f>#REF!/$F$14</f>
        <v>#REF!</v>
      </c>
      <c r="AI43" s="104" t="e">
        <f>#REF!/$D$14</f>
        <v>#REF!</v>
      </c>
      <c r="AJ43" s="104" t="e">
        <f>#REF!/#REF!</f>
        <v>#REF!</v>
      </c>
      <c r="AK43" s="104" t="e">
        <f>#REF!/$AB$14</f>
        <v>#REF!</v>
      </c>
      <c r="AL43" s="104" t="e">
        <f>#REF!/$AC$14</f>
        <v>#REF!</v>
      </c>
    </row>
  </sheetData>
  <mergeCells count="3">
    <mergeCell ref="A26:F26"/>
    <mergeCell ref="B2:G2"/>
    <mergeCell ref="A1:G1"/>
  </mergeCells>
  <printOptions gridLines="1"/>
  <pageMargins left="0.70866141732283472" right="0.70866141732283472" top="0.74803149606299213" bottom="0.74803149606299213" header="0.31496062992125984" footer="0.31496062992125984"/>
  <pageSetup scale="57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43"/>
  <sheetViews>
    <sheetView view="pageBreakPreview" zoomScale="75" zoomScaleNormal="100" zoomScaleSheetLayoutView="75" workbookViewId="0">
      <selection activeCell="T2" sqref="B2:Y2"/>
    </sheetView>
  </sheetViews>
  <sheetFormatPr defaultRowHeight="15"/>
  <cols>
    <col min="1" max="1" width="9.140625" style="125"/>
    <col min="2" max="6" width="10.140625" style="125" customWidth="1"/>
    <col min="7" max="7" width="10.140625" style="259" customWidth="1"/>
    <col min="8" max="9" width="10.140625" style="125" customWidth="1"/>
    <col min="10" max="10" width="10.140625" style="125" bestFit="1" customWidth="1"/>
    <col min="11" max="12" width="10.140625" style="125" customWidth="1"/>
    <col min="13" max="13" width="10.140625" style="259" customWidth="1"/>
    <col min="14" max="18" width="10.140625" style="125" customWidth="1"/>
    <col min="19" max="19" width="10.140625" style="259" customWidth="1"/>
    <col min="20" max="45" width="10.140625" style="125" customWidth="1"/>
    <col min="46" max="47" width="10.140625" style="125" bestFit="1" customWidth="1"/>
    <col min="48" max="48" width="9.140625" style="125"/>
    <col min="49" max="65" width="0" style="125" hidden="1" customWidth="1"/>
    <col min="66" max="16384" width="9.140625" style="125"/>
  </cols>
  <sheetData>
    <row r="1" spans="1:65" ht="15" customHeight="1">
      <c r="A1" s="454" t="s">
        <v>374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</row>
    <row r="2" spans="1:65" ht="34.5" customHeight="1">
      <c r="A2" s="115"/>
      <c r="B2" s="463" t="s">
        <v>4</v>
      </c>
      <c r="C2" s="463"/>
      <c r="D2" s="463"/>
      <c r="E2" s="463"/>
      <c r="F2" s="463"/>
      <c r="G2" s="463"/>
      <c r="H2" s="464" t="s">
        <v>36</v>
      </c>
      <c r="I2" s="464"/>
      <c r="J2" s="464"/>
      <c r="K2" s="464"/>
      <c r="L2" s="464"/>
      <c r="M2" s="464"/>
      <c r="N2" s="464" t="s">
        <v>37</v>
      </c>
      <c r="O2" s="464"/>
      <c r="P2" s="464"/>
      <c r="Q2" s="464"/>
      <c r="R2" s="464"/>
      <c r="S2" s="464"/>
      <c r="T2" s="464" t="s">
        <v>38</v>
      </c>
      <c r="U2" s="464"/>
      <c r="V2" s="464"/>
      <c r="W2" s="464"/>
      <c r="X2" s="464"/>
      <c r="Y2" s="464"/>
    </row>
    <row r="3" spans="1:65" ht="75">
      <c r="A3" s="115"/>
      <c r="B3" s="115" t="s">
        <v>80</v>
      </c>
      <c r="C3" s="115" t="s">
        <v>83</v>
      </c>
      <c r="D3" s="115" t="s">
        <v>84</v>
      </c>
      <c r="E3" s="115" t="s">
        <v>81</v>
      </c>
      <c r="F3" s="384" t="s">
        <v>540</v>
      </c>
      <c r="G3" s="248" t="s">
        <v>369</v>
      </c>
      <c r="H3" s="115" t="s">
        <v>80</v>
      </c>
      <c r="I3" s="115" t="s">
        <v>83</v>
      </c>
      <c r="J3" s="115" t="s">
        <v>84</v>
      </c>
      <c r="K3" s="115" t="s">
        <v>81</v>
      </c>
      <c r="L3" s="384" t="s">
        <v>540</v>
      </c>
      <c r="M3" s="248" t="s">
        <v>369</v>
      </c>
      <c r="N3" s="115" t="s">
        <v>80</v>
      </c>
      <c r="O3" s="115" t="s">
        <v>83</v>
      </c>
      <c r="P3" s="115" t="s">
        <v>84</v>
      </c>
      <c r="Q3" s="115" t="s">
        <v>81</v>
      </c>
      <c r="R3" s="384" t="s">
        <v>540</v>
      </c>
      <c r="S3" s="248" t="s">
        <v>369</v>
      </c>
      <c r="T3" s="115" t="s">
        <v>80</v>
      </c>
      <c r="U3" s="115" t="s">
        <v>83</v>
      </c>
      <c r="V3" s="115" t="s">
        <v>84</v>
      </c>
      <c r="W3" s="115" t="s">
        <v>81</v>
      </c>
      <c r="X3" s="384" t="s">
        <v>540</v>
      </c>
      <c r="Y3" s="248" t="s">
        <v>369</v>
      </c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</row>
    <row r="4" spans="1:65" s="128" customFormat="1">
      <c r="A4" s="115">
        <v>1990</v>
      </c>
      <c r="B4" s="129" t="s">
        <v>9</v>
      </c>
      <c r="C4" s="129">
        <v>1228481</v>
      </c>
      <c r="D4" s="129">
        <v>26757</v>
      </c>
      <c r="E4" s="62" t="s">
        <v>9</v>
      </c>
      <c r="F4" s="129" t="s">
        <v>9</v>
      </c>
      <c r="G4" s="129">
        <f>(C4/D4)*1000</f>
        <v>45912.508876181928</v>
      </c>
      <c r="H4" s="129" t="s">
        <v>9</v>
      </c>
      <c r="I4" s="129">
        <v>537483</v>
      </c>
      <c r="J4" s="129">
        <v>11895</v>
      </c>
      <c r="K4" s="10" t="s">
        <v>9</v>
      </c>
      <c r="L4" s="129" t="s">
        <v>9</v>
      </c>
      <c r="M4" s="129">
        <f>(I4/J4)*1000</f>
        <v>45185.624211853719</v>
      </c>
      <c r="N4" s="129" t="s">
        <v>9</v>
      </c>
      <c r="O4" s="129">
        <v>201057</v>
      </c>
      <c r="P4" s="129">
        <v>3703</v>
      </c>
      <c r="Q4" s="10" t="s">
        <v>9</v>
      </c>
      <c r="R4" s="10" t="s">
        <v>9</v>
      </c>
      <c r="S4" s="129">
        <f>(O4/P4)*1000</f>
        <v>54295.706184174996</v>
      </c>
      <c r="T4" s="129" t="s">
        <v>9</v>
      </c>
      <c r="U4" s="129">
        <v>489941</v>
      </c>
      <c r="V4" s="129">
        <v>11159</v>
      </c>
      <c r="W4" s="10" t="s">
        <v>9</v>
      </c>
      <c r="X4" s="10" t="s">
        <v>9</v>
      </c>
      <c r="Y4" s="129">
        <f>(U4/V4)*1000</f>
        <v>43905.457478268661</v>
      </c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65" s="128" customFormat="1">
      <c r="A5" s="115">
        <v>1991</v>
      </c>
      <c r="B5" s="129" t="s">
        <v>9</v>
      </c>
      <c r="C5" s="129">
        <v>1137119</v>
      </c>
      <c r="D5" s="129">
        <v>23444</v>
      </c>
      <c r="E5" s="62" t="s">
        <v>9</v>
      </c>
      <c r="F5" s="129" t="s">
        <v>9</v>
      </c>
      <c r="G5" s="129">
        <f t="shared" ref="G5:G24" si="0">(C5/D5)*1000</f>
        <v>48503.625661149978</v>
      </c>
      <c r="H5" s="129" t="s">
        <v>9</v>
      </c>
      <c r="I5" s="129">
        <v>529073</v>
      </c>
      <c r="J5" s="129">
        <v>10614</v>
      </c>
      <c r="K5" s="10" t="s">
        <v>9</v>
      </c>
      <c r="L5" s="129" t="s">
        <v>9</v>
      </c>
      <c r="M5" s="129">
        <f t="shared" ref="M5:M24" si="1">(I5/J5)*1000</f>
        <v>49846.711889956656</v>
      </c>
      <c r="N5" s="129" t="s">
        <v>9</v>
      </c>
      <c r="O5" s="129">
        <v>192441</v>
      </c>
      <c r="P5" s="129">
        <v>3545</v>
      </c>
      <c r="Q5" s="10" t="s">
        <v>9</v>
      </c>
      <c r="R5" s="10" t="s">
        <v>9</v>
      </c>
      <c r="S5" s="129">
        <f>(O5/P5)*1000</f>
        <v>54285.1904090268</v>
      </c>
      <c r="T5" s="129" t="s">
        <v>9</v>
      </c>
      <c r="U5" s="129">
        <v>415605</v>
      </c>
      <c r="V5" s="129">
        <v>9285</v>
      </c>
      <c r="W5" s="10" t="s">
        <v>9</v>
      </c>
      <c r="X5" s="10" t="s">
        <v>9</v>
      </c>
      <c r="Y5" s="129">
        <f t="shared" ref="Y5:Y24" si="2">(U5/V5)*1000</f>
        <v>44760.904684975772</v>
      </c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65" s="128" customFormat="1">
      <c r="A6" s="115">
        <v>1992</v>
      </c>
      <c r="B6" s="129" t="s">
        <v>9</v>
      </c>
      <c r="C6" s="129">
        <v>1316114</v>
      </c>
      <c r="D6" s="129">
        <v>23503</v>
      </c>
      <c r="E6" s="62" t="s">
        <v>9</v>
      </c>
      <c r="F6" s="129" t="s">
        <v>9</v>
      </c>
      <c r="G6" s="129">
        <f t="shared" si="0"/>
        <v>55997.702420967536</v>
      </c>
      <c r="H6" s="129" t="s">
        <v>9</v>
      </c>
      <c r="I6" s="129">
        <v>647168</v>
      </c>
      <c r="J6" s="129">
        <v>11012</v>
      </c>
      <c r="K6" s="10" t="s">
        <v>9</v>
      </c>
      <c r="L6" s="129" t="s">
        <v>9</v>
      </c>
      <c r="M6" s="129">
        <f t="shared" si="1"/>
        <v>58769.342535415912</v>
      </c>
      <c r="N6" s="129" t="s">
        <v>9</v>
      </c>
      <c r="O6" s="129">
        <v>245933</v>
      </c>
      <c r="P6" s="129">
        <v>3495</v>
      </c>
      <c r="Q6" s="10" t="s">
        <v>9</v>
      </c>
      <c r="R6" s="10" t="s">
        <v>9</v>
      </c>
      <c r="S6" s="129">
        <f t="shared" ref="S6:S24" si="3">(O6/P6)*1000</f>
        <v>70367.095851216014</v>
      </c>
      <c r="T6" s="129" t="s">
        <v>9</v>
      </c>
      <c r="U6" s="129">
        <v>423013</v>
      </c>
      <c r="V6" s="129">
        <v>8996</v>
      </c>
      <c r="W6" s="10" t="s">
        <v>9</v>
      </c>
      <c r="X6" s="10" t="s">
        <v>9</v>
      </c>
      <c r="Y6" s="129">
        <f t="shared" si="2"/>
        <v>47022.343263672745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65" s="128" customFormat="1">
      <c r="A7" s="115">
        <v>1993</v>
      </c>
      <c r="B7" s="129" t="s">
        <v>9</v>
      </c>
      <c r="C7" s="129">
        <v>1756193</v>
      </c>
      <c r="D7" s="129">
        <v>24978</v>
      </c>
      <c r="E7" s="62" t="s">
        <v>9</v>
      </c>
      <c r="F7" s="129" t="s">
        <v>9</v>
      </c>
      <c r="G7" s="129">
        <f t="shared" si="0"/>
        <v>70309.592441348388</v>
      </c>
      <c r="H7" s="129" t="s">
        <v>9</v>
      </c>
      <c r="I7" s="129">
        <v>987646</v>
      </c>
      <c r="J7" s="129">
        <v>12316</v>
      </c>
      <c r="K7" s="10" t="s">
        <v>9</v>
      </c>
      <c r="L7" s="129" t="s">
        <v>9</v>
      </c>
      <c r="M7" s="129">
        <f t="shared" si="1"/>
        <v>80192.107827216634</v>
      </c>
      <c r="N7" s="129" t="s">
        <v>9</v>
      </c>
      <c r="O7" s="129">
        <v>348926</v>
      </c>
      <c r="P7" s="129">
        <v>3834</v>
      </c>
      <c r="Q7" s="10" t="s">
        <v>9</v>
      </c>
      <c r="R7" s="10" t="s">
        <v>9</v>
      </c>
      <c r="S7" s="129">
        <f t="shared" si="3"/>
        <v>91008.346374543558</v>
      </c>
      <c r="T7" s="129" t="s">
        <v>9</v>
      </c>
      <c r="U7" s="129">
        <v>419621</v>
      </c>
      <c r="V7" s="129">
        <v>8828</v>
      </c>
      <c r="W7" s="10" t="s">
        <v>9</v>
      </c>
      <c r="X7" s="10" t="s">
        <v>9</v>
      </c>
      <c r="Y7" s="129">
        <f t="shared" si="2"/>
        <v>47532.963298595379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</row>
    <row r="8" spans="1:65" s="128" customFormat="1">
      <c r="A8" s="115">
        <v>1994</v>
      </c>
      <c r="B8" s="129" t="s">
        <v>9</v>
      </c>
      <c r="C8" s="129">
        <v>2531953</v>
      </c>
      <c r="D8" s="129">
        <v>28963</v>
      </c>
      <c r="E8" s="62" t="s">
        <v>9</v>
      </c>
      <c r="F8" s="129" t="s">
        <v>9</v>
      </c>
      <c r="G8" s="129">
        <f t="shared" si="0"/>
        <v>87420.260332147926</v>
      </c>
      <c r="H8" s="129" t="s">
        <v>9</v>
      </c>
      <c r="I8" s="129">
        <v>1519613</v>
      </c>
      <c r="J8" s="129">
        <v>15103</v>
      </c>
      <c r="K8" s="10" t="s">
        <v>9</v>
      </c>
      <c r="L8" s="129" t="s">
        <v>9</v>
      </c>
      <c r="M8" s="129">
        <f t="shared" si="1"/>
        <v>100616.63245712772</v>
      </c>
      <c r="N8" s="129" t="s">
        <v>9</v>
      </c>
      <c r="O8" s="129">
        <v>536125</v>
      </c>
      <c r="P8" s="129">
        <v>4266</v>
      </c>
      <c r="Q8" s="10" t="s">
        <v>9</v>
      </c>
      <c r="R8" s="10" t="s">
        <v>9</v>
      </c>
      <c r="S8" s="129">
        <f t="shared" si="3"/>
        <v>125673.93342709797</v>
      </c>
      <c r="T8" s="129" t="s">
        <v>9</v>
      </c>
      <c r="U8" s="129">
        <v>476215</v>
      </c>
      <c r="V8" s="129">
        <v>9594</v>
      </c>
      <c r="W8" s="10" t="s">
        <v>9</v>
      </c>
      <c r="X8" s="10" t="s">
        <v>9</v>
      </c>
      <c r="Y8" s="129">
        <f t="shared" si="2"/>
        <v>49636.752136752133</v>
      </c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BG8" s="128" t="s">
        <v>32</v>
      </c>
    </row>
    <row r="9" spans="1:65" s="128" customFormat="1">
      <c r="A9" s="115">
        <v>1995</v>
      </c>
      <c r="B9" s="129" t="s">
        <v>9</v>
      </c>
      <c r="C9" s="129">
        <v>2181563</v>
      </c>
      <c r="D9" s="129">
        <v>29510</v>
      </c>
      <c r="E9" s="62" t="s">
        <v>9</v>
      </c>
      <c r="F9" s="129" t="s">
        <v>9</v>
      </c>
      <c r="G9" s="129">
        <f t="shared" si="0"/>
        <v>73926.228397153507</v>
      </c>
      <c r="H9" s="129" t="s">
        <v>9</v>
      </c>
      <c r="I9" s="129">
        <v>1232562</v>
      </c>
      <c r="J9" s="129">
        <v>15793</v>
      </c>
      <c r="K9" s="10" t="s">
        <v>9</v>
      </c>
      <c r="L9" s="129" t="s">
        <v>9</v>
      </c>
      <c r="M9" s="129">
        <f t="shared" si="1"/>
        <v>78044.829987969351</v>
      </c>
      <c r="N9" s="129" t="s">
        <v>9</v>
      </c>
      <c r="O9" s="129">
        <v>500634</v>
      </c>
      <c r="P9" s="129">
        <v>4382</v>
      </c>
      <c r="Q9" s="10" t="s">
        <v>9</v>
      </c>
      <c r="R9" s="10" t="s">
        <v>9</v>
      </c>
      <c r="S9" s="129">
        <f t="shared" si="3"/>
        <v>114247.83204016431</v>
      </c>
      <c r="T9" s="129" t="s">
        <v>9</v>
      </c>
      <c r="U9" s="129">
        <v>448367</v>
      </c>
      <c r="V9" s="129">
        <v>9335</v>
      </c>
      <c r="W9" s="10" t="s">
        <v>9</v>
      </c>
      <c r="X9" s="10" t="s">
        <v>9</v>
      </c>
      <c r="Y9" s="129">
        <f t="shared" si="2"/>
        <v>48030.744509908945</v>
      </c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X9" s="128" t="s">
        <v>24</v>
      </c>
      <c r="BG9" s="128" t="s">
        <v>16</v>
      </c>
      <c r="BH9" s="128" t="s">
        <v>8</v>
      </c>
      <c r="BI9" s="128" t="s">
        <v>3</v>
      </c>
      <c r="BJ9" s="128" t="s">
        <v>4</v>
      </c>
      <c r="BK9" s="128" t="s">
        <v>17</v>
      </c>
      <c r="BL9" s="128" t="s">
        <v>6</v>
      </c>
      <c r="BM9" s="128" t="s">
        <v>7</v>
      </c>
    </row>
    <row r="10" spans="1:65" s="128" customFormat="1">
      <c r="A10" s="115">
        <v>1996</v>
      </c>
      <c r="B10" s="129" t="s">
        <v>9</v>
      </c>
      <c r="C10" s="129">
        <v>2487711</v>
      </c>
      <c r="D10" s="129">
        <v>30846</v>
      </c>
      <c r="E10" s="62" t="s">
        <v>9</v>
      </c>
      <c r="F10" s="129" t="s">
        <v>9</v>
      </c>
      <c r="G10" s="129">
        <f t="shared" si="0"/>
        <v>80649.387278739538</v>
      </c>
      <c r="H10" s="129" t="s">
        <v>9</v>
      </c>
      <c r="I10" s="129">
        <v>1535064</v>
      </c>
      <c r="J10" s="129">
        <v>16567</v>
      </c>
      <c r="K10" s="10" t="s">
        <v>9</v>
      </c>
      <c r="L10" s="129" t="s">
        <v>9</v>
      </c>
      <c r="M10" s="129">
        <f t="shared" si="1"/>
        <v>92657.93444799904</v>
      </c>
      <c r="N10" s="129" t="s">
        <v>9</v>
      </c>
      <c r="O10" s="129">
        <v>432450</v>
      </c>
      <c r="P10" s="129">
        <v>4533</v>
      </c>
      <c r="Q10" s="10" t="s">
        <v>9</v>
      </c>
      <c r="R10" s="10" t="s">
        <v>9</v>
      </c>
      <c r="S10" s="129">
        <f t="shared" si="3"/>
        <v>95400.397088021185</v>
      </c>
      <c r="T10" s="129" t="s">
        <v>9</v>
      </c>
      <c r="U10" s="129">
        <v>520197</v>
      </c>
      <c r="V10" s="129">
        <v>9746</v>
      </c>
      <c r="W10" s="10" t="s">
        <v>9</v>
      </c>
      <c r="X10" s="10" t="s">
        <v>9</v>
      </c>
      <c r="Y10" s="129">
        <f t="shared" si="2"/>
        <v>53375.436076339014</v>
      </c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X10" s="128" t="s">
        <v>16</v>
      </c>
      <c r="AY10" s="128" t="s">
        <v>8</v>
      </c>
      <c r="AZ10" s="128" t="s">
        <v>3</v>
      </c>
      <c r="BA10" s="128" t="s">
        <v>4</v>
      </c>
      <c r="BB10" s="128" t="s">
        <v>17</v>
      </c>
      <c r="BC10" s="128" t="s">
        <v>6</v>
      </c>
      <c r="BD10" s="128" t="s">
        <v>7</v>
      </c>
      <c r="BF10" s="128" t="s">
        <v>19</v>
      </c>
      <c r="BG10" s="128" t="e">
        <f>((#REF!/#REF!)^(1/3)-1)*100</f>
        <v>#REF!</v>
      </c>
      <c r="BH10" s="128" t="e">
        <f>((#REF!/#REF!)^(1/3)-1)*100</f>
        <v>#REF!</v>
      </c>
      <c r="BI10" s="128" t="e">
        <f>((#REF!/#REF!)^(1/3)-1)*100</f>
        <v>#REF!</v>
      </c>
      <c r="BJ10" s="128" t="e">
        <f>((#REF!/#REF!)^(1/3)-1)*100</f>
        <v>#REF!</v>
      </c>
      <c r="BK10" s="128" t="e">
        <f>((#REF!/#REF!)^(1/3)-1)*100</f>
        <v>#REF!</v>
      </c>
      <c r="BL10" s="128" t="e">
        <f>((AT14/AT11)^(1/3)-1)*100</f>
        <v>#DIV/0!</v>
      </c>
      <c r="BM10" s="128" t="e">
        <f t="shared" ref="BM10" si="4">((AU14/AU11)^(1/3)-1)*100</f>
        <v>#DIV/0!</v>
      </c>
    </row>
    <row r="11" spans="1:65" s="128" customFormat="1">
      <c r="A11" s="115">
        <v>1997</v>
      </c>
      <c r="B11" s="129" t="s">
        <v>9</v>
      </c>
      <c r="C11" s="129">
        <v>2600303</v>
      </c>
      <c r="D11" s="129">
        <v>32565</v>
      </c>
      <c r="E11" s="62" t="s">
        <v>9</v>
      </c>
      <c r="F11" s="129" t="s">
        <v>9</v>
      </c>
      <c r="G11" s="129">
        <f t="shared" si="0"/>
        <v>79849.623829264543</v>
      </c>
      <c r="H11" s="129" t="s">
        <v>9</v>
      </c>
      <c r="I11" s="129">
        <v>1608022</v>
      </c>
      <c r="J11" s="129">
        <v>17232</v>
      </c>
      <c r="K11" s="10" t="s">
        <v>9</v>
      </c>
      <c r="L11" s="129" t="s">
        <v>9</v>
      </c>
      <c r="M11" s="129">
        <f t="shared" si="1"/>
        <v>93316.039925719597</v>
      </c>
      <c r="N11" s="129" t="s">
        <v>9</v>
      </c>
      <c r="O11" s="129">
        <v>401349</v>
      </c>
      <c r="P11" s="129">
        <v>4717</v>
      </c>
      <c r="Q11" s="10" t="s">
        <v>9</v>
      </c>
      <c r="R11" s="10" t="s">
        <v>9</v>
      </c>
      <c r="S11" s="129">
        <f t="shared" si="3"/>
        <v>85085.647657409369</v>
      </c>
      <c r="T11" s="129" t="s">
        <v>9</v>
      </c>
      <c r="U11" s="129">
        <v>590932</v>
      </c>
      <c r="V11" s="129">
        <v>10616</v>
      </c>
      <c r="W11" s="10" t="s">
        <v>9</v>
      </c>
      <c r="X11" s="10" t="s">
        <v>9</v>
      </c>
      <c r="Y11" s="129">
        <f t="shared" si="2"/>
        <v>55664.280331574977</v>
      </c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W11" s="128">
        <v>1998</v>
      </c>
      <c r="AX11" s="128" t="e">
        <f>((#REF!/#REF!)-1)*100</f>
        <v>#REF!</v>
      </c>
      <c r="AY11" s="128" t="e">
        <f>((#REF!/#REF!)-1)*100</f>
        <v>#REF!</v>
      </c>
      <c r="AZ11" s="128" t="e">
        <f>((#REF!/#REF!)-1)*100</f>
        <v>#REF!</v>
      </c>
      <c r="BA11" s="128" t="e">
        <f>((#REF!/#REF!)-1)*100</f>
        <v>#REF!</v>
      </c>
      <c r="BB11" s="128" t="e">
        <f>((#REF!/#REF!)-1)*100</f>
        <v>#REF!</v>
      </c>
      <c r="BC11" s="128" t="e">
        <f t="shared" ref="BC11:BD23" si="5">((AT12/AT11)-1)*100</f>
        <v>#DIV/0!</v>
      </c>
      <c r="BD11" s="128" t="e">
        <f t="shared" si="5"/>
        <v>#DIV/0!</v>
      </c>
      <c r="BF11" s="128" t="s">
        <v>21</v>
      </c>
      <c r="BG11" s="128" t="e">
        <f>((#REF!/#REF!)^(1/8)-1)*100</f>
        <v>#REF!</v>
      </c>
      <c r="BH11" s="128" t="e">
        <f>((#REF!/#REF!)^(1/8)-1)*100</f>
        <v>#REF!</v>
      </c>
      <c r="BI11" s="128" t="e">
        <f>((#REF!/#REF!)^(1/8)-1)*100</f>
        <v>#REF!</v>
      </c>
      <c r="BJ11" s="128" t="e">
        <f>((#REF!/#REF!)^(1/8)-1)*100</f>
        <v>#REF!</v>
      </c>
      <c r="BK11" s="128" t="e">
        <f>((L22/#REF!)^(1/8)-1)*100</f>
        <v>#REF!</v>
      </c>
      <c r="BL11" s="128" t="e">
        <f>((AT22/AT14)^(1/8)-1)*100</f>
        <v>#DIV/0!</v>
      </c>
      <c r="BM11" s="128" t="e">
        <f t="shared" ref="BM11" si="6">((AU22/AU14)^(1/8)-1)*100</f>
        <v>#DIV/0!</v>
      </c>
    </row>
    <row r="12" spans="1:65" s="128" customFormat="1">
      <c r="A12" s="115">
        <v>1998</v>
      </c>
      <c r="B12" s="129">
        <v>722</v>
      </c>
      <c r="C12" s="129">
        <v>2732133</v>
      </c>
      <c r="D12" s="129">
        <v>34497</v>
      </c>
      <c r="E12" s="62">
        <f t="shared" ref="E12:E24" si="7">D12/B12</f>
        <v>47.779778393351798</v>
      </c>
      <c r="F12" s="129">
        <f t="shared" ref="F12:F24" si="8">C12/B12</f>
        <v>3784.1177285318558</v>
      </c>
      <c r="G12" s="129">
        <f t="shared" si="0"/>
        <v>79199.147751978424</v>
      </c>
      <c r="H12" s="129">
        <v>276</v>
      </c>
      <c r="I12" s="129">
        <v>1524048</v>
      </c>
      <c r="J12" s="129">
        <v>18301</v>
      </c>
      <c r="K12" s="11">
        <f t="shared" ref="K12:K24" si="9">J12/H12</f>
        <v>66.30797101449275</v>
      </c>
      <c r="L12" s="129">
        <f t="shared" ref="L12:L24" si="10">I12/H12</f>
        <v>5521.913043478261</v>
      </c>
      <c r="M12" s="129">
        <f t="shared" si="1"/>
        <v>83276.760832741376</v>
      </c>
      <c r="N12" s="129">
        <v>82</v>
      </c>
      <c r="O12" s="129">
        <v>569596</v>
      </c>
      <c r="P12" s="129">
        <v>5127</v>
      </c>
      <c r="Q12" s="11">
        <f t="shared" ref="Q12:Q24" si="11">P12/N12</f>
        <v>62.524390243902438</v>
      </c>
      <c r="R12" s="10">
        <f t="shared" ref="R12:R24" si="12">O12/N12</f>
        <v>6946.292682926829</v>
      </c>
      <c r="S12" s="129">
        <f t="shared" si="3"/>
        <v>111097.32787204994</v>
      </c>
      <c r="T12" s="129">
        <v>364</v>
      </c>
      <c r="U12" s="129">
        <v>638489</v>
      </c>
      <c r="V12" s="129">
        <v>11069</v>
      </c>
      <c r="W12" s="11">
        <f t="shared" ref="W12:W24" si="13">V12/T12</f>
        <v>30.409340659340661</v>
      </c>
      <c r="X12" s="10">
        <f t="shared" ref="X12:X24" si="14">U12/T12</f>
        <v>1754.0906593406594</v>
      </c>
      <c r="Y12" s="129">
        <f t="shared" si="2"/>
        <v>57682.627156924747</v>
      </c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W12" s="128">
        <v>1999</v>
      </c>
      <c r="AX12" s="128" t="e">
        <f>((#REF!/#REF!)-1)*100</f>
        <v>#REF!</v>
      </c>
      <c r="AY12" s="128" t="e">
        <f>((#REF!/#REF!)-1)*100</f>
        <v>#REF!</v>
      </c>
      <c r="AZ12" s="128" t="e">
        <f>((#REF!/#REF!)-1)*100</f>
        <v>#REF!</v>
      </c>
      <c r="BA12" s="128" t="e">
        <f>((#REF!/#REF!)-1)*100</f>
        <v>#REF!</v>
      </c>
      <c r="BB12" s="128" t="e">
        <f>((#REF!/#REF!)-1)*100</f>
        <v>#REF!</v>
      </c>
      <c r="BC12" s="128" t="e">
        <f t="shared" si="5"/>
        <v>#DIV/0!</v>
      </c>
      <c r="BD12" s="128" t="e">
        <f t="shared" si="5"/>
        <v>#DIV/0!</v>
      </c>
      <c r="BF12" s="128" t="s">
        <v>22</v>
      </c>
      <c r="BG12" s="128" t="e">
        <f>((#REF!/#REF!)^(1/5)-1)*100</f>
        <v>#REF!</v>
      </c>
      <c r="BH12" s="128" t="e">
        <f>((#REF!/#REF!)^(1/5)-1)*100</f>
        <v>#REF!</v>
      </c>
      <c r="BI12" s="128" t="e">
        <f>((#REF!/#REF!)^(1/5)-1)*100</f>
        <v>#REF!</v>
      </c>
      <c r="BJ12" s="128" t="e">
        <f>((#REF!/#REF!)^(1/5)-1)*100</f>
        <v>#REF!</v>
      </c>
      <c r="BK12" s="128" t="e">
        <f>((#REF!/L22)^(1/5)-1)*100</f>
        <v>#REF!</v>
      </c>
      <c r="BL12" s="128" t="e">
        <f>((#REF!/AT22)^(1/5)-1)*100</f>
        <v>#REF!</v>
      </c>
      <c r="BM12" s="128" t="e">
        <f>((#REF!/AU22)^(1/5)-1)*100</f>
        <v>#REF!</v>
      </c>
    </row>
    <row r="13" spans="1:65" s="128" customFormat="1">
      <c r="A13" s="115">
        <v>1999</v>
      </c>
      <c r="B13" s="129">
        <v>702</v>
      </c>
      <c r="C13" s="129">
        <v>3559714</v>
      </c>
      <c r="D13" s="129">
        <v>37492</v>
      </c>
      <c r="E13" s="62">
        <f t="shared" si="7"/>
        <v>53.407407407407405</v>
      </c>
      <c r="F13" s="129">
        <f t="shared" si="8"/>
        <v>5070.8176638176637</v>
      </c>
      <c r="G13" s="129">
        <f t="shared" si="0"/>
        <v>94945.961805185099</v>
      </c>
      <c r="H13" s="129">
        <v>272</v>
      </c>
      <c r="I13" s="129">
        <v>1766347</v>
      </c>
      <c r="J13" s="129">
        <v>19293</v>
      </c>
      <c r="K13" s="11">
        <f t="shared" si="9"/>
        <v>70.930147058823536</v>
      </c>
      <c r="L13" s="129">
        <f t="shared" si="10"/>
        <v>6493.9227941176468</v>
      </c>
      <c r="M13" s="129">
        <f t="shared" si="1"/>
        <v>91553.775980925726</v>
      </c>
      <c r="N13" s="129">
        <v>88</v>
      </c>
      <c r="O13" s="129">
        <v>1105846</v>
      </c>
      <c r="P13" s="129">
        <v>5645</v>
      </c>
      <c r="Q13" s="11">
        <f t="shared" si="11"/>
        <v>64.147727272727266</v>
      </c>
      <c r="R13" s="10">
        <f t="shared" si="12"/>
        <v>12566.431818181818</v>
      </c>
      <c r="S13" s="129">
        <f t="shared" si="3"/>
        <v>195898.31709477413</v>
      </c>
      <c r="T13" s="129">
        <v>342</v>
      </c>
      <c r="U13" s="129">
        <v>687521</v>
      </c>
      <c r="V13" s="129">
        <v>12554</v>
      </c>
      <c r="W13" s="11">
        <f t="shared" si="13"/>
        <v>36.707602339181285</v>
      </c>
      <c r="X13" s="10">
        <f t="shared" si="14"/>
        <v>2010.2953216374269</v>
      </c>
      <c r="Y13" s="129">
        <f t="shared" si="2"/>
        <v>54765.09479050502</v>
      </c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W13" s="128">
        <v>2000</v>
      </c>
      <c r="AX13" s="128" t="e">
        <f>((#REF!/#REF!)-1)*100</f>
        <v>#REF!</v>
      </c>
      <c r="AY13" s="128" t="e">
        <f>((#REF!/#REF!)-1)*100</f>
        <v>#REF!</v>
      </c>
      <c r="AZ13" s="128" t="e">
        <f>((#REF!/#REF!)-1)*100</f>
        <v>#REF!</v>
      </c>
      <c r="BA13" s="128" t="e">
        <f>((#REF!/#REF!)-1)*100</f>
        <v>#REF!</v>
      </c>
      <c r="BB13" s="128" t="e">
        <f>((#REF!/#REF!)-1)*100</f>
        <v>#REF!</v>
      </c>
      <c r="BC13" s="128" t="e">
        <f t="shared" si="5"/>
        <v>#DIV/0!</v>
      </c>
      <c r="BD13" s="128" t="e">
        <f t="shared" si="5"/>
        <v>#DIV/0!</v>
      </c>
      <c r="BF13" s="128" t="s">
        <v>18</v>
      </c>
      <c r="BG13" s="128" t="e">
        <f>((#REF!/#REF!)^(1/16)-1)*100</f>
        <v>#REF!</v>
      </c>
      <c r="BH13" s="128" t="e">
        <f>((#REF!/#REF!)^(1/16)-1)*100</f>
        <v>#REF!</v>
      </c>
      <c r="BI13" s="128" t="e">
        <f>((#REF!/#REF!)^(1/16)-1)*100</f>
        <v>#REF!</v>
      </c>
      <c r="BJ13" s="128" t="e">
        <f>((#REF!/#REF!)^(1/16)-1)*100</f>
        <v>#REF!</v>
      </c>
      <c r="BK13" s="128" t="e">
        <f>((#REF!/#REF!)^(1/16)-1)*100</f>
        <v>#REF!</v>
      </c>
      <c r="BL13" s="128" t="e">
        <f>((#REF!/AT11)^(1/16)-1)*100</f>
        <v>#REF!</v>
      </c>
      <c r="BM13" s="128" t="e">
        <f>((#REF!/AU11)^(1/16)-1)*100</f>
        <v>#REF!</v>
      </c>
    </row>
    <row r="14" spans="1:65" s="128" customFormat="1">
      <c r="A14" s="115">
        <v>2000</v>
      </c>
      <c r="B14" s="129">
        <v>1123</v>
      </c>
      <c r="C14" s="129">
        <v>3381566</v>
      </c>
      <c r="D14" s="129">
        <v>40759</v>
      </c>
      <c r="E14" s="62">
        <f t="shared" si="7"/>
        <v>36.294746215494214</v>
      </c>
      <c r="F14" s="129">
        <f t="shared" si="8"/>
        <v>3011.1896705253785</v>
      </c>
      <c r="G14" s="129">
        <f t="shared" si="0"/>
        <v>82964.891189675895</v>
      </c>
      <c r="H14" s="129">
        <v>400</v>
      </c>
      <c r="I14" s="129">
        <v>1566612</v>
      </c>
      <c r="J14" s="129">
        <v>19913</v>
      </c>
      <c r="K14" s="11">
        <f t="shared" si="9"/>
        <v>49.782499999999999</v>
      </c>
      <c r="L14" s="129">
        <f t="shared" si="10"/>
        <v>3916.53</v>
      </c>
      <c r="M14" s="129">
        <f t="shared" si="1"/>
        <v>78672.826796565059</v>
      </c>
      <c r="N14" s="129">
        <v>122</v>
      </c>
      <c r="O14" s="129">
        <v>736039</v>
      </c>
      <c r="P14" s="129">
        <v>5877</v>
      </c>
      <c r="Q14" s="11">
        <f t="shared" si="11"/>
        <v>48.172131147540981</v>
      </c>
      <c r="R14" s="10">
        <f t="shared" si="12"/>
        <v>6033.1065573770493</v>
      </c>
      <c r="S14" s="129">
        <f t="shared" si="3"/>
        <v>125240.59894503999</v>
      </c>
      <c r="T14" s="129">
        <v>601</v>
      </c>
      <c r="U14" s="129">
        <v>1078915</v>
      </c>
      <c r="V14" s="129">
        <v>14969</v>
      </c>
      <c r="W14" s="11">
        <f t="shared" si="13"/>
        <v>24.906821963394343</v>
      </c>
      <c r="X14" s="10">
        <f t="shared" si="14"/>
        <v>1795.1996672212979</v>
      </c>
      <c r="Y14" s="129">
        <f t="shared" si="2"/>
        <v>72076.625025051762</v>
      </c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W14" s="128">
        <v>2001</v>
      </c>
      <c r="AX14" s="128" t="e">
        <f>((#REF!/#REF!)-1)*100</f>
        <v>#REF!</v>
      </c>
      <c r="AY14" s="128" t="e">
        <f>((#REF!/#REF!)-1)*100</f>
        <v>#REF!</v>
      </c>
      <c r="AZ14" s="128" t="e">
        <f>((#REF!/#REF!)-1)*100</f>
        <v>#REF!</v>
      </c>
      <c r="BA14" s="128" t="e">
        <f>((#REF!/#REF!)-1)*100</f>
        <v>#REF!</v>
      </c>
      <c r="BB14" s="128" t="e">
        <f>((#REF!/#REF!)-1)*100</f>
        <v>#REF!</v>
      </c>
      <c r="BC14" s="128" t="e">
        <f t="shared" si="5"/>
        <v>#DIV/0!</v>
      </c>
      <c r="BD14" s="128" t="e">
        <f t="shared" si="5"/>
        <v>#DIV/0!</v>
      </c>
    </row>
    <row r="15" spans="1:65" s="128" customFormat="1">
      <c r="A15" s="115">
        <v>2001</v>
      </c>
      <c r="B15" s="129">
        <v>1129</v>
      </c>
      <c r="C15" s="129">
        <v>3281073</v>
      </c>
      <c r="D15" s="129">
        <v>40117</v>
      </c>
      <c r="E15" s="62">
        <f t="shared" si="7"/>
        <v>35.533215234720991</v>
      </c>
      <c r="F15" s="129">
        <f t="shared" si="8"/>
        <v>2906.1762621789194</v>
      </c>
      <c r="G15" s="129">
        <f t="shared" si="0"/>
        <v>81787.596280878439</v>
      </c>
      <c r="H15" s="129">
        <v>385</v>
      </c>
      <c r="I15" s="129">
        <v>1518593</v>
      </c>
      <c r="J15" s="129">
        <v>17870</v>
      </c>
      <c r="K15" s="11">
        <f t="shared" si="9"/>
        <v>46.415584415584412</v>
      </c>
      <c r="L15" s="129">
        <f t="shared" si="10"/>
        <v>3944.3974025974026</v>
      </c>
      <c r="M15" s="129">
        <f t="shared" si="1"/>
        <v>84980.02238388361</v>
      </c>
      <c r="N15" s="129">
        <v>124</v>
      </c>
      <c r="O15" s="129">
        <v>660799</v>
      </c>
      <c r="P15" s="129">
        <v>5986</v>
      </c>
      <c r="Q15" s="11">
        <f t="shared" si="11"/>
        <v>48.274193548387096</v>
      </c>
      <c r="R15" s="10">
        <f t="shared" si="12"/>
        <v>5329.0241935483873</v>
      </c>
      <c r="S15" s="129">
        <f t="shared" si="3"/>
        <v>110390.74507183427</v>
      </c>
      <c r="T15" s="129">
        <v>620</v>
      </c>
      <c r="U15" s="129">
        <v>1101681</v>
      </c>
      <c r="V15" s="129">
        <v>16261</v>
      </c>
      <c r="W15" s="11">
        <f t="shared" si="13"/>
        <v>26.227419354838709</v>
      </c>
      <c r="X15" s="10">
        <f t="shared" si="14"/>
        <v>1776.9048387096775</v>
      </c>
      <c r="Y15" s="129">
        <f t="shared" si="2"/>
        <v>67749.892380542413</v>
      </c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W15" s="128">
        <v>2002</v>
      </c>
      <c r="AX15" s="128" t="e">
        <f>((#REF!/#REF!)-1)*100</f>
        <v>#REF!</v>
      </c>
      <c r="AY15" s="128" t="e">
        <f>((#REF!/#REF!)-1)*100</f>
        <v>#REF!</v>
      </c>
      <c r="AZ15" s="128" t="e">
        <f>((#REF!/#REF!)-1)*100</f>
        <v>#REF!</v>
      </c>
      <c r="BA15" s="128" t="e">
        <f>((#REF!/#REF!)-1)*100</f>
        <v>#REF!</v>
      </c>
      <c r="BB15" s="128" t="e">
        <f>((#REF!/#REF!)-1)*100</f>
        <v>#REF!</v>
      </c>
      <c r="BC15" s="128" t="e">
        <f t="shared" si="5"/>
        <v>#DIV/0!</v>
      </c>
      <c r="BD15" s="128" t="e">
        <f t="shared" si="5"/>
        <v>#DIV/0!</v>
      </c>
    </row>
    <row r="16" spans="1:65" s="128" customFormat="1">
      <c r="A16" s="115">
        <v>2002</v>
      </c>
      <c r="B16" s="129">
        <v>1151</v>
      </c>
      <c r="C16" s="129">
        <v>3497850</v>
      </c>
      <c r="D16" s="129">
        <v>40120</v>
      </c>
      <c r="E16" s="62">
        <f t="shared" si="7"/>
        <v>34.856646394439615</v>
      </c>
      <c r="F16" s="129">
        <f t="shared" si="8"/>
        <v>3038.966116420504</v>
      </c>
      <c r="G16" s="129">
        <f t="shared" si="0"/>
        <v>87184.695912263211</v>
      </c>
      <c r="H16" s="129">
        <v>397</v>
      </c>
      <c r="I16" s="129">
        <v>1644790</v>
      </c>
      <c r="J16" s="129">
        <v>17085</v>
      </c>
      <c r="K16" s="11">
        <f t="shared" si="9"/>
        <v>43.035264483627202</v>
      </c>
      <c r="L16" s="129">
        <f t="shared" si="10"/>
        <v>4143.0478589420654</v>
      </c>
      <c r="M16" s="129">
        <f t="shared" si="1"/>
        <v>96270.997951419369</v>
      </c>
      <c r="N16" s="129">
        <v>128</v>
      </c>
      <c r="O16" s="129">
        <v>743622</v>
      </c>
      <c r="P16" s="129">
        <v>6514</v>
      </c>
      <c r="Q16" s="11">
        <f t="shared" si="11"/>
        <v>50.890625</v>
      </c>
      <c r="R16" s="10">
        <f t="shared" si="12"/>
        <v>5809.546875</v>
      </c>
      <c r="S16" s="129">
        <f t="shared" si="3"/>
        <v>114157.50690819773</v>
      </c>
      <c r="T16" s="129">
        <v>626</v>
      </c>
      <c r="U16" s="129">
        <v>1109438</v>
      </c>
      <c r="V16" s="129">
        <v>16521</v>
      </c>
      <c r="W16" s="11">
        <f t="shared" si="13"/>
        <v>26.391373801916934</v>
      </c>
      <c r="X16" s="10">
        <f t="shared" si="14"/>
        <v>1772.2651757188498</v>
      </c>
      <c r="Y16" s="129">
        <f t="shared" si="2"/>
        <v>67153.198958900786</v>
      </c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W16" s="128">
        <v>2003</v>
      </c>
      <c r="AX16" s="128" t="e">
        <f>((#REF!/#REF!)-1)*100</f>
        <v>#REF!</v>
      </c>
      <c r="AY16" s="128" t="e">
        <f>((#REF!/#REF!)-1)*100</f>
        <v>#REF!</v>
      </c>
      <c r="AZ16" s="128" t="e">
        <f>((#REF!/#REF!)-1)*100</f>
        <v>#REF!</v>
      </c>
      <c r="BA16" s="128" t="e">
        <f>((#REF!/#REF!)-1)*100</f>
        <v>#REF!</v>
      </c>
      <c r="BB16" s="128" t="e">
        <f>((#REF!/#REF!)-1)*100</f>
        <v>#REF!</v>
      </c>
      <c r="BC16" s="128" t="e">
        <f t="shared" si="5"/>
        <v>#DIV/0!</v>
      </c>
      <c r="BD16" s="128" t="e">
        <f t="shared" si="5"/>
        <v>#DIV/0!</v>
      </c>
    </row>
    <row r="17" spans="1:56" s="95" customFormat="1" ht="15.75" thickBot="1">
      <c r="A17" s="94">
        <v>2003</v>
      </c>
      <c r="B17" s="82">
        <v>1131</v>
      </c>
      <c r="C17" s="82">
        <v>3304631</v>
      </c>
      <c r="D17" s="82">
        <v>39175</v>
      </c>
      <c r="E17" s="78">
        <f t="shared" si="7"/>
        <v>34.637488947833774</v>
      </c>
      <c r="F17" s="82">
        <f t="shared" si="8"/>
        <v>2921.8664898320071</v>
      </c>
      <c r="G17" s="82">
        <f t="shared" si="0"/>
        <v>84355.609444798974</v>
      </c>
      <c r="H17" s="82">
        <v>383</v>
      </c>
      <c r="I17" s="82">
        <v>1246111</v>
      </c>
      <c r="J17" s="82">
        <v>15774</v>
      </c>
      <c r="K17" s="75">
        <f t="shared" si="9"/>
        <v>41.185378590078329</v>
      </c>
      <c r="L17" s="82">
        <f t="shared" si="10"/>
        <v>3253.5535248041774</v>
      </c>
      <c r="M17" s="82">
        <f t="shared" si="1"/>
        <v>78997.781158869038</v>
      </c>
      <c r="N17" s="82">
        <v>130</v>
      </c>
      <c r="O17" s="82">
        <v>889147</v>
      </c>
      <c r="P17" s="82">
        <v>6855</v>
      </c>
      <c r="Q17" s="75">
        <f t="shared" si="11"/>
        <v>52.730769230769234</v>
      </c>
      <c r="R17" s="74">
        <f t="shared" si="12"/>
        <v>6839.5923076923073</v>
      </c>
      <c r="S17" s="82">
        <f t="shared" si="3"/>
        <v>129707.80452224653</v>
      </c>
      <c r="T17" s="82">
        <v>618</v>
      </c>
      <c r="U17" s="82">
        <v>1169373</v>
      </c>
      <c r="V17" s="82">
        <v>16546</v>
      </c>
      <c r="W17" s="100">
        <f t="shared" si="13"/>
        <v>26.773462783171521</v>
      </c>
      <c r="X17" s="74">
        <f t="shared" si="14"/>
        <v>1892.1893203883494</v>
      </c>
      <c r="Y17" s="82">
        <f t="shared" si="2"/>
        <v>70674.060195817714</v>
      </c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W17" s="95">
        <v>2004</v>
      </c>
      <c r="AX17" s="95" t="e">
        <f>((#REF!/#REF!)-1)*100</f>
        <v>#REF!</v>
      </c>
      <c r="AY17" s="95" t="e">
        <f>((#REF!/#REF!)-1)*100</f>
        <v>#REF!</v>
      </c>
      <c r="AZ17" s="95" t="e">
        <f>((#REF!/#REF!)-1)*100</f>
        <v>#REF!</v>
      </c>
      <c r="BA17" s="95" t="e">
        <f>((#REF!/#REF!)-1)*100</f>
        <v>#REF!</v>
      </c>
      <c r="BB17" s="95" t="e">
        <f>((L18/#REF!)-1)*100</f>
        <v>#REF!</v>
      </c>
      <c r="BC17" s="95" t="e">
        <f t="shared" si="5"/>
        <v>#DIV/0!</v>
      </c>
      <c r="BD17" s="95" t="e">
        <f t="shared" si="5"/>
        <v>#DIV/0!</v>
      </c>
    </row>
    <row r="18" spans="1:56" s="128" customFormat="1">
      <c r="A18" s="115">
        <v>2004</v>
      </c>
      <c r="B18" s="129">
        <v>1770</v>
      </c>
      <c r="C18" s="129">
        <v>3581352</v>
      </c>
      <c r="D18" s="129">
        <v>38399</v>
      </c>
      <c r="E18" s="62">
        <f t="shared" si="7"/>
        <v>21.694350282485875</v>
      </c>
      <c r="F18" s="129">
        <f t="shared" si="8"/>
        <v>2023.3627118644067</v>
      </c>
      <c r="G18" s="129">
        <f t="shared" si="0"/>
        <v>93266.80382301622</v>
      </c>
      <c r="H18" s="129">
        <v>599</v>
      </c>
      <c r="I18" s="129">
        <v>1384695</v>
      </c>
      <c r="J18" s="129">
        <v>15588</v>
      </c>
      <c r="K18" s="11">
        <f t="shared" si="9"/>
        <v>26.023372287145243</v>
      </c>
      <c r="L18" s="10">
        <f t="shared" si="10"/>
        <v>2311.677796327212</v>
      </c>
      <c r="M18" s="129">
        <f t="shared" si="1"/>
        <v>88830.831408775979</v>
      </c>
      <c r="N18" s="129">
        <v>599</v>
      </c>
      <c r="O18" s="129">
        <v>977769</v>
      </c>
      <c r="P18" s="129">
        <v>6484</v>
      </c>
      <c r="Q18" s="11">
        <f t="shared" si="11"/>
        <v>10.824707846410684</v>
      </c>
      <c r="R18" s="10">
        <f t="shared" si="12"/>
        <v>1632.3355592654425</v>
      </c>
      <c r="S18" s="129">
        <f t="shared" si="3"/>
        <v>150797.19309068477</v>
      </c>
      <c r="T18" s="129">
        <v>1024</v>
      </c>
      <c r="U18" s="129">
        <v>1218888</v>
      </c>
      <c r="V18" s="129">
        <v>16327</v>
      </c>
      <c r="W18" s="102">
        <f t="shared" si="13"/>
        <v>15.9443359375</v>
      </c>
      <c r="X18" s="10">
        <f t="shared" si="14"/>
        <v>1190.3203125</v>
      </c>
      <c r="Y18" s="129">
        <f t="shared" si="2"/>
        <v>74654.743676119309</v>
      </c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W18" s="128">
        <v>2005</v>
      </c>
      <c r="AX18" s="128" t="e">
        <f>((#REF!/#REF!)-1)*100</f>
        <v>#REF!</v>
      </c>
      <c r="AY18" s="128" t="e">
        <f>((#REF!/#REF!)-1)*100</f>
        <v>#REF!</v>
      </c>
      <c r="AZ18" s="128" t="e">
        <f>((#REF!/#REF!)-1)*100</f>
        <v>#REF!</v>
      </c>
      <c r="BA18" s="128" t="e">
        <f>((#REF!/#REF!)-1)*100</f>
        <v>#REF!</v>
      </c>
      <c r="BB18" s="128">
        <f t="shared" ref="BB18:BB23" si="15">((L19/L18)-1)*100</f>
        <v>-17.293170502762923</v>
      </c>
      <c r="BC18" s="128" t="e">
        <f t="shared" si="5"/>
        <v>#DIV/0!</v>
      </c>
      <c r="BD18" s="128" t="e">
        <f t="shared" si="5"/>
        <v>#DIV/0!</v>
      </c>
    </row>
    <row r="19" spans="1:56" s="128" customFormat="1">
      <c r="A19" s="115">
        <v>2005</v>
      </c>
      <c r="B19" s="129">
        <v>1522</v>
      </c>
      <c r="C19" s="129">
        <v>3135326</v>
      </c>
      <c r="D19" s="129">
        <v>37990</v>
      </c>
      <c r="E19" s="62">
        <f t="shared" si="7"/>
        <v>24.960578186596582</v>
      </c>
      <c r="F19" s="129">
        <f t="shared" si="8"/>
        <v>2060.0039421813403</v>
      </c>
      <c r="G19" s="129">
        <f t="shared" si="0"/>
        <v>82530.297446696495</v>
      </c>
      <c r="H19" s="129">
        <v>532</v>
      </c>
      <c r="I19" s="129">
        <v>1017139</v>
      </c>
      <c r="J19" s="129">
        <v>15322</v>
      </c>
      <c r="K19" s="11">
        <f t="shared" si="9"/>
        <v>28.800751879699249</v>
      </c>
      <c r="L19" s="10">
        <f t="shared" si="10"/>
        <v>1911.9154135338347</v>
      </c>
      <c r="M19" s="129">
        <f t="shared" si="1"/>
        <v>66384.218770395513</v>
      </c>
      <c r="N19" s="129">
        <v>532</v>
      </c>
      <c r="O19" s="129">
        <v>845486</v>
      </c>
      <c r="P19" s="129">
        <v>6956</v>
      </c>
      <c r="Q19" s="11">
        <f t="shared" si="11"/>
        <v>13.075187969924812</v>
      </c>
      <c r="R19" s="10">
        <f t="shared" si="12"/>
        <v>1589.2593984962407</v>
      </c>
      <c r="S19" s="129">
        <f t="shared" si="3"/>
        <v>121547.72857964347</v>
      </c>
      <c r="T19" s="129">
        <v>839</v>
      </c>
      <c r="U19" s="129">
        <v>1272701</v>
      </c>
      <c r="V19" s="129">
        <v>15712</v>
      </c>
      <c r="W19" s="102">
        <f t="shared" si="13"/>
        <v>18.727056019070321</v>
      </c>
      <c r="X19" s="10">
        <f t="shared" si="14"/>
        <v>1516.9261025029798</v>
      </c>
      <c r="Y19" s="129">
        <f t="shared" si="2"/>
        <v>81001.845723014252</v>
      </c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W19" s="128">
        <v>2006</v>
      </c>
      <c r="AX19" s="128" t="e">
        <f>((#REF!/#REF!)-1)*100</f>
        <v>#REF!</v>
      </c>
      <c r="AY19" s="128" t="e">
        <f>((#REF!/#REF!)-1)*100</f>
        <v>#REF!</v>
      </c>
      <c r="AZ19" s="128" t="e">
        <f>((#REF!/#REF!)-1)*100</f>
        <v>#REF!</v>
      </c>
      <c r="BA19" s="128" t="e">
        <f>((#REF!/#REF!)-1)*100</f>
        <v>#REF!</v>
      </c>
      <c r="BB19" s="128">
        <f t="shared" si="15"/>
        <v>1.0944826578949129</v>
      </c>
      <c r="BC19" s="128" t="e">
        <f t="shared" si="5"/>
        <v>#DIV/0!</v>
      </c>
      <c r="BD19" s="128" t="e">
        <f t="shared" si="5"/>
        <v>#DIV/0!</v>
      </c>
    </row>
    <row r="20" spans="1:56" s="128" customFormat="1">
      <c r="A20" s="115">
        <v>2006</v>
      </c>
      <c r="B20" s="129">
        <v>1590</v>
      </c>
      <c r="C20" s="129">
        <v>2961328</v>
      </c>
      <c r="D20" s="129">
        <v>35608</v>
      </c>
      <c r="E20" s="62">
        <f t="shared" si="7"/>
        <v>22.394968553459119</v>
      </c>
      <c r="F20" s="129">
        <f t="shared" si="8"/>
        <v>1862.4704402515724</v>
      </c>
      <c r="G20" s="129">
        <f t="shared" si="0"/>
        <v>83164.682093911484</v>
      </c>
      <c r="H20" s="129">
        <v>522</v>
      </c>
      <c r="I20" s="129">
        <v>1008943</v>
      </c>
      <c r="J20" s="129">
        <v>13677</v>
      </c>
      <c r="K20" s="11">
        <f t="shared" si="9"/>
        <v>26.201149425287355</v>
      </c>
      <c r="L20" s="10">
        <f t="shared" si="10"/>
        <v>1932.8409961685825</v>
      </c>
      <c r="M20" s="129">
        <f t="shared" si="1"/>
        <v>73769.320757476045</v>
      </c>
      <c r="N20" s="129">
        <v>522</v>
      </c>
      <c r="O20" s="129">
        <v>724117</v>
      </c>
      <c r="P20" s="129">
        <v>6586</v>
      </c>
      <c r="Q20" s="11">
        <f t="shared" si="11"/>
        <v>12.616858237547893</v>
      </c>
      <c r="R20" s="10">
        <f t="shared" si="12"/>
        <v>1387.1973180076629</v>
      </c>
      <c r="S20" s="129">
        <f t="shared" si="3"/>
        <v>109947.9198299423</v>
      </c>
      <c r="T20" s="129">
        <v>908</v>
      </c>
      <c r="U20" s="129">
        <v>1228268</v>
      </c>
      <c r="V20" s="129">
        <v>15345</v>
      </c>
      <c r="W20" s="102">
        <f t="shared" si="13"/>
        <v>16.89977973568282</v>
      </c>
      <c r="X20" s="10">
        <f t="shared" si="14"/>
        <v>1352.7180616740088</v>
      </c>
      <c r="Y20" s="129">
        <f t="shared" si="2"/>
        <v>80043.532095144998</v>
      </c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W20" s="128">
        <v>2007</v>
      </c>
      <c r="AX20" s="128" t="e">
        <f>((#REF!/#REF!)-1)*100</f>
        <v>#REF!</v>
      </c>
      <c r="AY20" s="128" t="e">
        <f>((#REF!/#REF!)-1)*100</f>
        <v>#REF!</v>
      </c>
      <c r="AZ20" s="128" t="e">
        <f>((#REF!/#REF!)-1)*100</f>
        <v>#REF!</v>
      </c>
      <c r="BA20" s="128" t="e">
        <f>((#REF!/#REF!)-1)*100</f>
        <v>#REF!</v>
      </c>
      <c r="BB20" s="128">
        <f t="shared" si="15"/>
        <v>-17.195835550119952</v>
      </c>
      <c r="BC20" s="128" t="e">
        <f t="shared" si="5"/>
        <v>#DIV/0!</v>
      </c>
      <c r="BD20" s="128" t="e">
        <f t="shared" si="5"/>
        <v>#DIV/0!</v>
      </c>
    </row>
    <row r="21" spans="1:56" s="128" customFormat="1">
      <c r="A21" s="115">
        <v>2007</v>
      </c>
      <c r="B21" s="129">
        <v>1575</v>
      </c>
      <c r="C21" s="129">
        <v>2459100</v>
      </c>
      <c r="D21" s="129">
        <v>31285</v>
      </c>
      <c r="E21" s="62">
        <f t="shared" si="7"/>
        <v>19.863492063492064</v>
      </c>
      <c r="F21" s="129">
        <f t="shared" si="8"/>
        <v>1561.3333333333333</v>
      </c>
      <c r="G21" s="129">
        <f t="shared" si="0"/>
        <v>78603.164455809485</v>
      </c>
      <c r="H21" s="129">
        <v>497</v>
      </c>
      <c r="I21" s="129">
        <v>795435</v>
      </c>
      <c r="J21" s="129">
        <v>11690</v>
      </c>
      <c r="K21" s="11">
        <f t="shared" si="9"/>
        <v>23.52112676056338</v>
      </c>
      <c r="L21" s="10">
        <f t="shared" si="10"/>
        <v>1600.4728370221328</v>
      </c>
      <c r="M21" s="129">
        <f t="shared" si="1"/>
        <v>68044.054747647562</v>
      </c>
      <c r="N21" s="129">
        <v>497</v>
      </c>
      <c r="O21" s="129">
        <v>501583</v>
      </c>
      <c r="P21" s="129">
        <v>5651</v>
      </c>
      <c r="Q21" s="11">
        <f t="shared" si="11"/>
        <v>11.370221327967807</v>
      </c>
      <c r="R21" s="10">
        <f t="shared" si="12"/>
        <v>1009.2213279678068</v>
      </c>
      <c r="S21" s="129">
        <f t="shared" si="3"/>
        <v>88760.042470359229</v>
      </c>
      <c r="T21" s="129">
        <v>924</v>
      </c>
      <c r="U21" s="129">
        <v>1162082</v>
      </c>
      <c r="V21" s="129">
        <v>13944</v>
      </c>
      <c r="W21" s="102">
        <f t="shared" si="13"/>
        <v>15.090909090909092</v>
      </c>
      <c r="X21" s="10">
        <f t="shared" si="14"/>
        <v>1257.6645021645022</v>
      </c>
      <c r="Y21" s="129">
        <f t="shared" si="2"/>
        <v>83339.21399885256</v>
      </c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W21" s="128">
        <v>2008</v>
      </c>
      <c r="AX21" s="128" t="e">
        <f>((#REF!/#REF!)-1)*100</f>
        <v>#REF!</v>
      </c>
      <c r="AY21" s="128" t="e">
        <f>((#REF!/#REF!)-1)*100</f>
        <v>#REF!</v>
      </c>
      <c r="AZ21" s="128" t="e">
        <f>((#REF!/#REF!)-1)*100</f>
        <v>#REF!</v>
      </c>
      <c r="BA21" s="128" t="e">
        <f>((#REF!/#REF!)-1)*100</f>
        <v>#REF!</v>
      </c>
      <c r="BB21" s="128">
        <f t="shared" si="15"/>
        <v>-0.31375514282613315</v>
      </c>
      <c r="BC21" s="128" t="e">
        <f t="shared" si="5"/>
        <v>#DIV/0!</v>
      </c>
      <c r="BD21" s="128" t="e">
        <f t="shared" si="5"/>
        <v>#DIV/0!</v>
      </c>
    </row>
    <row r="22" spans="1:56" s="128" customFormat="1">
      <c r="A22" s="115">
        <v>2008</v>
      </c>
      <c r="B22" s="129">
        <v>1519</v>
      </c>
      <c r="C22" s="129">
        <v>2278386</v>
      </c>
      <c r="D22" s="129">
        <v>29628</v>
      </c>
      <c r="E22" s="62">
        <f t="shared" si="7"/>
        <v>19.50493745885451</v>
      </c>
      <c r="F22" s="129">
        <f t="shared" si="8"/>
        <v>1499.9249506254114</v>
      </c>
      <c r="G22" s="129">
        <f t="shared" si="0"/>
        <v>76899.756986634253</v>
      </c>
      <c r="H22" s="129">
        <v>472</v>
      </c>
      <c r="I22" s="129">
        <v>753053</v>
      </c>
      <c r="J22" s="129">
        <v>9984</v>
      </c>
      <c r="K22" s="11">
        <f t="shared" si="9"/>
        <v>21.152542372881356</v>
      </c>
      <c r="L22" s="10">
        <f t="shared" si="10"/>
        <v>1595.4512711864406</v>
      </c>
      <c r="M22" s="129">
        <f t="shared" si="1"/>
        <v>75425.981570512813</v>
      </c>
      <c r="N22" s="129">
        <v>472</v>
      </c>
      <c r="O22" s="129">
        <v>410614</v>
      </c>
      <c r="P22" s="129">
        <v>5040</v>
      </c>
      <c r="Q22" s="11">
        <f t="shared" si="11"/>
        <v>10.677966101694915</v>
      </c>
      <c r="R22" s="10">
        <f t="shared" si="12"/>
        <v>869.94491525423734</v>
      </c>
      <c r="S22" s="129">
        <f t="shared" si="3"/>
        <v>81471.031746031746</v>
      </c>
      <c r="T22" s="129">
        <v>910</v>
      </c>
      <c r="U22" s="129">
        <v>1114719</v>
      </c>
      <c r="V22" s="129">
        <v>14604</v>
      </c>
      <c r="W22" s="102">
        <f t="shared" si="13"/>
        <v>16.048351648351648</v>
      </c>
      <c r="X22" s="10">
        <f t="shared" si="14"/>
        <v>1224.9659340659341</v>
      </c>
      <c r="Y22" s="129">
        <f t="shared" si="2"/>
        <v>76329.704190632692</v>
      </c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W22" s="128">
        <v>2009</v>
      </c>
      <c r="AX22" s="128" t="e">
        <f>((#REF!/#REF!)-1)*100</f>
        <v>#REF!</v>
      </c>
      <c r="AY22" s="128" t="e">
        <f>((#REF!/#REF!)-1)*100</f>
        <v>#REF!</v>
      </c>
      <c r="AZ22" s="128" t="e">
        <f>((#REF!/#REF!)-1)*100</f>
        <v>#REF!</v>
      </c>
      <c r="BA22" s="128" t="e">
        <f>((#REF!/#REF!)-1)*100</f>
        <v>#REF!</v>
      </c>
      <c r="BB22" s="128">
        <f t="shared" si="15"/>
        <v>-20.354509592194159</v>
      </c>
      <c r="BC22" s="128" t="e">
        <f t="shared" si="5"/>
        <v>#DIV/0!</v>
      </c>
      <c r="BD22" s="128" t="e">
        <f t="shared" si="5"/>
        <v>#DIV/0!</v>
      </c>
    </row>
    <row r="23" spans="1:56" s="128" customFormat="1">
      <c r="A23" s="115">
        <v>2009</v>
      </c>
      <c r="B23" s="129">
        <v>1492</v>
      </c>
      <c r="C23" s="129">
        <v>2068588</v>
      </c>
      <c r="D23" s="129">
        <v>26673</v>
      </c>
      <c r="E23" s="62">
        <f t="shared" si="7"/>
        <v>17.877345844504021</v>
      </c>
      <c r="F23" s="129">
        <f t="shared" si="8"/>
        <v>1386.4530831099196</v>
      </c>
      <c r="G23" s="129">
        <f t="shared" si="0"/>
        <v>77553.631012634491</v>
      </c>
      <c r="H23" s="129">
        <v>461</v>
      </c>
      <c r="I23" s="129">
        <v>585795</v>
      </c>
      <c r="J23" s="129">
        <v>8547</v>
      </c>
      <c r="K23" s="11">
        <f t="shared" si="9"/>
        <v>18.540130151843819</v>
      </c>
      <c r="L23" s="10">
        <f t="shared" si="10"/>
        <v>1270.704989154013</v>
      </c>
      <c r="M23" s="129">
        <f t="shared" si="1"/>
        <v>68538.083538083534</v>
      </c>
      <c r="N23" s="129">
        <v>461</v>
      </c>
      <c r="O23" s="129">
        <v>444268</v>
      </c>
      <c r="P23" s="129">
        <v>4984</v>
      </c>
      <c r="Q23" s="11">
        <f t="shared" si="11"/>
        <v>10.811279826464208</v>
      </c>
      <c r="R23" s="10">
        <f t="shared" si="12"/>
        <v>963.70498915401299</v>
      </c>
      <c r="S23" s="129">
        <f t="shared" si="3"/>
        <v>89138.844301765639</v>
      </c>
      <c r="T23" s="129">
        <v>892</v>
      </c>
      <c r="U23" s="129">
        <v>1038525</v>
      </c>
      <c r="V23" s="129">
        <v>13142</v>
      </c>
      <c r="W23" s="102">
        <f t="shared" si="13"/>
        <v>14.733183856502242</v>
      </c>
      <c r="X23" s="10">
        <f t="shared" si="14"/>
        <v>1164.2656950672647</v>
      </c>
      <c r="Y23" s="129">
        <f t="shared" si="2"/>
        <v>79023.360219144713</v>
      </c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W23" s="128">
        <v>2010</v>
      </c>
      <c r="AX23" s="128" t="e">
        <f>((#REF!/#REF!)-1)*100</f>
        <v>#REF!</v>
      </c>
      <c r="AY23" s="128" t="e">
        <f>((#REF!/#REF!)-1)*100</f>
        <v>#REF!</v>
      </c>
      <c r="AZ23" s="128" t="e">
        <f>((#REF!/#REF!)-1)*100</f>
        <v>#REF!</v>
      </c>
      <c r="BA23" s="128" t="e">
        <f>((#REF!/#REF!)-1)*100</f>
        <v>#REF!</v>
      </c>
      <c r="BB23" s="128">
        <f t="shared" si="15"/>
        <v>25.475275163355214</v>
      </c>
      <c r="BC23" s="128" t="e">
        <f t="shared" si="5"/>
        <v>#DIV/0!</v>
      </c>
      <c r="BD23" s="128" t="e">
        <f t="shared" si="5"/>
        <v>#DIV/0!</v>
      </c>
    </row>
    <row r="24" spans="1:56" s="128" customFormat="1">
      <c r="A24" s="115">
        <v>2010</v>
      </c>
      <c r="B24" s="129">
        <v>1490</v>
      </c>
      <c r="C24" s="129">
        <v>2284510</v>
      </c>
      <c r="D24" s="129">
        <v>27989</v>
      </c>
      <c r="E24" s="62">
        <f t="shared" si="7"/>
        <v>18.784563758389261</v>
      </c>
      <c r="F24" s="129">
        <f t="shared" si="8"/>
        <v>1533.2281879194632</v>
      </c>
      <c r="G24" s="129">
        <f t="shared" si="0"/>
        <v>81621.708528350428</v>
      </c>
      <c r="H24" s="129">
        <v>447</v>
      </c>
      <c r="I24" s="129">
        <v>712706</v>
      </c>
      <c r="J24" s="129">
        <v>8890</v>
      </c>
      <c r="K24" s="11">
        <f t="shared" si="9"/>
        <v>19.888143176733781</v>
      </c>
      <c r="L24" s="10">
        <f t="shared" si="10"/>
        <v>1594.4205816554809</v>
      </c>
      <c r="M24" s="129">
        <f t="shared" si="1"/>
        <v>80169.403824521942</v>
      </c>
      <c r="N24" s="129">
        <v>447</v>
      </c>
      <c r="O24" s="129">
        <v>482948</v>
      </c>
      <c r="P24" s="129">
        <v>5300</v>
      </c>
      <c r="Q24" s="11">
        <f t="shared" si="11"/>
        <v>11.856823266219239</v>
      </c>
      <c r="R24" s="10">
        <f t="shared" si="12"/>
        <v>1080.4205816554809</v>
      </c>
      <c r="S24" s="129">
        <f t="shared" si="3"/>
        <v>91122.264150943389</v>
      </c>
      <c r="T24" s="129">
        <v>903</v>
      </c>
      <c r="U24" s="129">
        <v>1088856</v>
      </c>
      <c r="V24" s="129">
        <v>13799</v>
      </c>
      <c r="W24" s="102">
        <f t="shared" si="13"/>
        <v>15.281284606866002</v>
      </c>
      <c r="X24" s="10">
        <f t="shared" si="14"/>
        <v>1205.8205980066446</v>
      </c>
      <c r="Y24" s="129">
        <f t="shared" si="2"/>
        <v>78908.326690339876</v>
      </c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W24" s="128">
        <v>2011</v>
      </c>
      <c r="AX24" s="128" t="e">
        <f>((#REF!/#REF!)-1)*100</f>
        <v>#REF!</v>
      </c>
      <c r="AY24" s="128" t="e">
        <f>((#REF!/#REF!)-1)*100</f>
        <v>#REF!</v>
      </c>
      <c r="AZ24" s="128" t="e">
        <f>((#REF!/#REF!)-1)*100</f>
        <v>#REF!</v>
      </c>
      <c r="BA24" s="128" t="e">
        <f>((#REF!/#REF!)-1)*100</f>
        <v>#REF!</v>
      </c>
      <c r="BB24" s="128" t="e">
        <f>((#REF!/L24)-1)*100</f>
        <v>#REF!</v>
      </c>
      <c r="BC24" s="128" t="e">
        <f>((#REF!/AT24)-1)*100</f>
        <v>#REF!</v>
      </c>
      <c r="BD24" s="128" t="e">
        <f>((#REF!/AU24)-1)*100</f>
        <v>#REF!</v>
      </c>
    </row>
    <row r="25" spans="1:56">
      <c r="A25" s="9"/>
      <c r="B25" s="62"/>
      <c r="C25" s="62"/>
      <c r="D25" s="62"/>
      <c r="E25" s="62"/>
      <c r="F25" s="62"/>
      <c r="G25" s="62"/>
      <c r="H25" s="9"/>
      <c r="I25" s="9"/>
      <c r="J25" s="9"/>
      <c r="K25" s="9"/>
      <c r="L25" s="9"/>
      <c r="M25" s="9"/>
      <c r="N25" s="9"/>
      <c r="O25" s="9"/>
      <c r="P25" s="9"/>
      <c r="R25" s="9"/>
      <c r="S25" s="9"/>
      <c r="T25" s="9"/>
      <c r="V25" s="9"/>
      <c r="W25" s="9"/>
      <c r="X25" s="96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X25" s="125" t="s">
        <v>27</v>
      </c>
    </row>
    <row r="26" spans="1:56" ht="15" customHeight="1">
      <c r="A26" s="454" t="s">
        <v>32</v>
      </c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X26" s="125" t="s">
        <v>16</v>
      </c>
      <c r="AY26" s="125" t="s">
        <v>8</v>
      </c>
      <c r="AZ26" s="125" t="s">
        <v>3</v>
      </c>
      <c r="BA26" s="125" t="s">
        <v>4</v>
      </c>
      <c r="BB26" s="125" t="s">
        <v>17</v>
      </c>
      <c r="BC26" s="125" t="s">
        <v>6</v>
      </c>
      <c r="BD26" s="125" t="s">
        <v>7</v>
      </c>
    </row>
    <row r="27" spans="1:56" ht="30">
      <c r="A27" s="115" t="s">
        <v>85</v>
      </c>
      <c r="B27" s="11" t="s">
        <v>10</v>
      </c>
      <c r="C27" s="11">
        <f t="shared" ref="C27:Y27" si="16">((C4/C13)^(1/9)-1)*100</f>
        <v>-11.149171472129794</v>
      </c>
      <c r="D27" s="11">
        <f t="shared" si="16"/>
        <v>-3.6787544211315804</v>
      </c>
      <c r="E27" s="11" t="s">
        <v>10</v>
      </c>
      <c r="F27" s="11" t="s">
        <v>10</v>
      </c>
      <c r="G27" s="11">
        <f t="shared" si="16"/>
        <v>-7.7557313613447647</v>
      </c>
      <c r="H27" s="11" t="s">
        <v>10</v>
      </c>
      <c r="I27" s="11">
        <f t="shared" si="16"/>
        <v>-12.383150243439111</v>
      </c>
      <c r="J27" s="11">
        <f t="shared" si="16"/>
        <v>-5.2317758627227651</v>
      </c>
      <c r="K27" s="11" t="s">
        <v>10</v>
      </c>
      <c r="L27" s="11" t="s">
        <v>10</v>
      </c>
      <c r="M27" s="11">
        <f t="shared" si="16"/>
        <v>-7.5461732514446762</v>
      </c>
      <c r="N27" s="11" t="s">
        <v>10</v>
      </c>
      <c r="O27" s="11">
        <f t="shared" si="16"/>
        <v>-17.256085913243336</v>
      </c>
      <c r="P27" s="11">
        <f t="shared" si="16"/>
        <v>-4.5767028912079404</v>
      </c>
      <c r="Q27" s="11" t="s">
        <v>10</v>
      </c>
      <c r="R27" s="11" t="s">
        <v>10</v>
      </c>
      <c r="S27" s="11">
        <f t="shared" si="16"/>
        <v>-13.287513014331964</v>
      </c>
      <c r="T27" s="11" t="s">
        <v>10</v>
      </c>
      <c r="U27" s="11">
        <f t="shared" si="16"/>
        <v>-3.6945492034778149</v>
      </c>
      <c r="V27" s="11">
        <f t="shared" si="16"/>
        <v>-1.3002833426608129</v>
      </c>
      <c r="W27" s="11" t="s">
        <v>10</v>
      </c>
      <c r="X27" s="11" t="s">
        <v>10</v>
      </c>
      <c r="Y27" s="11">
        <f t="shared" si="16"/>
        <v>-2.4258082413035731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W27" s="125">
        <v>1999</v>
      </c>
      <c r="AX27" s="125" t="e">
        <f>#REF!/#REF!</f>
        <v>#REF!</v>
      </c>
      <c r="AY27" s="125" t="e">
        <f>#REF!/#REF!</f>
        <v>#REF!</v>
      </c>
      <c r="AZ27" s="125" t="e">
        <f>#REF!/#REF!</f>
        <v>#REF!</v>
      </c>
      <c r="BA27" s="125" t="e">
        <f>#REF!/#REF!</f>
        <v>#REF!</v>
      </c>
      <c r="BB27" s="125" t="e">
        <f>#REF!/#REF!</f>
        <v>#REF!</v>
      </c>
      <c r="BC27" s="125" t="e">
        <f t="shared" ref="BC27:BC28" si="17">AT13/$AT$14</f>
        <v>#DIV/0!</v>
      </c>
      <c r="BD27" s="125" t="e">
        <f t="shared" ref="BD27:BD28" si="18">AU13/$AU$14</f>
        <v>#DIV/0!</v>
      </c>
    </row>
    <row r="28" spans="1:56" ht="30">
      <c r="A28" s="130" t="s">
        <v>323</v>
      </c>
      <c r="B28" s="11">
        <f>((B13/B17)^(1/4)-1)*100</f>
        <v>-11.239727515158259</v>
      </c>
      <c r="C28" s="11">
        <f t="shared" ref="C28:Y28" si="19">((C13/C17)^(1/4)-1)*100</f>
        <v>1.876269477698056</v>
      </c>
      <c r="D28" s="11">
        <f t="shared" si="19"/>
        <v>-1.0917766651177163</v>
      </c>
      <c r="E28" s="11">
        <f t="shared" si="19"/>
        <v>11.432987490854751</v>
      </c>
      <c r="F28" s="11">
        <f t="shared" si="19"/>
        <v>14.776877791915567</v>
      </c>
      <c r="G28" s="11">
        <f t="shared" si="19"/>
        <v>3.0008082672424496</v>
      </c>
      <c r="H28" s="11">
        <f t="shared" si="19"/>
        <v>-8.2000314285981535</v>
      </c>
      <c r="I28" s="11">
        <f t="shared" si="19"/>
        <v>9.1138359368471367</v>
      </c>
      <c r="J28" s="11">
        <f t="shared" si="19"/>
        <v>5.1633668919668807</v>
      </c>
      <c r="K28" s="11">
        <f t="shared" si="19"/>
        <v>14.557083764327206</v>
      </c>
      <c r="L28" s="11">
        <f t="shared" si="19"/>
        <v>18.860428423762031</v>
      </c>
      <c r="M28" s="11">
        <f t="shared" si="19"/>
        <v>3.7565068156657055</v>
      </c>
      <c r="N28" s="11">
        <f t="shared" si="19"/>
        <v>-9.2942476351448597</v>
      </c>
      <c r="O28" s="11">
        <f t="shared" si="19"/>
        <v>5.6039762995012232</v>
      </c>
      <c r="P28" s="11">
        <f t="shared" si="19"/>
        <v>-4.7392225073586536</v>
      </c>
      <c r="Q28" s="11">
        <f t="shared" si="19"/>
        <v>5.021759931458436</v>
      </c>
      <c r="R28" s="11">
        <f t="shared" si="19"/>
        <v>16.42478403653984</v>
      </c>
      <c r="S28" s="11">
        <f t="shared" si="19"/>
        <v>10.857772820150302</v>
      </c>
      <c r="T28" s="11">
        <f t="shared" si="19"/>
        <v>-13.74993962688924</v>
      </c>
      <c r="U28" s="11">
        <f t="shared" si="19"/>
        <v>-12.434460754000764</v>
      </c>
      <c r="V28" s="11">
        <f t="shared" si="19"/>
        <v>-6.6697828962226318</v>
      </c>
      <c r="W28" s="11">
        <f t="shared" si="19"/>
        <v>8.2088716228585046</v>
      </c>
      <c r="X28" s="11">
        <f t="shared" si="19"/>
        <v>1.5251918285017041</v>
      </c>
      <c r="Y28" s="11">
        <f t="shared" si="19"/>
        <v>-6.1766467888617171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W28" s="125">
        <v>2000</v>
      </c>
      <c r="AX28" s="125" t="e">
        <f>#REF!/#REF!</f>
        <v>#REF!</v>
      </c>
      <c r="AY28" s="125" t="e">
        <f>#REF!/#REF!</f>
        <v>#REF!</v>
      </c>
      <c r="AZ28" s="125" t="e">
        <f>#REF!/#REF!</f>
        <v>#REF!</v>
      </c>
      <c r="BA28" s="125" t="e">
        <f>#REF!/#REF!</f>
        <v>#REF!</v>
      </c>
      <c r="BB28" s="125" t="e">
        <f>#REF!/#REF!</f>
        <v>#REF!</v>
      </c>
      <c r="BC28" s="125" t="e">
        <f t="shared" si="17"/>
        <v>#DIV/0!</v>
      </c>
      <c r="BD28" s="125" t="e">
        <f t="shared" si="18"/>
        <v>#DIV/0!</v>
      </c>
    </row>
    <row r="29" spans="1:56" s="259" customFormat="1" ht="30">
      <c r="A29" s="325" t="s">
        <v>524</v>
      </c>
      <c r="B29" s="11">
        <f>((B21/B17)^(1/4)-1)*100</f>
        <v>8.631177808512124</v>
      </c>
      <c r="C29" s="11">
        <f t="shared" ref="C29:Y29" si="20">((C21/C17)^(1/4)-1)*100</f>
        <v>-7.1219038884810519</v>
      </c>
      <c r="D29" s="11">
        <f t="shared" si="20"/>
        <v>-5.4673595650732931</v>
      </c>
      <c r="E29" s="11">
        <f t="shared" si="20"/>
        <v>-12.978352677384553</v>
      </c>
      <c r="F29" s="11">
        <f t="shared" si="20"/>
        <v>-14.501436893892162</v>
      </c>
      <c r="G29" s="11">
        <f t="shared" si="20"/>
        <v>-1.7502360198504152</v>
      </c>
      <c r="H29" s="11">
        <f t="shared" si="20"/>
        <v>6.7307112821713089</v>
      </c>
      <c r="I29" s="11">
        <f t="shared" si="20"/>
        <v>-10.615545987494389</v>
      </c>
      <c r="J29" s="11">
        <f t="shared" si="20"/>
        <v>-7.2170517024376153</v>
      </c>
      <c r="K29" s="11">
        <f t="shared" si="20"/>
        <v>-13.068181423184056</v>
      </c>
      <c r="L29" s="11">
        <f t="shared" si="20"/>
        <v>-16.252357977645438</v>
      </c>
      <c r="M29" s="11">
        <f t="shared" si="20"/>
        <v>-3.6628436015608501</v>
      </c>
      <c r="N29" s="11">
        <f t="shared" si="20"/>
        <v>39.830934185759936</v>
      </c>
      <c r="O29" s="11">
        <f t="shared" si="20"/>
        <v>-13.335285573671573</v>
      </c>
      <c r="P29" s="11">
        <f t="shared" si="20"/>
        <v>-4.713919717710791</v>
      </c>
      <c r="Q29" s="11">
        <f t="shared" si="20"/>
        <v>-31.856222775637498</v>
      </c>
      <c r="R29" s="11">
        <f t="shared" si="20"/>
        <v>-38.02178685926696</v>
      </c>
      <c r="S29" s="11">
        <f t="shared" si="20"/>
        <v>-9.0478754403786947</v>
      </c>
      <c r="T29" s="11">
        <f t="shared" si="20"/>
        <v>10.578545730438238</v>
      </c>
      <c r="U29" s="11">
        <f t="shared" si="20"/>
        <v>-0.15623991324813513</v>
      </c>
      <c r="V29" s="11">
        <f t="shared" si="20"/>
        <v>-4.1871875339938525</v>
      </c>
      <c r="W29" s="11">
        <f t="shared" si="20"/>
        <v>-13.353162828191934</v>
      </c>
      <c r="X29" s="11">
        <f t="shared" si="20"/>
        <v>-9.7078376033765128</v>
      </c>
      <c r="Y29" s="11">
        <f t="shared" si="20"/>
        <v>4.2071070841134928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</row>
    <row r="30" spans="1:56" s="259" customFormat="1" ht="30">
      <c r="A30" s="248" t="s">
        <v>368</v>
      </c>
      <c r="B30" s="11">
        <f>((B24/B21)^(1/3)-1)*100</f>
        <v>-1.8323103536719731</v>
      </c>
      <c r="C30" s="11">
        <f t="shared" ref="C30" si="21">((C24/C21)^(1/3)-1)*100</f>
        <v>-2.4249105966589801</v>
      </c>
      <c r="D30" s="11">
        <f t="shared" ref="D30:Y30" si="22">((D24/D21)^(1/3)-1)*100</f>
        <v>-3.6428955385943929</v>
      </c>
      <c r="E30" s="11">
        <f t="shared" si="22"/>
        <v>-1.8443799497018465</v>
      </c>
      <c r="F30" s="11">
        <f t="shared" si="22"/>
        <v>-0.60366118946262315</v>
      </c>
      <c r="G30" s="11">
        <f t="shared" si="22"/>
        <v>1.264032318886521</v>
      </c>
      <c r="H30" s="11">
        <f t="shared" si="22"/>
        <v>-3.4726511954476291</v>
      </c>
      <c r="I30" s="11">
        <f t="shared" si="22"/>
        <v>-3.5944789671893962</v>
      </c>
      <c r="J30" s="11">
        <f t="shared" si="22"/>
        <v>-8.7227774455235547</v>
      </c>
      <c r="K30" s="11">
        <f t="shared" si="22"/>
        <v>-5.4390038834551735</v>
      </c>
      <c r="L30" s="11">
        <f t="shared" si="22"/>
        <v>-0.12621062657428572</v>
      </c>
      <c r="M30" s="11">
        <f t="shared" si="22"/>
        <v>5.6183770001036804</v>
      </c>
      <c r="N30" s="11">
        <f t="shared" si="22"/>
        <v>-3.4726511954476291</v>
      </c>
      <c r="O30" s="11">
        <f t="shared" si="22"/>
        <v>-1.2540737871610474</v>
      </c>
      <c r="P30" s="11">
        <f t="shared" si="22"/>
        <v>-2.1148402127503796</v>
      </c>
      <c r="Q30" s="11">
        <f t="shared" si="22"/>
        <v>1.4066593556262719</v>
      </c>
      <c r="R30" s="11">
        <f t="shared" si="22"/>
        <v>2.2983925651772763</v>
      </c>
      <c r="S30" s="11">
        <f t="shared" si="22"/>
        <v>0.87936355976756531</v>
      </c>
      <c r="T30" s="11">
        <f t="shared" si="22"/>
        <v>-0.76338854921662591</v>
      </c>
      <c r="U30" s="11">
        <f t="shared" si="22"/>
        <v>-2.1461558443697015</v>
      </c>
      <c r="V30" s="11">
        <f t="shared" si="22"/>
        <v>-0.34783306926753355</v>
      </c>
      <c r="W30" s="11">
        <f t="shared" si="22"/>
        <v>0.41875218618803167</v>
      </c>
      <c r="X30" s="11">
        <f t="shared" si="22"/>
        <v>-1.3934043846699273</v>
      </c>
      <c r="Y30" s="11">
        <f t="shared" si="22"/>
        <v>-1.8045997698696969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</row>
    <row r="31" spans="1:56" ht="30">
      <c r="A31" s="325" t="s">
        <v>525</v>
      </c>
      <c r="B31" s="11">
        <f>((B24/B14)^(1/10)-1)*100</f>
        <v>2.8680840913788863</v>
      </c>
      <c r="C31" s="11">
        <f t="shared" ref="C31:Y31" si="23">((C24/C14)^(1/10)-1)*100</f>
        <v>-3.8459637011380443</v>
      </c>
      <c r="D31" s="11">
        <f t="shared" si="23"/>
        <v>-3.6888904465478545</v>
      </c>
      <c r="E31" s="11">
        <f t="shared" si="23"/>
        <v>-6.3741583172698064</v>
      </c>
      <c r="F31" s="11">
        <f t="shared" si="23"/>
        <v>-6.5268521833776516</v>
      </c>
      <c r="G31" s="11">
        <f t="shared" si="23"/>
        <v>-0.16308944556704397</v>
      </c>
      <c r="H31" s="11">
        <f t="shared" si="23"/>
        <v>1.1171343341973783</v>
      </c>
      <c r="I31" s="11">
        <f t="shared" si="23"/>
        <v>-7.5738428316488022</v>
      </c>
      <c r="J31" s="11">
        <f t="shared" si="23"/>
        <v>-7.7478478246106981</v>
      </c>
      <c r="K31" s="11">
        <f t="shared" si="23"/>
        <v>-8.7670425167596715</v>
      </c>
      <c r="L31" s="11">
        <f t="shared" si="23"/>
        <v>-8.5949599175962117</v>
      </c>
      <c r="M31" s="11">
        <f t="shared" si="23"/>
        <v>0.18861889815977584</v>
      </c>
      <c r="N31" s="11">
        <f t="shared" si="23"/>
        <v>13.86618475318835</v>
      </c>
      <c r="O31" s="11">
        <f t="shared" si="23"/>
        <v>-4.1261970498818856</v>
      </c>
      <c r="P31" s="11">
        <f t="shared" si="23"/>
        <v>-1.028074878965568</v>
      </c>
      <c r="Q31" s="11">
        <f t="shared" si="23"/>
        <v>-13.080494147088617</v>
      </c>
      <c r="R31" s="11">
        <f t="shared" si="23"/>
        <v>-15.801338950690047</v>
      </c>
      <c r="S31" s="11">
        <f t="shared" si="23"/>
        <v>-3.13030404039083</v>
      </c>
      <c r="T31" s="11">
        <f t="shared" si="23"/>
        <v>4.1552888889155648</v>
      </c>
      <c r="U31" s="11">
        <f t="shared" si="23"/>
        <v>9.1759045623218682E-2</v>
      </c>
      <c r="V31" s="11">
        <f t="shared" si="23"/>
        <v>-0.81054988662687677</v>
      </c>
      <c r="W31" s="11">
        <f t="shared" si="23"/>
        <v>-4.7677259873367017</v>
      </c>
      <c r="X31" s="11">
        <f t="shared" si="23"/>
        <v>-3.9014147880922501</v>
      </c>
      <c r="Y31" s="11">
        <f t="shared" si="23"/>
        <v>0.90968236160071658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W31" s="125">
        <v>2001</v>
      </c>
      <c r="AX31" s="125" t="e">
        <f>#REF!/#REF!</f>
        <v>#REF!</v>
      </c>
      <c r="AY31" s="125" t="e">
        <f>#REF!/#REF!</f>
        <v>#REF!</v>
      </c>
      <c r="AZ31" s="125" t="e">
        <f>#REF!/#REF!</f>
        <v>#REF!</v>
      </c>
      <c r="BA31" s="125" t="e">
        <f>#REF!/#REF!</f>
        <v>#REF!</v>
      </c>
      <c r="BB31" s="125" t="e">
        <f>#REF!/#REF!</f>
        <v>#REF!</v>
      </c>
      <c r="BC31" s="125" t="e">
        <f>AT15/$AT$14</f>
        <v>#DIV/0!</v>
      </c>
      <c r="BD31" s="125" t="e">
        <f>AU15/$AU$14</f>
        <v>#DIV/0!</v>
      </c>
    </row>
    <row r="32" spans="1:56">
      <c r="A32" s="115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</row>
    <row r="33" spans="1:56">
      <c r="A33" s="237" t="s">
        <v>39</v>
      </c>
      <c r="B33" s="237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</row>
    <row r="34" spans="1:56">
      <c r="A34" s="237" t="s">
        <v>76</v>
      </c>
      <c r="B34" s="237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</row>
    <row r="35" spans="1:56">
      <c r="A35" s="237" t="s">
        <v>9</v>
      </c>
      <c r="B35" s="237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</row>
    <row r="36" spans="1:56">
      <c r="A36" s="237" t="s">
        <v>10</v>
      </c>
      <c r="B36" s="237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</row>
    <row r="37" spans="1:56">
      <c r="A37" s="237" t="s">
        <v>40</v>
      </c>
      <c r="B37" s="237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</row>
    <row r="38" spans="1:56">
      <c r="A38" s="231" t="s">
        <v>322</v>
      </c>
      <c r="B38" s="23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</row>
    <row r="39" spans="1:56">
      <c r="A39" s="231" t="s">
        <v>144</v>
      </c>
      <c r="B39" s="238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56">
      <c r="A40" s="259" t="s">
        <v>371</v>
      </c>
      <c r="B40" s="237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56">
      <c r="AW41" s="125">
        <v>2011</v>
      </c>
      <c r="AX41" s="125" t="e">
        <f>#REF!/#REF!</f>
        <v>#REF!</v>
      </c>
      <c r="AY41" s="125" t="e">
        <f>#REF!/#REF!</f>
        <v>#REF!</v>
      </c>
      <c r="AZ41" s="125" t="e">
        <f>#REF!/#REF!</f>
        <v>#REF!</v>
      </c>
      <c r="BA41" s="125" t="e">
        <f>#REF!/#REF!</f>
        <v>#REF!</v>
      </c>
      <c r="BB41" s="125" t="e">
        <f>#REF!/#REF!</f>
        <v>#REF!</v>
      </c>
      <c r="BC41" s="125" t="e">
        <f>#REF!/$AT$14</f>
        <v>#REF!</v>
      </c>
      <c r="BD41" s="125" t="e">
        <f>#REF!/$AU$14</f>
        <v>#REF!</v>
      </c>
    </row>
    <row r="42" spans="1:56">
      <c r="AW42" s="125">
        <v>2012</v>
      </c>
      <c r="AX42" s="125" t="e">
        <f>#REF!/#REF!</f>
        <v>#REF!</v>
      </c>
      <c r="AY42" s="125" t="e">
        <f>#REF!/#REF!</f>
        <v>#REF!</v>
      </c>
      <c r="AZ42" s="125" t="e">
        <f>#REF!/#REF!</f>
        <v>#REF!</v>
      </c>
      <c r="BA42" s="125" t="e">
        <f>#REF!/#REF!</f>
        <v>#REF!</v>
      </c>
      <c r="BB42" s="125" t="e">
        <f>#REF!/#REF!</f>
        <v>#REF!</v>
      </c>
      <c r="BC42" s="125" t="e">
        <f>#REF!/$AT$14</f>
        <v>#REF!</v>
      </c>
      <c r="BD42" s="125" t="e">
        <f>#REF!/$AU$14</f>
        <v>#REF!</v>
      </c>
    </row>
    <row r="43" spans="1:56">
      <c r="AW43" s="125">
        <v>2013</v>
      </c>
      <c r="AX43" s="125" t="e">
        <f>#REF!/#REF!</f>
        <v>#REF!</v>
      </c>
      <c r="AY43" s="125" t="e">
        <f>#REF!/#REF!</f>
        <v>#REF!</v>
      </c>
      <c r="AZ43" s="125" t="e">
        <f>#REF!/#REF!</f>
        <v>#REF!</v>
      </c>
      <c r="BA43" s="125" t="e">
        <f>#REF!/#REF!</f>
        <v>#REF!</v>
      </c>
      <c r="BB43" s="125" t="e">
        <f>#REF!/#REF!</f>
        <v>#REF!</v>
      </c>
      <c r="BC43" s="125" t="e">
        <f>#REF!/$AT$14</f>
        <v>#REF!</v>
      </c>
      <c r="BD43" s="125" t="e">
        <f>#REF!/$AU$14</f>
        <v>#REF!</v>
      </c>
    </row>
  </sheetData>
  <mergeCells count="6">
    <mergeCell ref="A1:Y1"/>
    <mergeCell ref="A26:X26"/>
    <mergeCell ref="B2:G2"/>
    <mergeCell ref="H2:M2"/>
    <mergeCell ref="N2:S2"/>
    <mergeCell ref="T2:Y2"/>
  </mergeCells>
  <printOptions gridLines="1"/>
  <pageMargins left="0.70866141732283472" right="0.70866141732283472" top="0.74803149606299213" bottom="0.74803149606299213" header="0.31496062992125984" footer="0.31496062992125984"/>
  <pageSetup scale="48" orientation="landscape" horizontalDpi="0" verticalDpi="0" r:id="rId1"/>
  <colBreaks count="1" manualBreakCount="1">
    <brk id="1" max="38" man="1"/>
  </colBreaks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43"/>
  <sheetViews>
    <sheetView view="pageBreakPreview" zoomScale="75" zoomScaleNormal="100" zoomScaleSheetLayoutView="75" workbookViewId="0">
      <selection activeCell="T2" sqref="B2:Y2"/>
    </sheetView>
  </sheetViews>
  <sheetFormatPr defaultRowHeight="15"/>
  <cols>
    <col min="1" max="1" width="12.7109375" style="125" bestFit="1" customWidth="1"/>
    <col min="2" max="6" width="10.140625" style="125" customWidth="1"/>
    <col min="7" max="7" width="10.140625" style="259" customWidth="1"/>
    <col min="8" max="9" width="10.140625" style="125" customWidth="1"/>
    <col min="10" max="10" width="14.42578125" style="125" bestFit="1" customWidth="1"/>
    <col min="11" max="12" width="10.140625" style="125" customWidth="1"/>
    <col min="13" max="13" width="10.140625" style="259" customWidth="1"/>
    <col min="14" max="18" width="10.140625" style="125" customWidth="1"/>
    <col min="19" max="19" width="10.140625" style="259" customWidth="1"/>
    <col min="20" max="45" width="10.140625" style="125" customWidth="1"/>
    <col min="46" max="47" width="10.140625" style="125" bestFit="1" customWidth="1"/>
    <col min="48" max="48" width="9.140625" style="125"/>
    <col min="49" max="65" width="0" style="125" hidden="1" customWidth="1"/>
    <col min="66" max="16384" width="9.140625" style="125"/>
  </cols>
  <sheetData>
    <row r="1" spans="1:65" ht="15" customHeight="1">
      <c r="A1" s="454" t="s">
        <v>375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</row>
    <row r="2" spans="1:65" ht="34.5" customHeight="1">
      <c r="A2" s="115"/>
      <c r="B2" s="463" t="s">
        <v>4</v>
      </c>
      <c r="C2" s="463"/>
      <c r="D2" s="463"/>
      <c r="E2" s="463"/>
      <c r="F2" s="463"/>
      <c r="G2" s="463"/>
      <c r="H2" s="464" t="s">
        <v>36</v>
      </c>
      <c r="I2" s="464"/>
      <c r="J2" s="464"/>
      <c r="K2" s="464"/>
      <c r="L2" s="464"/>
      <c r="M2" s="464"/>
      <c r="N2" s="464" t="s">
        <v>37</v>
      </c>
      <c r="O2" s="464"/>
      <c r="P2" s="464"/>
      <c r="Q2" s="464"/>
      <c r="R2" s="464"/>
      <c r="S2" s="464"/>
      <c r="T2" s="464" t="s">
        <v>38</v>
      </c>
      <c r="U2" s="464"/>
      <c r="V2" s="464"/>
      <c r="W2" s="464"/>
      <c r="X2" s="464"/>
      <c r="Y2" s="464"/>
    </row>
    <row r="3" spans="1:65" ht="75">
      <c r="A3" s="115"/>
      <c r="B3" s="115" t="s">
        <v>80</v>
      </c>
      <c r="C3" s="115" t="s">
        <v>83</v>
      </c>
      <c r="D3" s="115" t="s">
        <v>84</v>
      </c>
      <c r="E3" s="115" t="s">
        <v>81</v>
      </c>
      <c r="F3" s="371" t="s">
        <v>540</v>
      </c>
      <c r="G3" s="248" t="s">
        <v>369</v>
      </c>
      <c r="H3" s="115" t="s">
        <v>80</v>
      </c>
      <c r="I3" s="115" t="s">
        <v>83</v>
      </c>
      <c r="J3" s="115" t="s">
        <v>84</v>
      </c>
      <c r="K3" s="115" t="s">
        <v>81</v>
      </c>
      <c r="L3" s="371" t="s">
        <v>540</v>
      </c>
      <c r="M3" s="248" t="s">
        <v>369</v>
      </c>
      <c r="N3" s="115" t="s">
        <v>80</v>
      </c>
      <c r="O3" s="115" t="s">
        <v>83</v>
      </c>
      <c r="P3" s="115" t="s">
        <v>84</v>
      </c>
      <c r="Q3" s="115" t="s">
        <v>81</v>
      </c>
      <c r="R3" s="371" t="s">
        <v>540</v>
      </c>
      <c r="S3" s="248" t="s">
        <v>369</v>
      </c>
      <c r="T3" s="115" t="s">
        <v>80</v>
      </c>
      <c r="U3" s="115" t="s">
        <v>83</v>
      </c>
      <c r="V3" s="115" t="s">
        <v>84</v>
      </c>
      <c r="W3" s="115" t="s">
        <v>81</v>
      </c>
      <c r="X3" s="371" t="s">
        <v>540</v>
      </c>
      <c r="Y3" s="248" t="s">
        <v>369</v>
      </c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</row>
    <row r="4" spans="1:65" s="128" customFormat="1">
      <c r="A4" s="115">
        <v>1990</v>
      </c>
      <c r="B4" s="129" t="s">
        <v>9</v>
      </c>
      <c r="C4" s="129">
        <v>854618</v>
      </c>
      <c r="D4" s="129">
        <v>21873</v>
      </c>
      <c r="E4" s="62" t="s">
        <v>9</v>
      </c>
      <c r="F4" s="10" t="s">
        <v>9</v>
      </c>
      <c r="G4" s="129">
        <f>(C4/D4)*1000</f>
        <v>39071.823709596312</v>
      </c>
      <c r="H4" s="129" t="s">
        <v>9</v>
      </c>
      <c r="I4" s="129">
        <v>249275</v>
      </c>
      <c r="J4" s="129">
        <v>6507</v>
      </c>
      <c r="K4" s="62" t="s">
        <v>9</v>
      </c>
      <c r="L4" s="10" t="s">
        <v>9</v>
      </c>
      <c r="M4" s="129">
        <f>(I4/J4)*1000</f>
        <v>38308.744429076374</v>
      </c>
      <c r="N4" s="129" t="s">
        <v>9</v>
      </c>
      <c r="O4" s="129">
        <v>136004</v>
      </c>
      <c r="P4" s="129">
        <v>3452</v>
      </c>
      <c r="Q4" s="62" t="s">
        <v>9</v>
      </c>
      <c r="R4" s="10" t="s">
        <v>9</v>
      </c>
      <c r="S4" s="129">
        <f>(O4/P4)*1000</f>
        <v>39398.609501738123</v>
      </c>
      <c r="T4" s="129" t="s">
        <v>9</v>
      </c>
      <c r="U4" s="129">
        <v>469339</v>
      </c>
      <c r="V4" s="129">
        <v>11914</v>
      </c>
      <c r="W4" s="62" t="s">
        <v>9</v>
      </c>
      <c r="X4" s="10" t="s">
        <v>9</v>
      </c>
      <c r="Y4" s="129">
        <f>(U4/V4)*1000</f>
        <v>39393.906328688936</v>
      </c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65" s="128" customFormat="1">
      <c r="A5" s="115">
        <v>1991</v>
      </c>
      <c r="B5" s="129" t="s">
        <v>9</v>
      </c>
      <c r="C5" s="129">
        <v>731718</v>
      </c>
      <c r="D5" s="129">
        <v>18849</v>
      </c>
      <c r="E5" s="62" t="s">
        <v>9</v>
      </c>
      <c r="F5" s="10" t="s">
        <v>9</v>
      </c>
      <c r="G5" s="129">
        <f>(C5/D5)*1000</f>
        <v>38819.99045042177</v>
      </c>
      <c r="H5" s="129" t="s">
        <v>9</v>
      </c>
      <c r="I5" s="129" t="s">
        <v>9</v>
      </c>
      <c r="J5" s="129" t="s">
        <v>9</v>
      </c>
      <c r="K5" s="62" t="s">
        <v>9</v>
      </c>
      <c r="L5" s="10" t="s">
        <v>9</v>
      </c>
      <c r="M5" s="129" t="s">
        <v>9</v>
      </c>
      <c r="N5" s="129" t="s">
        <v>9</v>
      </c>
      <c r="O5" s="129" t="s">
        <v>9</v>
      </c>
      <c r="P5" s="129" t="s">
        <v>9</v>
      </c>
      <c r="Q5" s="62" t="s">
        <v>9</v>
      </c>
      <c r="R5" s="10" t="s">
        <v>9</v>
      </c>
      <c r="S5" s="129" t="s">
        <v>9</v>
      </c>
      <c r="T5" s="129" t="s">
        <v>9</v>
      </c>
      <c r="U5" s="129">
        <v>377929</v>
      </c>
      <c r="V5" s="129">
        <v>9775</v>
      </c>
      <c r="W5" s="62" t="s">
        <v>9</v>
      </c>
      <c r="X5" s="10" t="s">
        <v>9</v>
      </c>
      <c r="Y5" s="129">
        <f>(U5/V5)*1000</f>
        <v>38662.813299232737</v>
      </c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65" s="128" customFormat="1">
      <c r="A6" s="115">
        <v>1992</v>
      </c>
      <c r="B6" s="129" t="s">
        <v>9</v>
      </c>
      <c r="C6" s="129">
        <v>796323</v>
      </c>
      <c r="D6" s="129">
        <v>17338</v>
      </c>
      <c r="E6" s="62" t="s">
        <v>9</v>
      </c>
      <c r="F6" s="10" t="s">
        <v>9</v>
      </c>
      <c r="G6" s="129">
        <f t="shared" ref="G6:G24" si="0">(C6/D6)*1000</f>
        <v>45929.345945322413</v>
      </c>
      <c r="H6" s="129" t="s">
        <v>9</v>
      </c>
      <c r="I6" s="129">
        <v>267197</v>
      </c>
      <c r="J6" s="129">
        <v>5803</v>
      </c>
      <c r="K6" s="62" t="s">
        <v>9</v>
      </c>
      <c r="L6" s="10" t="s">
        <v>9</v>
      </c>
      <c r="M6" s="129">
        <f t="shared" ref="M6:M24" si="1">(I6/J6)*1000</f>
        <v>46044.632086851627</v>
      </c>
      <c r="N6" s="129" t="s">
        <v>9</v>
      </c>
      <c r="O6" s="129">
        <v>186891</v>
      </c>
      <c r="P6" s="129">
        <v>3578</v>
      </c>
      <c r="Q6" s="62" t="s">
        <v>9</v>
      </c>
      <c r="R6" s="10" t="s">
        <v>9</v>
      </c>
      <c r="S6" s="129">
        <f t="shared" ref="S6:S24" si="2">(O6/P6)*1000</f>
        <v>52233.3705980995</v>
      </c>
      <c r="T6" s="129" t="s">
        <v>9</v>
      </c>
      <c r="U6" s="129">
        <v>342235</v>
      </c>
      <c r="V6" s="129">
        <v>7957</v>
      </c>
      <c r="W6" s="62" t="s">
        <v>9</v>
      </c>
      <c r="X6" s="10" t="s">
        <v>9</v>
      </c>
      <c r="Y6" s="129">
        <f t="shared" ref="Y6:Y24" si="3">(U6/V6)*1000</f>
        <v>43010.556742490888</v>
      </c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65" s="128" customFormat="1">
      <c r="A7" s="115">
        <v>1993</v>
      </c>
      <c r="B7" s="129" t="s">
        <v>9</v>
      </c>
      <c r="C7" s="129">
        <v>1025501</v>
      </c>
      <c r="D7" s="129">
        <v>18633</v>
      </c>
      <c r="E7" s="62" t="s">
        <v>9</v>
      </c>
      <c r="F7" s="10" t="s">
        <v>9</v>
      </c>
      <c r="G7" s="129">
        <f t="shared" si="0"/>
        <v>55036.81640100896</v>
      </c>
      <c r="H7" s="129" t="s">
        <v>9</v>
      </c>
      <c r="I7" s="129">
        <v>379881</v>
      </c>
      <c r="J7" s="129">
        <v>6387</v>
      </c>
      <c r="K7" s="62" t="s">
        <v>9</v>
      </c>
      <c r="L7" s="10" t="s">
        <v>9</v>
      </c>
      <c r="M7" s="129">
        <f t="shared" si="1"/>
        <v>59477.219351808359</v>
      </c>
      <c r="N7" s="129" t="s">
        <v>9</v>
      </c>
      <c r="O7" s="129">
        <v>278318</v>
      </c>
      <c r="P7" s="129">
        <v>3844</v>
      </c>
      <c r="Q7" s="62" t="s">
        <v>9</v>
      </c>
      <c r="R7" s="10" t="s">
        <v>9</v>
      </c>
      <c r="S7" s="129">
        <f t="shared" si="2"/>
        <v>72403.225806451621</v>
      </c>
      <c r="T7" s="129" t="s">
        <v>9</v>
      </c>
      <c r="U7" s="129">
        <v>367302</v>
      </c>
      <c r="V7" s="129">
        <v>8402</v>
      </c>
      <c r="W7" s="62" t="s">
        <v>9</v>
      </c>
      <c r="X7" s="10" t="s">
        <v>9</v>
      </c>
      <c r="Y7" s="129">
        <f t="shared" si="3"/>
        <v>43716.019995239229</v>
      </c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</row>
    <row r="8" spans="1:65" s="128" customFormat="1">
      <c r="A8" s="115">
        <v>1994</v>
      </c>
      <c r="B8" s="129" t="s">
        <v>9</v>
      </c>
      <c r="C8" s="129">
        <v>1318313</v>
      </c>
      <c r="D8" s="129">
        <v>19636</v>
      </c>
      <c r="E8" s="62" t="s">
        <v>9</v>
      </c>
      <c r="F8" s="10" t="s">
        <v>9</v>
      </c>
      <c r="G8" s="129">
        <f t="shared" si="0"/>
        <v>67137.553473212465</v>
      </c>
      <c r="H8" s="129" t="s">
        <v>9</v>
      </c>
      <c r="I8" s="129">
        <v>545209</v>
      </c>
      <c r="J8" s="129">
        <v>7542</v>
      </c>
      <c r="K8" s="62" t="s">
        <v>9</v>
      </c>
      <c r="L8" s="10" t="s">
        <v>9</v>
      </c>
      <c r="M8" s="129">
        <f t="shared" si="1"/>
        <v>72289.710952002119</v>
      </c>
      <c r="N8" s="129" t="s">
        <v>9</v>
      </c>
      <c r="O8" s="129">
        <v>369854</v>
      </c>
      <c r="P8" s="129">
        <v>4031</v>
      </c>
      <c r="Q8" s="62" t="s">
        <v>9</v>
      </c>
      <c r="R8" s="10" t="s">
        <v>9</v>
      </c>
      <c r="S8" s="129">
        <f t="shared" si="2"/>
        <v>91752.418754651459</v>
      </c>
      <c r="T8" s="129" t="s">
        <v>9</v>
      </c>
      <c r="U8" s="129">
        <v>403250</v>
      </c>
      <c r="V8" s="129">
        <v>8063</v>
      </c>
      <c r="W8" s="62" t="s">
        <v>9</v>
      </c>
      <c r="X8" s="10" t="s">
        <v>9</v>
      </c>
      <c r="Y8" s="129">
        <f t="shared" si="3"/>
        <v>50012.402331638346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BG8" s="128" t="s">
        <v>32</v>
      </c>
    </row>
    <row r="9" spans="1:65" s="128" customFormat="1">
      <c r="A9" s="115">
        <v>1995</v>
      </c>
      <c r="B9" s="129" t="s">
        <v>9</v>
      </c>
      <c r="C9" s="129">
        <v>1331538</v>
      </c>
      <c r="D9" s="129">
        <v>20651</v>
      </c>
      <c r="E9" s="62" t="s">
        <v>9</v>
      </c>
      <c r="F9" s="10" t="s">
        <v>9</v>
      </c>
      <c r="G9" s="129">
        <f t="shared" si="0"/>
        <v>64478.136651978122</v>
      </c>
      <c r="H9" s="129" t="s">
        <v>9</v>
      </c>
      <c r="I9" s="129">
        <v>505844</v>
      </c>
      <c r="J9" s="129">
        <v>8110</v>
      </c>
      <c r="K9" s="62" t="s">
        <v>9</v>
      </c>
      <c r="L9" s="10" t="s">
        <v>9</v>
      </c>
      <c r="M9" s="129">
        <f t="shared" si="1"/>
        <v>62372.872996300866</v>
      </c>
      <c r="N9" s="129" t="s">
        <v>9</v>
      </c>
      <c r="O9" s="129">
        <v>394884</v>
      </c>
      <c r="P9" s="129">
        <v>4330</v>
      </c>
      <c r="Q9" s="62" t="s">
        <v>9</v>
      </c>
      <c r="R9" s="10" t="s">
        <v>9</v>
      </c>
      <c r="S9" s="129">
        <f t="shared" si="2"/>
        <v>91197.228637413384</v>
      </c>
      <c r="T9" s="129" t="s">
        <v>9</v>
      </c>
      <c r="U9" s="129">
        <v>430810</v>
      </c>
      <c r="V9" s="129">
        <v>8211</v>
      </c>
      <c r="W9" s="62" t="s">
        <v>9</v>
      </c>
      <c r="X9" s="10" t="s">
        <v>9</v>
      </c>
      <c r="Y9" s="129">
        <f t="shared" si="3"/>
        <v>52467.421751309215</v>
      </c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X9" s="128" t="s">
        <v>24</v>
      </c>
      <c r="BG9" s="128" t="s">
        <v>16</v>
      </c>
      <c r="BH9" s="128" t="s">
        <v>8</v>
      </c>
      <c r="BI9" s="128" t="s">
        <v>3</v>
      </c>
      <c r="BJ9" s="128" t="s">
        <v>4</v>
      </c>
      <c r="BK9" s="128" t="s">
        <v>17</v>
      </c>
      <c r="BL9" s="128" t="s">
        <v>6</v>
      </c>
      <c r="BM9" s="128" t="s">
        <v>7</v>
      </c>
    </row>
    <row r="10" spans="1:65" s="128" customFormat="1">
      <c r="A10" s="115">
        <v>1996</v>
      </c>
      <c r="B10" s="129" t="s">
        <v>9</v>
      </c>
      <c r="C10" s="129">
        <v>1487574</v>
      </c>
      <c r="D10" s="129">
        <v>22899</v>
      </c>
      <c r="E10" s="62" t="s">
        <v>9</v>
      </c>
      <c r="F10" s="10" t="s">
        <v>9</v>
      </c>
      <c r="G10" s="129">
        <f t="shared" si="0"/>
        <v>64962.400104808068</v>
      </c>
      <c r="H10" s="129" t="s">
        <v>9</v>
      </c>
      <c r="I10" s="129">
        <v>565458</v>
      </c>
      <c r="J10" s="129">
        <v>8384</v>
      </c>
      <c r="K10" s="62" t="s">
        <v>9</v>
      </c>
      <c r="L10" s="10" t="s">
        <v>9</v>
      </c>
      <c r="M10" s="129">
        <f t="shared" si="1"/>
        <v>67444.895038167946</v>
      </c>
      <c r="N10" s="129" t="s">
        <v>9</v>
      </c>
      <c r="O10" s="129">
        <v>421042</v>
      </c>
      <c r="P10" s="129">
        <v>4940</v>
      </c>
      <c r="Q10" s="62" t="s">
        <v>9</v>
      </c>
      <c r="R10" s="10" t="s">
        <v>9</v>
      </c>
      <c r="S10" s="129">
        <f t="shared" si="2"/>
        <v>85231.174089068823</v>
      </c>
      <c r="T10" s="129" t="s">
        <v>9</v>
      </c>
      <c r="U10" s="129">
        <v>501074</v>
      </c>
      <c r="V10" s="129">
        <v>9575</v>
      </c>
      <c r="W10" s="62" t="s">
        <v>9</v>
      </c>
      <c r="X10" s="10" t="s">
        <v>9</v>
      </c>
      <c r="Y10" s="129">
        <f t="shared" si="3"/>
        <v>52331.488250652743</v>
      </c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X10" s="128" t="s">
        <v>16</v>
      </c>
      <c r="AY10" s="128" t="s">
        <v>8</v>
      </c>
      <c r="AZ10" s="128" t="s">
        <v>3</v>
      </c>
      <c r="BA10" s="128" t="s">
        <v>4</v>
      </c>
      <c r="BB10" s="128" t="s">
        <v>17</v>
      </c>
      <c r="BC10" s="128" t="s">
        <v>6</v>
      </c>
      <c r="BD10" s="128" t="s">
        <v>7</v>
      </c>
      <c r="BF10" s="128" t="s">
        <v>19</v>
      </c>
      <c r="BG10" s="128" t="e">
        <f>((#REF!/#REF!)^(1/3)-1)*100</f>
        <v>#REF!</v>
      </c>
      <c r="BH10" s="128" t="e">
        <f>((#REF!/#REF!)^(1/3)-1)*100</f>
        <v>#REF!</v>
      </c>
      <c r="BI10" s="128" t="e">
        <f>((#REF!/#REF!)^(1/3)-1)*100</f>
        <v>#REF!</v>
      </c>
      <c r="BJ10" s="128" t="e">
        <f>((#REF!/#REF!)^(1/3)-1)*100</f>
        <v>#REF!</v>
      </c>
      <c r="BK10" s="128" t="e">
        <f>((L14/L11)^(1/3)-1)*100</f>
        <v>#VALUE!</v>
      </c>
      <c r="BL10" s="128" t="e">
        <f>((AT14/AT11)^(1/3)-1)*100</f>
        <v>#DIV/0!</v>
      </c>
      <c r="BM10" s="128" t="e">
        <f t="shared" ref="BM10" si="4">((AU14/AU11)^(1/3)-1)*100</f>
        <v>#DIV/0!</v>
      </c>
    </row>
    <row r="11" spans="1:65" s="128" customFormat="1">
      <c r="A11" s="115">
        <v>1997</v>
      </c>
      <c r="B11" s="129" t="s">
        <v>9</v>
      </c>
      <c r="C11" s="129">
        <v>1668407</v>
      </c>
      <c r="D11" s="129">
        <v>24336</v>
      </c>
      <c r="E11" s="62" t="s">
        <v>9</v>
      </c>
      <c r="F11" s="10" t="s">
        <v>9</v>
      </c>
      <c r="G11" s="129">
        <f t="shared" si="0"/>
        <v>68557.158119658125</v>
      </c>
      <c r="H11" s="129" t="s">
        <v>9</v>
      </c>
      <c r="I11" s="129">
        <v>680282</v>
      </c>
      <c r="J11" s="129">
        <v>9048</v>
      </c>
      <c r="K11" s="62" t="s">
        <v>9</v>
      </c>
      <c r="L11" s="10" t="s">
        <v>9</v>
      </c>
      <c r="M11" s="129">
        <f t="shared" si="1"/>
        <v>75185.897435897437</v>
      </c>
      <c r="N11" s="129" t="s">
        <v>9</v>
      </c>
      <c r="O11" s="129">
        <v>405220</v>
      </c>
      <c r="P11" s="129">
        <v>5272</v>
      </c>
      <c r="Q11" s="62" t="s">
        <v>9</v>
      </c>
      <c r="R11" s="10" t="s">
        <v>9</v>
      </c>
      <c r="S11" s="129">
        <f t="shared" si="2"/>
        <v>76862.67071320182</v>
      </c>
      <c r="T11" s="129" t="s">
        <v>9</v>
      </c>
      <c r="U11" s="129">
        <v>582905</v>
      </c>
      <c r="V11" s="129">
        <v>10016</v>
      </c>
      <c r="W11" s="62" t="s">
        <v>9</v>
      </c>
      <c r="X11" s="10" t="s">
        <v>9</v>
      </c>
      <c r="Y11" s="129">
        <f t="shared" si="3"/>
        <v>58197.384185303512</v>
      </c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W11" s="128">
        <v>1998</v>
      </c>
      <c r="AX11" s="128" t="e">
        <f>((#REF!/#REF!)-1)*100</f>
        <v>#REF!</v>
      </c>
      <c r="AY11" s="128" t="e">
        <f>((#REF!/#REF!)-1)*100</f>
        <v>#REF!</v>
      </c>
      <c r="AZ11" s="128" t="e">
        <f>((#REF!/#REF!)-1)*100</f>
        <v>#REF!</v>
      </c>
      <c r="BA11" s="128" t="e">
        <f>((#REF!/#REF!)-1)*100</f>
        <v>#REF!</v>
      </c>
      <c r="BB11" s="128" t="e">
        <f t="shared" ref="BB11:BB23" si="5">((L12/L11)-1)*100</f>
        <v>#VALUE!</v>
      </c>
      <c r="BC11" s="128" t="e">
        <f t="shared" ref="BC11:BD23" si="6">((AT12/AT11)-1)*100</f>
        <v>#DIV/0!</v>
      </c>
      <c r="BD11" s="128" t="e">
        <f t="shared" si="6"/>
        <v>#DIV/0!</v>
      </c>
      <c r="BF11" s="128" t="s">
        <v>21</v>
      </c>
      <c r="BG11" s="128" t="e">
        <f>((#REF!/#REF!)^(1/8)-1)*100</f>
        <v>#REF!</v>
      </c>
      <c r="BH11" s="128" t="e">
        <f>((#REF!/#REF!)^(1/8)-1)*100</f>
        <v>#REF!</v>
      </c>
      <c r="BI11" s="128" t="e">
        <f>((#REF!/#REF!)^(1/8)-1)*100</f>
        <v>#REF!</v>
      </c>
      <c r="BJ11" s="128" t="e">
        <f>((#REF!/#REF!)^(1/8)-1)*100</f>
        <v>#REF!</v>
      </c>
      <c r="BK11" s="128">
        <f>((L22/L14)^(1/8)-1)*100</f>
        <v>-18.390324418566539</v>
      </c>
      <c r="BL11" s="128" t="e">
        <f>((AT22/AT14)^(1/8)-1)*100</f>
        <v>#DIV/0!</v>
      </c>
      <c r="BM11" s="128" t="e">
        <f t="shared" ref="BM11" si="7">((AU22/AU14)^(1/8)-1)*100</f>
        <v>#DIV/0!</v>
      </c>
    </row>
    <row r="12" spans="1:65" s="128" customFormat="1">
      <c r="A12" s="115">
        <v>1998</v>
      </c>
      <c r="B12" s="129">
        <v>525</v>
      </c>
      <c r="C12" s="129">
        <v>1873703</v>
      </c>
      <c r="D12" s="129">
        <v>25777</v>
      </c>
      <c r="E12" s="62">
        <f t="shared" ref="E12:E24" si="8">D12/B12</f>
        <v>49.099047619047617</v>
      </c>
      <c r="F12" s="10">
        <f t="shared" ref="F12:F24" si="9">C12/B12</f>
        <v>3568.9580952380952</v>
      </c>
      <c r="G12" s="129">
        <f>(C12/D12)*1000</f>
        <v>72688.947511347316</v>
      </c>
      <c r="H12" s="129">
        <v>137</v>
      </c>
      <c r="I12" s="129">
        <v>612832</v>
      </c>
      <c r="J12" s="129">
        <v>9320</v>
      </c>
      <c r="K12" s="62">
        <f t="shared" ref="K12:K24" si="10">J12/H12</f>
        <v>68.029197080291965</v>
      </c>
      <c r="L12" s="10">
        <f t="shared" ref="L12:L24" si="11">I12/H12</f>
        <v>4473.2262773722632</v>
      </c>
      <c r="M12" s="129">
        <f>(I12/J12)*1000</f>
        <v>65754.506437768243</v>
      </c>
      <c r="N12" s="129">
        <v>58</v>
      </c>
      <c r="O12" s="129">
        <v>595039</v>
      </c>
      <c r="P12" s="129">
        <v>5428</v>
      </c>
      <c r="Q12" s="62">
        <f t="shared" ref="Q12:Q24" si="12">P12/N12</f>
        <v>93.58620689655173</v>
      </c>
      <c r="R12" s="10">
        <f t="shared" ref="R12:R24" si="13">O12/N12</f>
        <v>10259.293103448275</v>
      </c>
      <c r="S12" s="129">
        <f>(O12/P12)*1000</f>
        <v>109623.98673544584</v>
      </c>
      <c r="T12" s="129">
        <v>330</v>
      </c>
      <c r="U12" s="129">
        <v>665832</v>
      </c>
      <c r="V12" s="129">
        <v>11029</v>
      </c>
      <c r="W12" s="62">
        <f t="shared" ref="W12:W24" si="14">V12/T12</f>
        <v>33.421212121212122</v>
      </c>
      <c r="X12" s="10">
        <f t="shared" ref="X12:X24" si="15">U12/T12</f>
        <v>2017.6727272727273</v>
      </c>
      <c r="Y12" s="129">
        <f>(U12/V12)*1000</f>
        <v>60371.021851482452</v>
      </c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W12" s="128">
        <v>1999</v>
      </c>
      <c r="AX12" s="128" t="e">
        <f>((#REF!/#REF!)-1)*100</f>
        <v>#REF!</v>
      </c>
      <c r="AY12" s="128" t="e">
        <f>((#REF!/#REF!)-1)*100</f>
        <v>#REF!</v>
      </c>
      <c r="AZ12" s="128" t="e">
        <f>((#REF!/#REF!)-1)*100</f>
        <v>#REF!</v>
      </c>
      <c r="BA12" s="128" t="e">
        <f>((#REF!/#REF!)-1)*100</f>
        <v>#REF!</v>
      </c>
      <c r="BB12" s="128">
        <f t="shared" si="5"/>
        <v>16.392502349746742</v>
      </c>
      <c r="BC12" s="128" t="e">
        <f t="shared" si="6"/>
        <v>#DIV/0!</v>
      </c>
      <c r="BD12" s="128" t="e">
        <f t="shared" si="6"/>
        <v>#DIV/0!</v>
      </c>
      <c r="BF12" s="128" t="s">
        <v>22</v>
      </c>
      <c r="BG12" s="128" t="e">
        <f>((#REF!/#REF!)^(1/5)-1)*100</f>
        <v>#REF!</v>
      </c>
      <c r="BH12" s="128" t="e">
        <f>((#REF!/#REF!)^(1/5)-1)*100</f>
        <v>#REF!</v>
      </c>
      <c r="BI12" s="128" t="e">
        <f>((#REF!/#REF!)^(1/5)-1)*100</f>
        <v>#REF!</v>
      </c>
      <c r="BJ12" s="128" t="e">
        <f>((#REF!/#REF!)^(1/5)-1)*100</f>
        <v>#REF!</v>
      </c>
      <c r="BK12" s="128" t="e">
        <f>((#REF!/L22)^(1/5)-1)*100</f>
        <v>#REF!</v>
      </c>
      <c r="BL12" s="128" t="e">
        <f>((#REF!/AT22)^(1/5)-1)*100</f>
        <v>#REF!</v>
      </c>
      <c r="BM12" s="128" t="e">
        <f>((#REF!/AU22)^(1/5)-1)*100</f>
        <v>#REF!</v>
      </c>
    </row>
    <row r="13" spans="1:65" s="128" customFormat="1">
      <c r="A13" s="115">
        <v>1999</v>
      </c>
      <c r="B13" s="129">
        <v>475</v>
      </c>
      <c r="C13" s="129">
        <v>2243072</v>
      </c>
      <c r="D13" s="129">
        <v>25633</v>
      </c>
      <c r="E13" s="62">
        <f t="shared" si="8"/>
        <v>53.964210526315789</v>
      </c>
      <c r="F13" s="10">
        <f t="shared" si="9"/>
        <v>4722.2568421052629</v>
      </c>
      <c r="G13" s="129">
        <f>(C13/D13)*1000</f>
        <v>87507.197752896653</v>
      </c>
      <c r="H13" s="129">
        <v>120</v>
      </c>
      <c r="I13" s="129">
        <v>624780</v>
      </c>
      <c r="J13" s="129">
        <v>8123</v>
      </c>
      <c r="K13" s="62">
        <f t="shared" si="10"/>
        <v>67.691666666666663</v>
      </c>
      <c r="L13" s="10">
        <f t="shared" si="11"/>
        <v>5206.5</v>
      </c>
      <c r="M13" s="129">
        <f>(I13/J13)*1000</f>
        <v>76914.932906561618</v>
      </c>
      <c r="N13" s="129">
        <v>54</v>
      </c>
      <c r="O13" s="129">
        <v>874209</v>
      </c>
      <c r="P13" s="129">
        <v>6212</v>
      </c>
      <c r="Q13" s="62">
        <f t="shared" si="12"/>
        <v>115.03703703703704</v>
      </c>
      <c r="R13" s="10">
        <f t="shared" si="13"/>
        <v>16189.055555555555</v>
      </c>
      <c r="S13" s="129">
        <f>(O13/P13)*1000</f>
        <v>140729.07276239537</v>
      </c>
      <c r="T13" s="129">
        <v>301</v>
      </c>
      <c r="U13" s="129">
        <v>744083</v>
      </c>
      <c r="V13" s="129">
        <v>11298</v>
      </c>
      <c r="W13" s="62">
        <f t="shared" si="14"/>
        <v>37.534883720930232</v>
      </c>
      <c r="X13" s="10">
        <f t="shared" si="15"/>
        <v>2472.0365448504986</v>
      </c>
      <c r="Y13" s="129">
        <f>(U13/V13)*1000</f>
        <v>65859.709683129753</v>
      </c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W13" s="128">
        <v>2000</v>
      </c>
      <c r="AX13" s="128" t="e">
        <f>((#REF!/#REF!)-1)*100</f>
        <v>#REF!</v>
      </c>
      <c r="AY13" s="128" t="e">
        <f>((#REF!/#REF!)-1)*100</f>
        <v>#REF!</v>
      </c>
      <c r="AZ13" s="128" t="e">
        <f>((#REF!/#REF!)-1)*100</f>
        <v>#REF!</v>
      </c>
      <c r="BA13" s="128" t="e">
        <f>((#REF!/#REF!)-1)*100</f>
        <v>#REF!</v>
      </c>
      <c r="BB13" s="128">
        <f t="shared" si="5"/>
        <v>-17.178231352820806</v>
      </c>
      <c r="BC13" s="128" t="e">
        <f t="shared" si="6"/>
        <v>#DIV/0!</v>
      </c>
      <c r="BD13" s="128" t="e">
        <f t="shared" si="6"/>
        <v>#DIV/0!</v>
      </c>
      <c r="BF13" s="128" t="s">
        <v>18</v>
      </c>
      <c r="BG13" s="128" t="e">
        <f>((#REF!/#REF!)^(1/16)-1)*100</f>
        <v>#REF!</v>
      </c>
      <c r="BH13" s="128" t="e">
        <f>((#REF!/#REF!)^(1/16)-1)*100</f>
        <v>#REF!</v>
      </c>
      <c r="BI13" s="128" t="e">
        <f>((#REF!/#REF!)^(1/16)-1)*100</f>
        <v>#REF!</v>
      </c>
      <c r="BJ13" s="128" t="e">
        <f>((#REF!/#REF!)^(1/16)-1)*100</f>
        <v>#REF!</v>
      </c>
      <c r="BK13" s="128" t="e">
        <f>((#REF!/L11)^(1/16)-1)*100</f>
        <v>#REF!</v>
      </c>
      <c r="BL13" s="128" t="e">
        <f>((#REF!/AT11)^(1/16)-1)*100</f>
        <v>#REF!</v>
      </c>
      <c r="BM13" s="128" t="e">
        <f>((#REF!/AU11)^(1/16)-1)*100</f>
        <v>#REF!</v>
      </c>
    </row>
    <row r="14" spans="1:65" s="128" customFormat="1">
      <c r="A14" s="115">
        <v>2000</v>
      </c>
      <c r="B14" s="129">
        <v>922</v>
      </c>
      <c r="C14" s="129">
        <v>2530567</v>
      </c>
      <c r="D14" s="129">
        <v>26695</v>
      </c>
      <c r="E14" s="62">
        <f t="shared" si="8"/>
        <v>28.953362255965292</v>
      </c>
      <c r="F14" s="10">
        <f t="shared" si="9"/>
        <v>2744.6496746203907</v>
      </c>
      <c r="G14" s="129">
        <f t="shared" si="0"/>
        <v>94795.542236373847</v>
      </c>
      <c r="H14" s="129">
        <v>182</v>
      </c>
      <c r="I14" s="129">
        <v>784805</v>
      </c>
      <c r="J14" s="129">
        <v>8088</v>
      </c>
      <c r="K14" s="62">
        <f t="shared" si="10"/>
        <v>44.439560439560438</v>
      </c>
      <c r="L14" s="10">
        <f t="shared" si="11"/>
        <v>4312.1153846153848</v>
      </c>
      <c r="M14" s="129">
        <f t="shared" si="1"/>
        <v>97033.25914935708</v>
      </c>
      <c r="N14" s="129">
        <v>98</v>
      </c>
      <c r="O14" s="129">
        <v>796365</v>
      </c>
      <c r="P14" s="129">
        <v>6062</v>
      </c>
      <c r="Q14" s="62">
        <f t="shared" si="12"/>
        <v>61.857142857142854</v>
      </c>
      <c r="R14" s="10">
        <f t="shared" si="13"/>
        <v>8126.1734693877552</v>
      </c>
      <c r="S14" s="129">
        <f t="shared" si="2"/>
        <v>131370.00989772353</v>
      </c>
      <c r="T14" s="129">
        <v>642</v>
      </c>
      <c r="U14" s="129">
        <v>949397</v>
      </c>
      <c r="V14" s="129">
        <v>12545</v>
      </c>
      <c r="W14" s="62">
        <f t="shared" si="14"/>
        <v>19.5404984423676</v>
      </c>
      <c r="X14" s="10">
        <f t="shared" si="15"/>
        <v>1478.8115264797507</v>
      </c>
      <c r="Y14" s="129">
        <f t="shared" si="3"/>
        <v>75679.314467915508</v>
      </c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W14" s="128">
        <v>2001</v>
      </c>
      <c r="AX14" s="128" t="e">
        <f>((#REF!/#REF!)-1)*100</f>
        <v>#REF!</v>
      </c>
      <c r="AY14" s="128" t="e">
        <f>((#REF!/#REF!)-1)*100</f>
        <v>#REF!</v>
      </c>
      <c r="AZ14" s="128" t="e">
        <f>((#REF!/#REF!)-1)*100</f>
        <v>#REF!</v>
      </c>
      <c r="BA14" s="128" t="e">
        <f>((#REF!/#REF!)-1)*100</f>
        <v>#REF!</v>
      </c>
      <c r="BB14" s="128">
        <f t="shared" si="5"/>
        <v>-1.8896156207389603</v>
      </c>
      <c r="BC14" s="128" t="e">
        <f t="shared" si="6"/>
        <v>#DIV/0!</v>
      </c>
      <c r="BD14" s="128" t="e">
        <f t="shared" si="6"/>
        <v>#DIV/0!</v>
      </c>
    </row>
    <row r="15" spans="1:65" s="128" customFormat="1">
      <c r="A15" s="115">
        <v>2001</v>
      </c>
      <c r="B15" s="129">
        <v>912</v>
      </c>
      <c r="C15" s="129">
        <v>2381871</v>
      </c>
      <c r="D15" s="129">
        <v>26527</v>
      </c>
      <c r="E15" s="62">
        <f t="shared" si="8"/>
        <v>29.086622807017545</v>
      </c>
      <c r="F15" s="10">
        <f t="shared" si="9"/>
        <v>2611.7006578947367</v>
      </c>
      <c r="G15" s="129">
        <f t="shared" si="0"/>
        <v>89790.439929128814</v>
      </c>
      <c r="H15" s="129">
        <v>188</v>
      </c>
      <c r="I15" s="129">
        <v>795359</v>
      </c>
      <c r="J15" s="129">
        <v>7357</v>
      </c>
      <c r="K15" s="62">
        <f t="shared" si="10"/>
        <v>39.132978723404257</v>
      </c>
      <c r="L15" s="10">
        <f t="shared" si="11"/>
        <v>4230.6329787234044</v>
      </c>
      <c r="M15" s="129">
        <f t="shared" si="1"/>
        <v>108109.14775044176</v>
      </c>
      <c r="N15" s="129">
        <v>92</v>
      </c>
      <c r="O15" s="129">
        <v>639564</v>
      </c>
      <c r="P15" s="129">
        <v>6350</v>
      </c>
      <c r="Q15" s="62">
        <f t="shared" si="12"/>
        <v>69.021739130434781</v>
      </c>
      <c r="R15" s="10">
        <f t="shared" si="13"/>
        <v>6951.782608695652</v>
      </c>
      <c r="S15" s="129">
        <f t="shared" si="2"/>
        <v>100718.74015748031</v>
      </c>
      <c r="T15" s="129">
        <v>632</v>
      </c>
      <c r="U15" s="129">
        <v>946948</v>
      </c>
      <c r="V15" s="129">
        <v>12820</v>
      </c>
      <c r="W15" s="62">
        <f t="shared" si="14"/>
        <v>20.284810126582279</v>
      </c>
      <c r="X15" s="10">
        <f t="shared" si="15"/>
        <v>1498.3354430379748</v>
      </c>
      <c r="Y15" s="129">
        <f t="shared" si="3"/>
        <v>73864.898595943843</v>
      </c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W15" s="128">
        <v>2002</v>
      </c>
      <c r="AX15" s="128" t="e">
        <f>((#REF!/#REF!)-1)*100</f>
        <v>#REF!</v>
      </c>
      <c r="AY15" s="128" t="e">
        <f>((#REF!/#REF!)-1)*100</f>
        <v>#REF!</v>
      </c>
      <c r="AZ15" s="128" t="e">
        <f>((#REF!/#REF!)-1)*100</f>
        <v>#REF!</v>
      </c>
      <c r="BA15" s="128" t="e">
        <f>((#REF!/#REF!)-1)*100</f>
        <v>#REF!</v>
      </c>
      <c r="BB15" s="128">
        <f t="shared" si="5"/>
        <v>4.8038946929888082</v>
      </c>
      <c r="BC15" s="128" t="e">
        <f t="shared" si="6"/>
        <v>#DIV/0!</v>
      </c>
      <c r="BD15" s="128" t="e">
        <f t="shared" si="6"/>
        <v>#DIV/0!</v>
      </c>
    </row>
    <row r="16" spans="1:65" s="128" customFormat="1">
      <c r="A16" s="115">
        <v>2002</v>
      </c>
      <c r="B16" s="129">
        <v>930</v>
      </c>
      <c r="C16" s="129">
        <v>2528157</v>
      </c>
      <c r="D16" s="129">
        <v>27921</v>
      </c>
      <c r="E16" s="62">
        <f t="shared" si="8"/>
        <v>30.022580645161291</v>
      </c>
      <c r="F16" s="10">
        <f t="shared" si="9"/>
        <v>2718.4483870967742</v>
      </c>
      <c r="G16" s="129">
        <f t="shared" si="0"/>
        <v>90546.792736649833</v>
      </c>
      <c r="H16" s="129">
        <v>182</v>
      </c>
      <c r="I16" s="129">
        <v>806964</v>
      </c>
      <c r="J16" s="129">
        <v>7169</v>
      </c>
      <c r="K16" s="62">
        <f t="shared" si="10"/>
        <v>39.390109890109891</v>
      </c>
      <c r="L16" s="10">
        <f t="shared" si="11"/>
        <v>4433.868131868132</v>
      </c>
      <c r="M16" s="129">
        <f t="shared" si="1"/>
        <v>112562.97949504813</v>
      </c>
      <c r="N16" s="129">
        <v>94</v>
      </c>
      <c r="O16" s="129">
        <v>710726</v>
      </c>
      <c r="P16" s="129">
        <v>6605</v>
      </c>
      <c r="Q16" s="62">
        <f t="shared" si="12"/>
        <v>70.265957446808514</v>
      </c>
      <c r="R16" s="10">
        <f t="shared" si="13"/>
        <v>7560.9148936170213</v>
      </c>
      <c r="S16" s="129">
        <f t="shared" si="2"/>
        <v>107604.23921271764</v>
      </c>
      <c r="T16" s="129">
        <v>654</v>
      </c>
      <c r="U16" s="129">
        <v>1010467</v>
      </c>
      <c r="V16" s="129">
        <v>14147</v>
      </c>
      <c r="W16" s="62">
        <f t="shared" si="14"/>
        <v>21.631498470948014</v>
      </c>
      <c r="X16" s="10">
        <f t="shared" si="15"/>
        <v>1545.0565749235475</v>
      </c>
      <c r="Y16" s="129">
        <f t="shared" si="3"/>
        <v>71426.238778539613</v>
      </c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W16" s="128">
        <v>2003</v>
      </c>
      <c r="AX16" s="128" t="e">
        <f>((#REF!/#REF!)-1)*100</f>
        <v>#REF!</v>
      </c>
      <c r="AY16" s="128" t="e">
        <f>((#REF!/#REF!)-1)*100</f>
        <v>#REF!</v>
      </c>
      <c r="AZ16" s="128" t="e">
        <f>((#REF!/#REF!)-1)*100</f>
        <v>#REF!</v>
      </c>
      <c r="BA16" s="128" t="e">
        <f>((#REF!/#REF!)-1)*100</f>
        <v>#REF!</v>
      </c>
      <c r="BB16" s="128">
        <f t="shared" si="5"/>
        <v>-14.625003267015179</v>
      </c>
      <c r="BC16" s="128" t="e">
        <f t="shared" si="6"/>
        <v>#DIV/0!</v>
      </c>
      <c r="BD16" s="128" t="e">
        <f t="shared" si="6"/>
        <v>#DIV/0!</v>
      </c>
    </row>
    <row r="17" spans="1:56" s="95" customFormat="1" ht="15.75" thickBot="1">
      <c r="A17" s="94">
        <v>2003</v>
      </c>
      <c r="B17" s="82">
        <v>940</v>
      </c>
      <c r="C17" s="82">
        <v>2625711</v>
      </c>
      <c r="D17" s="82">
        <v>27814</v>
      </c>
      <c r="E17" s="78">
        <f t="shared" si="8"/>
        <v>29.589361702127661</v>
      </c>
      <c r="F17" s="74">
        <f t="shared" si="9"/>
        <v>2793.309574468085</v>
      </c>
      <c r="G17" s="82">
        <f t="shared" si="0"/>
        <v>94402.49514632918</v>
      </c>
      <c r="H17" s="82">
        <v>176</v>
      </c>
      <c r="I17" s="82">
        <v>666233</v>
      </c>
      <c r="J17" s="82">
        <v>6923</v>
      </c>
      <c r="K17" s="78">
        <f t="shared" si="10"/>
        <v>39.335227272727273</v>
      </c>
      <c r="L17" s="74">
        <f t="shared" si="11"/>
        <v>3785.4147727272725</v>
      </c>
      <c r="M17" s="82">
        <f t="shared" si="1"/>
        <v>96234.724830275896</v>
      </c>
      <c r="N17" s="82">
        <v>91</v>
      </c>
      <c r="O17" s="82">
        <v>908967</v>
      </c>
      <c r="P17" s="82">
        <v>6797</v>
      </c>
      <c r="Q17" s="78">
        <f t="shared" si="12"/>
        <v>74.692307692307693</v>
      </c>
      <c r="R17" s="74">
        <f t="shared" si="13"/>
        <v>9988.6483516483513</v>
      </c>
      <c r="S17" s="82">
        <f t="shared" si="2"/>
        <v>133730.61644843314</v>
      </c>
      <c r="T17" s="82">
        <v>673</v>
      </c>
      <c r="U17" s="82">
        <v>1050511</v>
      </c>
      <c r="V17" s="82">
        <v>14094</v>
      </c>
      <c r="W17" s="78">
        <f t="shared" si="14"/>
        <v>20.942050520059436</v>
      </c>
      <c r="X17" s="74">
        <f t="shared" si="15"/>
        <v>1560.9375928677564</v>
      </c>
      <c r="Y17" s="82">
        <f t="shared" si="3"/>
        <v>74536.043706541794</v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W17" s="95">
        <v>2004</v>
      </c>
      <c r="AX17" s="95" t="e">
        <f>((#REF!/#REF!)-1)*100</f>
        <v>#REF!</v>
      </c>
      <c r="AY17" s="95" t="e">
        <f>((#REF!/#REF!)-1)*100</f>
        <v>#REF!</v>
      </c>
      <c r="AZ17" s="95" t="e">
        <f>((#REF!/#REF!)-1)*100</f>
        <v>#REF!</v>
      </c>
      <c r="BA17" s="95" t="e">
        <f>((#REF!/#REF!)-1)*100</f>
        <v>#REF!</v>
      </c>
      <c r="BB17" s="95">
        <f t="shared" si="5"/>
        <v>-50.619304272523614</v>
      </c>
      <c r="BC17" s="95" t="e">
        <f t="shared" si="6"/>
        <v>#DIV/0!</v>
      </c>
      <c r="BD17" s="95" t="e">
        <f t="shared" si="6"/>
        <v>#DIV/0!</v>
      </c>
    </row>
    <row r="18" spans="1:56" s="128" customFormat="1">
      <c r="A18" s="115">
        <v>2004</v>
      </c>
      <c r="B18" s="129">
        <v>1713</v>
      </c>
      <c r="C18" s="129">
        <v>2740452</v>
      </c>
      <c r="D18" s="129">
        <v>26501</v>
      </c>
      <c r="E18" s="62">
        <f t="shared" si="8"/>
        <v>15.470519556333917</v>
      </c>
      <c r="F18" s="129">
        <f t="shared" si="9"/>
        <v>1599.7968476357269</v>
      </c>
      <c r="G18" s="129">
        <f t="shared" si="0"/>
        <v>103409.38077808384</v>
      </c>
      <c r="H18" s="129">
        <v>371</v>
      </c>
      <c r="I18" s="129">
        <v>693497</v>
      </c>
      <c r="J18" s="129">
        <v>6209</v>
      </c>
      <c r="K18" s="62">
        <f t="shared" si="10"/>
        <v>16.735849056603772</v>
      </c>
      <c r="L18" s="10">
        <f t="shared" si="11"/>
        <v>1869.2641509433963</v>
      </c>
      <c r="M18" s="129">
        <f t="shared" si="1"/>
        <v>111692.22096956031</v>
      </c>
      <c r="N18" s="129">
        <v>119</v>
      </c>
      <c r="O18" s="129">
        <v>1060514</v>
      </c>
      <c r="P18" s="129">
        <v>6358</v>
      </c>
      <c r="Q18" s="62">
        <f t="shared" si="12"/>
        <v>53.428571428571431</v>
      </c>
      <c r="R18" s="10">
        <f t="shared" si="13"/>
        <v>8911.8823529411766</v>
      </c>
      <c r="S18" s="129">
        <f t="shared" si="2"/>
        <v>166799.93708713431</v>
      </c>
      <c r="T18" s="129">
        <v>1223</v>
      </c>
      <c r="U18" s="129">
        <v>986441</v>
      </c>
      <c r="V18" s="129">
        <v>13934</v>
      </c>
      <c r="W18" s="62">
        <f t="shared" si="14"/>
        <v>11.393295175797221</v>
      </c>
      <c r="X18" s="10">
        <f t="shared" si="15"/>
        <v>806.57481602616519</v>
      </c>
      <c r="Y18" s="129">
        <f t="shared" si="3"/>
        <v>70793.813693124728</v>
      </c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W18" s="128">
        <v>2005</v>
      </c>
      <c r="AX18" s="128" t="e">
        <f>((#REF!/#REF!)-1)*100</f>
        <v>#REF!</v>
      </c>
      <c r="AY18" s="128" t="e">
        <f>((#REF!/#REF!)-1)*100</f>
        <v>#REF!</v>
      </c>
      <c r="AZ18" s="128" t="e">
        <f>((#REF!/#REF!)-1)*100</f>
        <v>#REF!</v>
      </c>
      <c r="BA18" s="128" t="e">
        <f>((#REF!/#REF!)-1)*100</f>
        <v>#REF!</v>
      </c>
      <c r="BB18" s="128">
        <f t="shared" si="5"/>
        <v>1.3403081966714137</v>
      </c>
      <c r="BC18" s="128" t="e">
        <f t="shared" si="6"/>
        <v>#DIV/0!</v>
      </c>
      <c r="BD18" s="128" t="e">
        <f t="shared" si="6"/>
        <v>#DIV/0!</v>
      </c>
    </row>
    <row r="19" spans="1:56" s="128" customFormat="1">
      <c r="A19" s="115">
        <v>2005</v>
      </c>
      <c r="B19" s="129">
        <v>1671</v>
      </c>
      <c r="C19" s="129">
        <v>2394962</v>
      </c>
      <c r="D19" s="129">
        <v>25464</v>
      </c>
      <c r="E19" s="62">
        <f t="shared" si="8"/>
        <v>15.238779174147217</v>
      </c>
      <c r="F19" s="129">
        <f t="shared" si="9"/>
        <v>1433.2507480550569</v>
      </c>
      <c r="G19" s="129">
        <f t="shared" si="0"/>
        <v>94052.858938108693</v>
      </c>
      <c r="H19" s="129">
        <v>349</v>
      </c>
      <c r="I19" s="129">
        <v>661117</v>
      </c>
      <c r="J19" s="129">
        <v>6467</v>
      </c>
      <c r="K19" s="62">
        <f t="shared" si="10"/>
        <v>18.530085959885387</v>
      </c>
      <c r="L19" s="10">
        <f t="shared" si="11"/>
        <v>1894.3180515759311</v>
      </c>
      <c r="M19" s="129">
        <f t="shared" si="1"/>
        <v>102229.31807638782</v>
      </c>
      <c r="N19" s="129">
        <v>131</v>
      </c>
      <c r="O19" s="129">
        <v>816398</v>
      </c>
      <c r="P19" s="129">
        <v>6089</v>
      </c>
      <c r="Q19" s="62">
        <f t="shared" si="12"/>
        <v>46.480916030534353</v>
      </c>
      <c r="R19" s="10">
        <f t="shared" si="13"/>
        <v>6232.0458015267177</v>
      </c>
      <c r="S19" s="129">
        <f t="shared" si="2"/>
        <v>134077.51683363444</v>
      </c>
      <c r="T19" s="129">
        <v>1191</v>
      </c>
      <c r="U19" s="129">
        <v>917447</v>
      </c>
      <c r="V19" s="129">
        <v>12908</v>
      </c>
      <c r="W19" s="62">
        <f t="shared" si="14"/>
        <v>10.837951301427372</v>
      </c>
      <c r="X19" s="10">
        <f t="shared" si="15"/>
        <v>770.31654072208232</v>
      </c>
      <c r="Y19" s="129">
        <f t="shared" si="3"/>
        <v>71075.844437558102</v>
      </c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W19" s="128">
        <v>2006</v>
      </c>
      <c r="AX19" s="128" t="e">
        <f>((#REF!/#REF!)-1)*100</f>
        <v>#REF!</v>
      </c>
      <c r="AY19" s="128" t="e">
        <f>((#REF!/#REF!)-1)*100</f>
        <v>#REF!</v>
      </c>
      <c r="AZ19" s="128" t="e">
        <f>((#REF!/#REF!)-1)*100</f>
        <v>#REF!</v>
      </c>
      <c r="BA19" s="128" t="e">
        <f>((#REF!/#REF!)-1)*100</f>
        <v>#REF!</v>
      </c>
      <c r="BB19" s="128">
        <f t="shared" si="5"/>
        <v>2.053693510086263</v>
      </c>
      <c r="BC19" s="128" t="e">
        <f t="shared" si="6"/>
        <v>#DIV/0!</v>
      </c>
      <c r="BD19" s="128" t="e">
        <f t="shared" si="6"/>
        <v>#DIV/0!</v>
      </c>
    </row>
    <row r="20" spans="1:56" s="128" customFormat="1">
      <c r="A20" s="115">
        <v>2006</v>
      </c>
      <c r="B20" s="129">
        <v>1595</v>
      </c>
      <c r="C20" s="129">
        <v>2119991</v>
      </c>
      <c r="D20" s="129">
        <v>25176</v>
      </c>
      <c r="E20" s="62">
        <f t="shared" si="8"/>
        <v>15.784326018808777</v>
      </c>
      <c r="F20" s="129">
        <f t="shared" si="9"/>
        <v>1329.147962382445</v>
      </c>
      <c r="G20" s="129">
        <f t="shared" si="0"/>
        <v>84206.823959326342</v>
      </c>
      <c r="H20" s="129">
        <v>325</v>
      </c>
      <c r="I20" s="129">
        <v>628297</v>
      </c>
      <c r="J20" s="129">
        <v>6179</v>
      </c>
      <c r="K20" s="62">
        <f t="shared" si="10"/>
        <v>19.012307692307694</v>
      </c>
      <c r="L20" s="10">
        <f t="shared" si="11"/>
        <v>1933.2215384615386</v>
      </c>
      <c r="M20" s="129">
        <f t="shared" si="1"/>
        <v>101682.63473053892</v>
      </c>
      <c r="N20" s="129">
        <v>135</v>
      </c>
      <c r="O20" s="129">
        <v>582016</v>
      </c>
      <c r="P20" s="129">
        <v>5600</v>
      </c>
      <c r="Q20" s="62">
        <f t="shared" si="12"/>
        <v>41.481481481481481</v>
      </c>
      <c r="R20" s="10">
        <f t="shared" si="13"/>
        <v>4311.2296296296299</v>
      </c>
      <c r="S20" s="129">
        <f t="shared" si="2"/>
        <v>103931.42857142857</v>
      </c>
      <c r="T20" s="129">
        <v>1135</v>
      </c>
      <c r="U20" s="129">
        <v>909678</v>
      </c>
      <c r="V20" s="129">
        <v>13397</v>
      </c>
      <c r="W20" s="62">
        <f t="shared" si="14"/>
        <v>11.80352422907489</v>
      </c>
      <c r="X20" s="10">
        <f t="shared" si="15"/>
        <v>801.47841409691625</v>
      </c>
      <c r="Y20" s="129">
        <f t="shared" si="3"/>
        <v>67901.61976561918</v>
      </c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W20" s="128">
        <v>2007</v>
      </c>
      <c r="AX20" s="128" t="e">
        <f>((#REF!/#REF!)-1)*100</f>
        <v>#REF!</v>
      </c>
      <c r="AY20" s="128" t="e">
        <f>((#REF!/#REF!)-1)*100</f>
        <v>#REF!</v>
      </c>
      <c r="AZ20" s="128" t="e">
        <f>((#REF!/#REF!)-1)*100</f>
        <v>#REF!</v>
      </c>
      <c r="BA20" s="128" t="e">
        <f>((#REF!/#REF!)-1)*100</f>
        <v>#REF!</v>
      </c>
      <c r="BB20" s="128">
        <f t="shared" si="5"/>
        <v>-39.10250257597221</v>
      </c>
      <c r="BC20" s="128" t="e">
        <f t="shared" si="6"/>
        <v>#DIV/0!</v>
      </c>
      <c r="BD20" s="128" t="e">
        <f t="shared" si="6"/>
        <v>#DIV/0!</v>
      </c>
    </row>
    <row r="21" spans="1:56" s="128" customFormat="1">
      <c r="A21" s="115">
        <v>2007</v>
      </c>
      <c r="B21" s="129">
        <v>1656</v>
      </c>
      <c r="C21" s="129">
        <v>1689582</v>
      </c>
      <c r="D21" s="129">
        <v>21092</v>
      </c>
      <c r="E21" s="62">
        <f t="shared" si="8"/>
        <v>12.736714975845411</v>
      </c>
      <c r="F21" s="129">
        <f t="shared" si="9"/>
        <v>1020.2789855072464</v>
      </c>
      <c r="G21" s="129">
        <f t="shared" si="0"/>
        <v>80105.347999241421</v>
      </c>
      <c r="H21" s="129">
        <v>328</v>
      </c>
      <c r="I21" s="129">
        <v>386149</v>
      </c>
      <c r="J21" s="129">
        <v>4409</v>
      </c>
      <c r="K21" s="62">
        <f t="shared" si="10"/>
        <v>13.442073170731707</v>
      </c>
      <c r="L21" s="10">
        <f t="shared" si="11"/>
        <v>1177.2835365853659</v>
      </c>
      <c r="M21" s="129">
        <f t="shared" si="1"/>
        <v>87581.991381265601</v>
      </c>
      <c r="N21" s="129">
        <v>138</v>
      </c>
      <c r="O21" s="129">
        <v>415560</v>
      </c>
      <c r="P21" s="129">
        <v>4856</v>
      </c>
      <c r="Q21" s="62">
        <f t="shared" si="12"/>
        <v>35.188405797101453</v>
      </c>
      <c r="R21" s="10">
        <f t="shared" si="13"/>
        <v>3011.304347826087</v>
      </c>
      <c r="S21" s="129">
        <f t="shared" si="2"/>
        <v>85576.606260296539</v>
      </c>
      <c r="T21" s="129">
        <v>1190</v>
      </c>
      <c r="U21" s="129">
        <v>887873</v>
      </c>
      <c r="V21" s="129">
        <v>11827</v>
      </c>
      <c r="W21" s="62">
        <f t="shared" si="14"/>
        <v>9.9386554621848742</v>
      </c>
      <c r="X21" s="10">
        <f t="shared" si="15"/>
        <v>746.11176470588236</v>
      </c>
      <c r="Y21" s="129">
        <f t="shared" si="3"/>
        <v>75071.700346664409</v>
      </c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W21" s="128">
        <v>2008</v>
      </c>
      <c r="AX21" s="128" t="e">
        <f>((#REF!/#REF!)-1)*100</f>
        <v>#REF!</v>
      </c>
      <c r="AY21" s="128" t="e">
        <f>((#REF!/#REF!)-1)*100</f>
        <v>#REF!</v>
      </c>
      <c r="AZ21" s="128" t="e">
        <f>((#REF!/#REF!)-1)*100</f>
        <v>#REF!</v>
      </c>
      <c r="BA21" s="128" t="e">
        <f>((#REF!/#REF!)-1)*100</f>
        <v>#REF!</v>
      </c>
      <c r="BB21" s="128">
        <f t="shared" si="5"/>
        <v>-27.931992684028152</v>
      </c>
      <c r="BC21" s="128" t="e">
        <f t="shared" si="6"/>
        <v>#DIV/0!</v>
      </c>
      <c r="BD21" s="128" t="e">
        <f t="shared" si="6"/>
        <v>#DIV/0!</v>
      </c>
    </row>
    <row r="22" spans="1:56" s="128" customFormat="1">
      <c r="A22" s="115">
        <v>2008</v>
      </c>
      <c r="B22" s="129">
        <v>1672</v>
      </c>
      <c r="C22" s="129">
        <v>1449709</v>
      </c>
      <c r="D22" s="129">
        <v>18976</v>
      </c>
      <c r="E22" s="62">
        <f t="shared" si="8"/>
        <v>11.349282296650717</v>
      </c>
      <c r="F22" s="129">
        <f t="shared" si="9"/>
        <v>867.05083732057415</v>
      </c>
      <c r="G22" s="129">
        <f t="shared" si="0"/>
        <v>76396.975126475547</v>
      </c>
      <c r="H22" s="129">
        <v>326</v>
      </c>
      <c r="I22" s="129">
        <v>276593</v>
      </c>
      <c r="J22" s="129">
        <v>3437</v>
      </c>
      <c r="K22" s="62">
        <f t="shared" si="10"/>
        <v>10.542944785276074</v>
      </c>
      <c r="L22" s="10">
        <f t="shared" si="11"/>
        <v>848.44478527607362</v>
      </c>
      <c r="M22" s="129">
        <f t="shared" si="1"/>
        <v>80475.123654349736</v>
      </c>
      <c r="N22" s="129">
        <v>147</v>
      </c>
      <c r="O22" s="129">
        <v>324547</v>
      </c>
      <c r="P22" s="129">
        <v>4421</v>
      </c>
      <c r="Q22" s="62">
        <f t="shared" si="12"/>
        <v>30.07482993197279</v>
      </c>
      <c r="R22" s="10">
        <f t="shared" si="13"/>
        <v>2207.8027210884352</v>
      </c>
      <c r="S22" s="129">
        <f t="shared" si="2"/>
        <v>73410.314408504855</v>
      </c>
      <c r="T22" s="129">
        <v>1199</v>
      </c>
      <c r="U22" s="129">
        <v>848569</v>
      </c>
      <c r="V22" s="129">
        <v>11118</v>
      </c>
      <c r="W22" s="62">
        <f t="shared" si="14"/>
        <v>9.2727272727272734</v>
      </c>
      <c r="X22" s="10">
        <f t="shared" si="15"/>
        <v>707.7306088407006</v>
      </c>
      <c r="Y22" s="129">
        <f t="shared" si="3"/>
        <v>76323.889188703004</v>
      </c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W22" s="128">
        <v>2009</v>
      </c>
      <c r="AX22" s="128" t="e">
        <f>((#REF!/#REF!)-1)*100</f>
        <v>#REF!</v>
      </c>
      <c r="AY22" s="128" t="e">
        <f>((#REF!/#REF!)-1)*100</f>
        <v>#REF!</v>
      </c>
      <c r="AZ22" s="128" t="e">
        <f>((#REF!/#REF!)-1)*100</f>
        <v>#REF!</v>
      </c>
      <c r="BA22" s="128" t="e">
        <f>((#REF!/#REF!)-1)*100</f>
        <v>#REF!</v>
      </c>
      <c r="BB22" s="128">
        <f t="shared" si="5"/>
        <v>-21.65885163684057</v>
      </c>
      <c r="BC22" s="128" t="e">
        <f t="shared" si="6"/>
        <v>#DIV/0!</v>
      </c>
      <c r="BD22" s="128" t="e">
        <f t="shared" si="6"/>
        <v>#DIV/0!</v>
      </c>
    </row>
    <row r="23" spans="1:56" s="128" customFormat="1">
      <c r="A23" s="115">
        <v>2009</v>
      </c>
      <c r="B23" s="129">
        <v>1619</v>
      </c>
      <c r="C23" s="129">
        <v>1155092</v>
      </c>
      <c r="D23" s="129">
        <v>15845</v>
      </c>
      <c r="E23" s="62">
        <f t="shared" si="8"/>
        <v>9.7869054972205056</v>
      </c>
      <c r="F23" s="129">
        <f t="shared" si="9"/>
        <v>713.46016059295857</v>
      </c>
      <c r="G23" s="129">
        <f t="shared" si="0"/>
        <v>72899.463553171343</v>
      </c>
      <c r="H23" s="129">
        <v>317</v>
      </c>
      <c r="I23" s="129">
        <v>210704</v>
      </c>
      <c r="J23" s="129">
        <v>2799</v>
      </c>
      <c r="K23" s="62">
        <f t="shared" si="10"/>
        <v>8.8296529968454252</v>
      </c>
      <c r="L23" s="10">
        <f t="shared" si="11"/>
        <v>664.6813880126183</v>
      </c>
      <c r="M23" s="129">
        <f t="shared" si="1"/>
        <v>75278.313683458386</v>
      </c>
      <c r="N23" s="129">
        <v>134</v>
      </c>
      <c r="O23" s="129">
        <v>278177</v>
      </c>
      <c r="P23" s="129">
        <v>3372</v>
      </c>
      <c r="Q23" s="62">
        <f t="shared" si="12"/>
        <v>25.164179104477611</v>
      </c>
      <c r="R23" s="10">
        <f t="shared" si="13"/>
        <v>2075.9477611940297</v>
      </c>
      <c r="S23" s="129">
        <f t="shared" si="2"/>
        <v>82496.144721233693</v>
      </c>
      <c r="T23" s="129">
        <v>1168</v>
      </c>
      <c r="U23" s="129">
        <v>666211</v>
      </c>
      <c r="V23" s="129">
        <v>9674</v>
      </c>
      <c r="W23" s="62">
        <f t="shared" si="14"/>
        <v>8.2825342465753433</v>
      </c>
      <c r="X23" s="10">
        <f t="shared" si="15"/>
        <v>570.38613013698625</v>
      </c>
      <c r="Y23" s="129">
        <f t="shared" si="3"/>
        <v>68866.136034732277</v>
      </c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W23" s="128">
        <v>2010</v>
      </c>
      <c r="AX23" s="128" t="e">
        <f>((#REF!/#REF!)-1)*100</f>
        <v>#REF!</v>
      </c>
      <c r="AY23" s="128" t="e">
        <f>((#REF!/#REF!)-1)*100</f>
        <v>#REF!</v>
      </c>
      <c r="AZ23" s="128" t="e">
        <f>((#REF!/#REF!)-1)*100</f>
        <v>#REF!</v>
      </c>
      <c r="BA23" s="128" t="e">
        <f>((#REF!/#REF!)-1)*100</f>
        <v>#REF!</v>
      </c>
      <c r="BB23" s="128">
        <f t="shared" si="5"/>
        <v>26.571291916439232</v>
      </c>
      <c r="BC23" s="128" t="e">
        <f t="shared" si="6"/>
        <v>#DIV/0!</v>
      </c>
      <c r="BD23" s="128" t="e">
        <f t="shared" si="6"/>
        <v>#DIV/0!</v>
      </c>
    </row>
    <row r="24" spans="1:56" s="128" customFormat="1">
      <c r="A24" s="115">
        <v>2010</v>
      </c>
      <c r="B24" s="129">
        <v>1608</v>
      </c>
      <c r="C24" s="129">
        <v>1249269</v>
      </c>
      <c r="D24" s="129">
        <v>15496</v>
      </c>
      <c r="E24" s="62">
        <f t="shared" si="8"/>
        <v>9.6368159203980106</v>
      </c>
      <c r="F24" s="129">
        <f t="shared" si="9"/>
        <v>776.90858208955228</v>
      </c>
      <c r="G24" s="129">
        <f t="shared" si="0"/>
        <v>80618.804852865258</v>
      </c>
      <c r="H24" s="129">
        <v>311</v>
      </c>
      <c r="I24" s="129">
        <v>261643</v>
      </c>
      <c r="J24" s="129">
        <v>2862</v>
      </c>
      <c r="K24" s="62">
        <f t="shared" si="10"/>
        <v>9.2025723472668819</v>
      </c>
      <c r="L24" s="10">
        <f t="shared" si="11"/>
        <v>841.29581993569127</v>
      </c>
      <c r="M24" s="129">
        <f t="shared" si="1"/>
        <v>91419.636617749828</v>
      </c>
      <c r="N24" s="129">
        <v>129</v>
      </c>
      <c r="O24" s="129">
        <v>280608</v>
      </c>
      <c r="P24" s="129">
        <v>3146</v>
      </c>
      <c r="Q24" s="62">
        <f t="shared" si="12"/>
        <v>24.387596899224807</v>
      </c>
      <c r="R24" s="10">
        <f t="shared" si="13"/>
        <v>2175.2558139534885</v>
      </c>
      <c r="S24" s="129">
        <f t="shared" si="2"/>
        <v>89195.168467895739</v>
      </c>
      <c r="T24" s="129">
        <v>1168</v>
      </c>
      <c r="U24" s="129">
        <v>707018</v>
      </c>
      <c r="V24" s="129">
        <v>9488</v>
      </c>
      <c r="W24" s="62">
        <f t="shared" si="14"/>
        <v>8.1232876712328768</v>
      </c>
      <c r="X24" s="10">
        <f t="shared" si="15"/>
        <v>605.32363013698625</v>
      </c>
      <c r="Y24" s="129">
        <f t="shared" si="3"/>
        <v>74517.074198988194</v>
      </c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W24" s="128">
        <v>2011</v>
      </c>
      <c r="AX24" s="128" t="e">
        <f>((#REF!/#REF!)-1)*100</f>
        <v>#REF!</v>
      </c>
      <c r="AY24" s="128" t="e">
        <f>((#REF!/#REF!)-1)*100</f>
        <v>#REF!</v>
      </c>
      <c r="AZ24" s="128" t="e">
        <f>((#REF!/#REF!)-1)*100</f>
        <v>#REF!</v>
      </c>
      <c r="BA24" s="128" t="e">
        <f>((#REF!/#REF!)-1)*100</f>
        <v>#REF!</v>
      </c>
      <c r="BB24" s="128" t="e">
        <f>((#REF!/L24)-1)*100</f>
        <v>#REF!</v>
      </c>
      <c r="BC24" s="128" t="e">
        <f>((#REF!/AT24)-1)*100</f>
        <v>#REF!</v>
      </c>
      <c r="BD24" s="128" t="e">
        <f>((#REF!/AU24)-1)*100</f>
        <v>#REF!</v>
      </c>
    </row>
    <row r="25" spans="1:56">
      <c r="A25" s="9"/>
      <c r="B25" s="62"/>
      <c r="C25" s="62"/>
      <c r="D25" s="62"/>
      <c r="E25" s="62"/>
      <c r="F25" s="62"/>
      <c r="G25" s="62"/>
      <c r="H25" s="9"/>
      <c r="I25" s="9"/>
      <c r="J25" s="9"/>
      <c r="K25" s="9"/>
      <c r="M25" s="9"/>
      <c r="N25" s="9"/>
      <c r="O25" s="9"/>
      <c r="P25" s="9"/>
      <c r="R25" s="9"/>
      <c r="S25" s="9"/>
      <c r="T25" s="9"/>
      <c r="U25" s="9"/>
      <c r="V25" s="9"/>
      <c r="W25" s="9"/>
      <c r="X25" s="9"/>
      <c r="Y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X25" s="125" t="s">
        <v>27</v>
      </c>
    </row>
    <row r="26" spans="1:56" ht="15" customHeight="1">
      <c r="A26" s="454" t="s">
        <v>32</v>
      </c>
      <c r="B26" s="454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X26" s="125" t="s">
        <v>16</v>
      </c>
      <c r="AY26" s="125" t="s">
        <v>8</v>
      </c>
      <c r="AZ26" s="125" t="s">
        <v>3</v>
      </c>
      <c r="BA26" s="125" t="s">
        <v>4</v>
      </c>
      <c r="BB26" s="125" t="s">
        <v>17</v>
      </c>
      <c r="BC26" s="125" t="s">
        <v>6</v>
      </c>
      <c r="BD26" s="125" t="s">
        <v>7</v>
      </c>
    </row>
    <row r="27" spans="1:56">
      <c r="A27" s="115" t="s">
        <v>85</v>
      </c>
      <c r="B27" s="11" t="s">
        <v>10</v>
      </c>
      <c r="C27" s="11">
        <f t="shared" ref="C27:I27" si="16">((C4/C13)^(1/9)-1)*100</f>
        <v>-10.166869187038829</v>
      </c>
      <c r="D27" s="11">
        <f t="shared" si="16"/>
        <v>-1.7470870322691567</v>
      </c>
      <c r="E27" s="11" t="s">
        <v>10</v>
      </c>
      <c r="F27" s="11" t="s">
        <v>10</v>
      </c>
      <c r="G27" s="11">
        <f t="shared" si="16"/>
        <v>-8.5694987562709439</v>
      </c>
      <c r="H27" s="11" t="s">
        <v>10</v>
      </c>
      <c r="I27" s="11">
        <f t="shared" si="16"/>
        <v>-9.7055016405146901</v>
      </c>
      <c r="J27" s="11" t="s">
        <v>10</v>
      </c>
      <c r="K27" s="11">
        <f>((J4/J13)^(1/9)-1)*100</f>
        <v>-2.434552854090255</v>
      </c>
      <c r="L27" s="11" t="s">
        <v>10</v>
      </c>
      <c r="M27" s="11" t="s">
        <v>10</v>
      </c>
      <c r="N27" s="11" t="s">
        <v>10</v>
      </c>
      <c r="O27" s="11">
        <f>((O4/O13)^(1/9)-1)*100</f>
        <v>-18.676669474664319</v>
      </c>
      <c r="P27" s="11" t="s">
        <v>10</v>
      </c>
      <c r="Q27" s="11">
        <f>((P4/P13)^(1/9)-1)*100</f>
        <v>-6.3195829333966058</v>
      </c>
      <c r="R27" s="11" t="s">
        <v>10</v>
      </c>
      <c r="S27" s="11" t="s">
        <v>10</v>
      </c>
      <c r="T27" s="11" t="s">
        <v>10</v>
      </c>
      <c r="U27" s="11">
        <f>((U4/U13)^(1/9)-1)*100</f>
        <v>-4.9914244529810308</v>
      </c>
      <c r="V27" s="11" t="s">
        <v>10</v>
      </c>
      <c r="W27" s="11">
        <f>((V4/V13)^(1/9)-1)*100</f>
        <v>0.59161495054278479</v>
      </c>
      <c r="X27" s="11" t="s">
        <v>10</v>
      </c>
      <c r="Y27" s="11" t="s">
        <v>10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W27" s="125">
        <v>1999</v>
      </c>
      <c r="AX27" s="125" t="e">
        <f>#REF!/#REF!</f>
        <v>#REF!</v>
      </c>
      <c r="AY27" s="125" t="e">
        <f>#REF!/#REF!</f>
        <v>#REF!</v>
      </c>
      <c r="AZ27" s="125" t="e">
        <f>#REF!/#REF!</f>
        <v>#REF!</v>
      </c>
      <c r="BA27" s="125" t="e">
        <f>#REF!/#REF!</f>
        <v>#REF!</v>
      </c>
      <c r="BB27" s="125">
        <f>L13/$L$14</f>
        <v>1.2074120322882753</v>
      </c>
      <c r="BC27" s="125" t="e">
        <f t="shared" ref="BC27:BC28" si="17">AT13/$AT$14</f>
        <v>#DIV/0!</v>
      </c>
      <c r="BD27" s="125" t="e">
        <f t="shared" ref="BD27:BD28" si="18">AU13/$AU$14</f>
        <v>#DIV/0!</v>
      </c>
    </row>
    <row r="28" spans="1:56">
      <c r="A28" s="130" t="s">
        <v>323</v>
      </c>
      <c r="B28" s="11">
        <f>((B13/B17)^(1/4)-1)*100</f>
        <v>-15.687602505998965</v>
      </c>
      <c r="C28" s="11">
        <f t="shared" ref="C28:I28" si="19">((C13/C17)^(1/4)-1)*100</f>
        <v>-3.8611168406692986</v>
      </c>
      <c r="D28" s="11">
        <f t="shared" si="19"/>
        <v>-2.0207757067449594</v>
      </c>
      <c r="E28" s="11">
        <f t="shared" si="19"/>
        <v>16.209747564379761</v>
      </c>
      <c r="F28" s="11">
        <f t="shared" si="19"/>
        <v>14.026983002317239</v>
      </c>
      <c r="G28" s="11">
        <f t="shared" si="19"/>
        <v>-1.8782973096583611</v>
      </c>
      <c r="H28" s="11">
        <f t="shared" si="19"/>
        <v>-9.1307079457108138</v>
      </c>
      <c r="I28" s="11">
        <f t="shared" si="19"/>
        <v>-1.5931694183878409</v>
      </c>
      <c r="J28" s="11">
        <f>((L13/L17)^(1/4)-1)*100</f>
        <v>8.2949237931992705</v>
      </c>
      <c r="K28" s="11">
        <f>((J13/J17)^(1/4)-1)*100</f>
        <v>4.0771833603188368</v>
      </c>
      <c r="L28" s="11">
        <f>((K13/K17)^(1/4)-1)*100</f>
        <v>14.535043695661987</v>
      </c>
      <c r="M28" s="11">
        <f>((M13/M17)^(1/4)-1)*100</f>
        <v>-5.4482189041143663</v>
      </c>
      <c r="N28" s="11">
        <f>((N13/N17)^(1/4)-1)*100</f>
        <v>-12.231618078054829</v>
      </c>
      <c r="O28" s="11">
        <f>((O13/O17)^(1/4)-1)*100</f>
        <v>-0.96999768679311149</v>
      </c>
      <c r="P28" s="11">
        <f>((R13/R17)^(1/4)-1)*100</f>
        <v>12.831067572006717</v>
      </c>
      <c r="Q28" s="11">
        <f>((P13/P17)^(1/4)-1)*100</f>
        <v>-2.2248379791622419</v>
      </c>
      <c r="R28" s="11">
        <f>((Q13/Q17)^(1/4)-1)*100</f>
        <v>11.401349642963554</v>
      </c>
      <c r="S28" s="11">
        <f>((S13/S17)^(1/4)-1)*100</f>
        <v>1.2833937233483583</v>
      </c>
      <c r="T28" s="11">
        <f>((T13/T17)^(1/4)-1)*100</f>
        <v>-18.221741500653398</v>
      </c>
      <c r="U28" s="11">
        <f>((U13/U17)^(1/4)-1)*100</f>
        <v>-8.2607480542570837</v>
      </c>
      <c r="V28" s="11">
        <f>((X13/X17)^(1/4)-1)*100</f>
        <v>12.180491036594908</v>
      </c>
      <c r="W28" s="11">
        <f>((V13/V17)^(1/4)-1)*100</f>
        <v>-5.3780648323477394</v>
      </c>
      <c r="X28" s="11">
        <f>((W13/W17)^(1/4)-1)*100</f>
        <v>15.705490559459978</v>
      </c>
      <c r="Y28" s="11">
        <f>((Y13/Y17)^(1/4)-1)*100</f>
        <v>-3.0465274429251177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W28" s="125">
        <v>2000</v>
      </c>
      <c r="AX28" s="125" t="e">
        <f>#REF!/#REF!</f>
        <v>#REF!</v>
      </c>
      <c r="AY28" s="125" t="e">
        <f>#REF!/#REF!</f>
        <v>#REF!</v>
      </c>
      <c r="AZ28" s="125" t="e">
        <f>#REF!/#REF!</f>
        <v>#REF!</v>
      </c>
      <c r="BA28" s="125" t="e">
        <f>#REF!/#REF!</f>
        <v>#REF!</v>
      </c>
      <c r="BB28" s="125">
        <f>L14/$L$14</f>
        <v>1</v>
      </c>
      <c r="BC28" s="125" t="e">
        <f t="shared" si="17"/>
        <v>#DIV/0!</v>
      </c>
      <c r="BD28" s="125" t="e">
        <f t="shared" si="18"/>
        <v>#DIV/0!</v>
      </c>
    </row>
    <row r="29" spans="1:56" s="259" customFormat="1">
      <c r="A29" s="325" t="s">
        <v>524</v>
      </c>
      <c r="B29" s="11">
        <f>((B21/B17)^(1/4)-1)*100</f>
        <v>15.208127951607974</v>
      </c>
      <c r="C29" s="11">
        <f t="shared" ref="C29:I29" si="20">((C21/C17)^(1/4)-1)*100</f>
        <v>-10.43608118102599</v>
      </c>
      <c r="D29" s="11">
        <f t="shared" si="20"/>
        <v>-6.6823962879905885</v>
      </c>
      <c r="E29" s="11">
        <f t="shared" si="20"/>
        <v>-19.000850572620585</v>
      </c>
      <c r="F29" s="11">
        <f t="shared" si="20"/>
        <v>-22.259027716695091</v>
      </c>
      <c r="G29" s="11">
        <f t="shared" si="20"/>
        <v>-4.022483158290024</v>
      </c>
      <c r="H29" s="11">
        <f t="shared" si="20"/>
        <v>16.83966254378926</v>
      </c>
      <c r="I29" s="11">
        <f t="shared" si="20"/>
        <v>-12.746633268158348</v>
      </c>
      <c r="J29" s="11">
        <f>((L21/L17)^(1/4)-1)*100</f>
        <v>-25.322133912239973</v>
      </c>
      <c r="K29" s="11">
        <f>((J21/J17)^(1/4)-1)*100</f>
        <v>-10.667098117455975</v>
      </c>
      <c r="L29" s="11">
        <f>((K21/K17)^(1/4)-1)*100</f>
        <v>-23.542314366866847</v>
      </c>
      <c r="M29" s="11">
        <f>((M21/M17)^(1/4)-1)*100</f>
        <v>-2.3278490980138122</v>
      </c>
      <c r="N29" s="11">
        <f>((N21/N17)^(1/4)-1)*100</f>
        <v>10.970980550311626</v>
      </c>
      <c r="O29" s="11">
        <f>((O21/O17)^(1/4)-1)*100</f>
        <v>-17.771682278352465</v>
      </c>
      <c r="P29" s="11">
        <f>((R21/R17)^(1/4)-1)*100</f>
        <v>-25.901062319290613</v>
      </c>
      <c r="Q29" s="11">
        <f>((P21/P17)^(1/4)-1)*100</f>
        <v>-8.0629949465333421</v>
      </c>
      <c r="R29" s="11">
        <f>((Q21/Q17)^(1/4)-1)*100</f>
        <v>-17.152209886273294</v>
      </c>
      <c r="S29" s="11">
        <f>((S21/S17)^(1/4)-1)*100</f>
        <v>-10.560151841114429</v>
      </c>
      <c r="T29" s="11">
        <f>((T21/T17)^(1/4)-1)*100</f>
        <v>15.314248827467637</v>
      </c>
      <c r="U29" s="11">
        <f>((U21/U17)^(1/4)-1)*100</f>
        <v>-4.1178947157734953</v>
      </c>
      <c r="V29" s="11">
        <f>((X21/X17)^(1/4)-1)*100</f>
        <v>-16.851467828850332</v>
      </c>
      <c r="W29" s="11">
        <f>((V21/V17)^(1/4)-1)*100</f>
        <v>-4.2893903855301563</v>
      </c>
      <c r="X29" s="11">
        <f>((W21/W17)^(1/4)-1)*100</f>
        <v>-17.000188105399371</v>
      </c>
      <c r="Y29" s="11">
        <f>((Y21/Y17)^(1/4)-1)*100</f>
        <v>0.1791814621675325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</row>
    <row r="30" spans="1:56" s="259" customFormat="1">
      <c r="A30" s="248" t="s">
        <v>368</v>
      </c>
      <c r="B30" s="11">
        <f>((B24/B21)^(1/3)-1)*100</f>
        <v>-0.97567197364475389</v>
      </c>
      <c r="C30" s="11">
        <f t="shared" ref="C30" si="21">((C24/C21)^(1/3)-1)*100</f>
        <v>-9.5742270547132584</v>
      </c>
      <c r="D30" s="11">
        <f t="shared" ref="D30:I30" si="22">((D24/D21)^(1/3)-1)*100</f>
        <v>-9.7666083595429161</v>
      </c>
      <c r="E30" s="11">
        <f t="shared" si="22"/>
        <v>-8.8775521744095638</v>
      </c>
      <c r="F30" s="11">
        <f t="shared" si="22"/>
        <v>-8.6832753652011707</v>
      </c>
      <c r="G30" s="11">
        <f t="shared" si="22"/>
        <v>0.21320411582912424</v>
      </c>
      <c r="H30" s="11">
        <f t="shared" si="22"/>
        <v>-1.7583800561052909</v>
      </c>
      <c r="I30" s="11">
        <f t="shared" si="22"/>
        <v>-12.168277109925684</v>
      </c>
      <c r="J30" s="11">
        <f>((L24/L21)^(1/3)-1)*100</f>
        <v>-10.59621885282983</v>
      </c>
      <c r="K30" s="11">
        <f>((J24/J21)^(1/3)-1)*100</f>
        <v>-13.414897208813271</v>
      </c>
      <c r="L30" s="11">
        <f>((K24/K21)^(1/3)-1)*100</f>
        <v>-11.865151612285063</v>
      </c>
      <c r="M30" s="11">
        <f>((M24/M21)^(1/3)-1)*100</f>
        <v>1.4397627983349537</v>
      </c>
      <c r="N30" s="11">
        <f>((N24/N21)^(1/3)-1)*100</f>
        <v>-2.2229625027766708</v>
      </c>
      <c r="O30" s="11">
        <f>((O24/O21)^(1/3)-1)*100</f>
        <v>-12.268523815170095</v>
      </c>
      <c r="P30" s="11">
        <f>((R24/R21)^(1/3)-1)*100</f>
        <v>-10.273947308619057</v>
      </c>
      <c r="Q30" s="11">
        <f>((P24/P21)^(1/3)-1)*100</f>
        <v>-13.47133298475125</v>
      </c>
      <c r="R30" s="11">
        <f>((Q24/Q21)^(1/3)-1)*100</f>
        <v>-11.504102363802971</v>
      </c>
      <c r="S30" s="11">
        <f>((S24/S21)^(1/3)-1)*100</f>
        <v>1.3900701479304889</v>
      </c>
      <c r="T30" s="11">
        <f>((T24/T21)^(1/3)-1)*100</f>
        <v>-0.62008358767629002</v>
      </c>
      <c r="U30" s="11">
        <f>((U24/U21)^(1/3)-1)*100</f>
        <v>-7.3113534860716367</v>
      </c>
      <c r="V30" s="11">
        <f>((X24/X21)^(1/3)-1)*100</f>
        <v>-6.7330202519325084</v>
      </c>
      <c r="W30" s="11">
        <f>((V24/V21)^(1/3)-1)*100</f>
        <v>-7.0819629686534658</v>
      </c>
      <c r="X30" s="11">
        <f>((W24/W21)^(1/3)-1)*100</f>
        <v>-6.5021984463813354</v>
      </c>
      <c r="Y30" s="11">
        <f>((Y24/Y21)^(1/3)-1)*100</f>
        <v>-0.2468740459301566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</row>
    <row r="31" spans="1:56">
      <c r="A31" s="325" t="s">
        <v>525</v>
      </c>
      <c r="B31" s="11">
        <f>((B24/B14)^(1/10)-1)*100</f>
        <v>5.7196002597169393</v>
      </c>
      <c r="C31" s="11">
        <f t="shared" ref="C31:I31" si="23">((C24/C14)^(1/10)-1)*100</f>
        <v>-6.8154714542970058</v>
      </c>
      <c r="D31" s="11">
        <f t="shared" si="23"/>
        <v>-5.2936785440117156</v>
      </c>
      <c r="E31" s="11">
        <f t="shared" si="23"/>
        <v>-10.417442722704962</v>
      </c>
      <c r="F31" s="11">
        <f t="shared" si="23"/>
        <v>-11.856904191105123</v>
      </c>
      <c r="G31" s="11">
        <f t="shared" si="23"/>
        <v>-1.6068546290149199</v>
      </c>
      <c r="H31" s="11">
        <f t="shared" si="23"/>
        <v>5.5039938395176735</v>
      </c>
      <c r="I31" s="11">
        <f t="shared" si="23"/>
        <v>-10.402738492951435</v>
      </c>
      <c r="J31" s="11">
        <f>((L24/L14)^(1/10)-1)*100</f>
        <v>-15.076900649528845</v>
      </c>
      <c r="K31" s="11">
        <f>((J24/J14)^(1/10)-1)*100</f>
        <v>-9.8672029197374833</v>
      </c>
      <c r="L31" s="11">
        <f>((K24/K14)^(1/10)-1)*100</f>
        <v>-14.569303208214379</v>
      </c>
      <c r="M31" s="11">
        <f>((M24/M14)^(1/10)-1)*100</f>
        <v>-0.59416282481178362</v>
      </c>
      <c r="N31" s="11">
        <f>((N24/N14)^(1/10)-1)*100</f>
        <v>2.7865675427735326</v>
      </c>
      <c r="O31" s="11">
        <f>((O24/O14)^(1/10)-1)*100</f>
        <v>-9.9053944149490309</v>
      </c>
      <c r="P31" s="11">
        <f>((R24/R14)^(1/10)-1)*100</f>
        <v>-12.34787994301001</v>
      </c>
      <c r="Q31" s="11">
        <f>((P24/P14)^(1/10)-1)*100</f>
        <v>-6.3485990137992943</v>
      </c>
      <c r="R31" s="11">
        <f>((Q24/Q14)^(1/10)-1)*100</f>
        <v>-8.8875100851785191</v>
      </c>
      <c r="S31" s="11">
        <f>((S24/S14)^(1/10)-1)*100</f>
        <v>-3.7979094425654503</v>
      </c>
      <c r="T31" s="11">
        <f>((T24/T14)^(1/10)-1)*100</f>
        <v>6.1673021412340656</v>
      </c>
      <c r="U31" s="11">
        <f>((U24/U14)^(1/10)-1)*100</f>
        <v>-2.9046880112754248</v>
      </c>
      <c r="V31" s="11">
        <f>((X24/X14)^(1/10)-1)*100</f>
        <v>-8.5449945223634352</v>
      </c>
      <c r="W31" s="11">
        <f>((V24/V14)^(1/10)-1)*100</f>
        <v>-2.7543012983184956</v>
      </c>
      <c r="X31" s="11">
        <f>((W24/W14)^(1/10)-1)*100</f>
        <v>-8.4033438352649981</v>
      </c>
      <c r="Y31" s="11">
        <f>((Y24/Y14)^(1/10)-1)*100</f>
        <v>-0.15464613341744649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W31" s="125">
        <v>2001</v>
      </c>
      <c r="AX31" s="125" t="e">
        <f>#REF!/#REF!</f>
        <v>#REF!</v>
      </c>
      <c r="AY31" s="125" t="e">
        <f>#REF!/#REF!</f>
        <v>#REF!</v>
      </c>
      <c r="AZ31" s="125" t="e">
        <f>#REF!/#REF!</f>
        <v>#REF!</v>
      </c>
      <c r="BA31" s="125" t="e">
        <f>#REF!/#REF!</f>
        <v>#REF!</v>
      </c>
      <c r="BB31" s="125">
        <f>L15/$L$14</f>
        <v>0.9811038437926104</v>
      </c>
      <c r="BC31" s="125" t="e">
        <f>AT15/$AT$14</f>
        <v>#DIV/0!</v>
      </c>
      <c r="BD31" s="125" t="e">
        <f>AU15/$AU$14</f>
        <v>#DIV/0!</v>
      </c>
    </row>
    <row r="32" spans="1:56">
      <c r="A32" s="115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</row>
    <row r="33" spans="1:56">
      <c r="A33" s="237" t="s">
        <v>39</v>
      </c>
      <c r="B33" s="237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</row>
    <row r="34" spans="1:56">
      <c r="A34" s="237" t="s">
        <v>76</v>
      </c>
      <c r="B34" s="237" t="s">
        <v>77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</row>
    <row r="35" spans="1:56">
      <c r="A35" s="237" t="s">
        <v>9</v>
      </c>
      <c r="B35" s="237" t="s">
        <v>42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</row>
    <row r="36" spans="1:56">
      <c r="A36" s="237" t="s">
        <v>10</v>
      </c>
      <c r="B36" s="237" t="s">
        <v>43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</row>
    <row r="37" spans="1:56">
      <c r="A37" s="237" t="s">
        <v>40</v>
      </c>
      <c r="B37" s="237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</row>
    <row r="38" spans="1:56">
      <c r="A38" s="231" t="s">
        <v>322</v>
      </c>
      <c r="B38" s="23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</row>
    <row r="39" spans="1:56">
      <c r="A39" s="231" t="s">
        <v>144</v>
      </c>
      <c r="B39" s="238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56">
      <c r="A40" s="259" t="s">
        <v>371</v>
      </c>
      <c r="B40" s="237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56">
      <c r="AW41" s="125">
        <v>2011</v>
      </c>
      <c r="AX41" s="125" t="e">
        <f>#REF!/#REF!</f>
        <v>#REF!</v>
      </c>
      <c r="AY41" s="125" t="e">
        <f>#REF!/#REF!</f>
        <v>#REF!</v>
      </c>
      <c r="AZ41" s="125" t="e">
        <f>#REF!/#REF!</f>
        <v>#REF!</v>
      </c>
      <c r="BA41" s="125" t="e">
        <f>#REF!/#REF!</f>
        <v>#REF!</v>
      </c>
      <c r="BB41" s="125" t="e">
        <f>#REF!/$L$14</f>
        <v>#REF!</v>
      </c>
      <c r="BC41" s="125" t="e">
        <f>#REF!/$AT$14</f>
        <v>#REF!</v>
      </c>
      <c r="BD41" s="125" t="e">
        <f>#REF!/$AU$14</f>
        <v>#REF!</v>
      </c>
    </row>
    <row r="42" spans="1:56">
      <c r="AW42" s="125">
        <v>2012</v>
      </c>
      <c r="AX42" s="125" t="e">
        <f>#REF!/#REF!</f>
        <v>#REF!</v>
      </c>
      <c r="AY42" s="125" t="e">
        <f>#REF!/#REF!</f>
        <v>#REF!</v>
      </c>
      <c r="AZ42" s="125" t="e">
        <f>#REF!/#REF!</f>
        <v>#REF!</v>
      </c>
      <c r="BA42" s="125" t="e">
        <f>#REF!/#REF!</f>
        <v>#REF!</v>
      </c>
      <c r="BB42" s="125" t="e">
        <f>#REF!/$L$14</f>
        <v>#REF!</v>
      </c>
      <c r="BC42" s="125" t="e">
        <f>#REF!/$AT$14</f>
        <v>#REF!</v>
      </c>
      <c r="BD42" s="125" t="e">
        <f>#REF!/$AU$14</f>
        <v>#REF!</v>
      </c>
    </row>
    <row r="43" spans="1:56">
      <c r="AW43" s="125">
        <v>2013</v>
      </c>
      <c r="AX43" s="125" t="e">
        <f>#REF!/#REF!</f>
        <v>#REF!</v>
      </c>
      <c r="AY43" s="125" t="e">
        <f>#REF!/#REF!</f>
        <v>#REF!</v>
      </c>
      <c r="AZ43" s="125" t="e">
        <f>#REF!/#REF!</f>
        <v>#REF!</v>
      </c>
      <c r="BA43" s="125" t="e">
        <f>#REF!/#REF!</f>
        <v>#REF!</v>
      </c>
      <c r="BB43" s="125" t="e">
        <f>#REF!/$L$14</f>
        <v>#REF!</v>
      </c>
      <c r="BC43" s="125" t="e">
        <f>#REF!/$AT$14</f>
        <v>#REF!</v>
      </c>
      <c r="BD43" s="125" t="e">
        <f>#REF!/$AU$14</f>
        <v>#REF!</v>
      </c>
    </row>
  </sheetData>
  <mergeCells count="6">
    <mergeCell ref="A1:Y1"/>
    <mergeCell ref="A26:X26"/>
    <mergeCell ref="B2:G2"/>
    <mergeCell ref="H2:M2"/>
    <mergeCell ref="N2:S2"/>
    <mergeCell ref="T2:Y2"/>
  </mergeCells>
  <printOptions gridLines="1"/>
  <pageMargins left="0.70866141732283472" right="0.70866141732283472" top="0.74803149606299213" bottom="0.74803149606299213" header="0.31496062992125984" footer="0.31496062992125984"/>
  <pageSetup scale="46" orientation="landscape" horizontalDpi="0" verticalDpi="0" r:id="rId1"/>
  <colBreaks count="1" manualBreakCount="1">
    <brk id="1" max="3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182</vt:i4>
      </vt:variant>
      <vt:variant>
        <vt:lpstr>Named Ranges</vt:lpstr>
      </vt:variant>
      <vt:variant>
        <vt:i4>145</vt:i4>
      </vt:variant>
    </vt:vector>
  </HeadingPairs>
  <TitlesOfParts>
    <vt:vector size="327" baseType="lpstr">
      <vt:lpstr>List of Tables</vt:lpstr>
      <vt:lpstr>1A</vt:lpstr>
      <vt:lpstr>1B</vt:lpstr>
      <vt:lpstr>1C</vt:lpstr>
      <vt:lpstr>1D</vt:lpstr>
      <vt:lpstr>1E</vt:lpstr>
      <vt:lpstr>1F</vt:lpstr>
      <vt:lpstr>1G</vt:lpstr>
      <vt:lpstr>1H</vt:lpstr>
      <vt:lpstr>1I</vt:lpstr>
      <vt:lpstr>1J</vt:lpstr>
      <vt:lpstr>2A</vt:lpstr>
      <vt:lpstr>2B</vt:lpstr>
      <vt:lpstr>2C</vt:lpstr>
      <vt:lpstr>2D</vt:lpstr>
      <vt:lpstr>2E</vt:lpstr>
      <vt:lpstr>2F</vt:lpstr>
      <vt:lpstr>2G</vt:lpstr>
      <vt:lpstr>2H</vt:lpstr>
      <vt:lpstr>2I</vt:lpstr>
      <vt:lpstr>2J</vt:lpstr>
      <vt:lpstr>2K</vt:lpstr>
      <vt:lpstr>2L</vt:lpstr>
      <vt:lpstr>2M</vt:lpstr>
      <vt:lpstr>2N</vt:lpstr>
      <vt:lpstr>2O</vt:lpstr>
      <vt:lpstr>2P</vt:lpstr>
      <vt:lpstr>3A</vt:lpstr>
      <vt:lpstr>3B</vt:lpstr>
      <vt:lpstr>3C</vt:lpstr>
      <vt:lpstr>3D</vt:lpstr>
      <vt:lpstr>3E</vt:lpstr>
      <vt:lpstr>3F</vt:lpstr>
      <vt:lpstr>4A</vt:lpstr>
      <vt:lpstr>4B</vt:lpstr>
      <vt:lpstr>4C</vt:lpstr>
      <vt:lpstr>4D</vt:lpstr>
      <vt:lpstr>4E</vt:lpstr>
      <vt:lpstr>4F</vt:lpstr>
      <vt:lpstr>4G</vt:lpstr>
      <vt:lpstr>4H</vt:lpstr>
      <vt:lpstr>4I</vt:lpstr>
      <vt:lpstr>4J</vt:lpstr>
      <vt:lpstr>4K</vt:lpstr>
      <vt:lpstr>4L</vt:lpstr>
      <vt:lpstr>4M</vt:lpstr>
      <vt:lpstr>4N</vt:lpstr>
      <vt:lpstr>4O</vt:lpstr>
      <vt:lpstr>4P</vt:lpstr>
      <vt:lpstr>4Q</vt:lpstr>
      <vt:lpstr>4R</vt:lpstr>
      <vt:lpstr>5A</vt:lpstr>
      <vt:lpstr>5B</vt:lpstr>
      <vt:lpstr>6A</vt:lpstr>
      <vt:lpstr>6B</vt:lpstr>
      <vt:lpstr>6C</vt:lpstr>
      <vt:lpstr>6D</vt:lpstr>
      <vt:lpstr>6E</vt:lpstr>
      <vt:lpstr>6F</vt:lpstr>
      <vt:lpstr>6G</vt:lpstr>
      <vt:lpstr>6H</vt:lpstr>
      <vt:lpstr>6I</vt:lpstr>
      <vt:lpstr>6J</vt:lpstr>
      <vt:lpstr>7A</vt:lpstr>
      <vt:lpstr>7B</vt:lpstr>
      <vt:lpstr>7C</vt:lpstr>
      <vt:lpstr>7D</vt:lpstr>
      <vt:lpstr>7E</vt:lpstr>
      <vt:lpstr>7F</vt:lpstr>
      <vt:lpstr>7G</vt:lpstr>
      <vt:lpstr>7H</vt:lpstr>
      <vt:lpstr>7I</vt:lpstr>
      <vt:lpstr>7J</vt:lpstr>
      <vt:lpstr>7K</vt:lpstr>
      <vt:lpstr>7L</vt:lpstr>
      <vt:lpstr>7M</vt:lpstr>
      <vt:lpstr>7N</vt:lpstr>
      <vt:lpstr>7O</vt:lpstr>
      <vt:lpstr>7P</vt:lpstr>
      <vt:lpstr>7Q</vt:lpstr>
      <vt:lpstr>7R</vt:lpstr>
      <vt:lpstr>7S</vt:lpstr>
      <vt:lpstr>7T</vt:lpstr>
      <vt:lpstr>7U</vt:lpstr>
      <vt:lpstr>7V</vt:lpstr>
      <vt:lpstr>7W</vt:lpstr>
      <vt:lpstr>7X</vt:lpstr>
      <vt:lpstr>7Y</vt:lpstr>
      <vt:lpstr>7Z</vt:lpstr>
      <vt:lpstr>7AA</vt:lpstr>
      <vt:lpstr>7AB</vt:lpstr>
      <vt:lpstr>7AC</vt:lpstr>
      <vt:lpstr>7AD</vt:lpstr>
      <vt:lpstr>7AE</vt:lpstr>
      <vt:lpstr>7AF</vt:lpstr>
      <vt:lpstr>8A</vt:lpstr>
      <vt:lpstr>8B</vt:lpstr>
      <vt:lpstr>8C</vt:lpstr>
      <vt:lpstr>8D</vt:lpstr>
      <vt:lpstr>8E</vt:lpstr>
      <vt:lpstr>8F</vt:lpstr>
      <vt:lpstr>8G</vt:lpstr>
      <vt:lpstr>8H</vt:lpstr>
      <vt:lpstr>8I</vt:lpstr>
      <vt:lpstr>8J</vt:lpstr>
      <vt:lpstr>8K</vt:lpstr>
      <vt:lpstr>8L</vt:lpstr>
      <vt:lpstr>8M</vt:lpstr>
      <vt:lpstr>8N</vt:lpstr>
      <vt:lpstr>9A</vt:lpstr>
      <vt:lpstr>9B</vt:lpstr>
      <vt:lpstr>9C</vt:lpstr>
      <vt:lpstr>9D</vt:lpstr>
      <vt:lpstr>9E</vt:lpstr>
      <vt:lpstr>9F</vt:lpstr>
      <vt:lpstr>9G</vt:lpstr>
      <vt:lpstr>9H</vt:lpstr>
      <vt:lpstr>9I</vt:lpstr>
      <vt:lpstr>9J</vt:lpstr>
      <vt:lpstr>9K</vt:lpstr>
      <vt:lpstr>9L</vt:lpstr>
      <vt:lpstr>10A</vt:lpstr>
      <vt:lpstr>10B</vt:lpstr>
      <vt:lpstr>10C</vt:lpstr>
      <vt:lpstr>11A</vt:lpstr>
      <vt:lpstr>12A</vt:lpstr>
      <vt:lpstr>12B</vt:lpstr>
      <vt:lpstr>13A-13H</vt:lpstr>
      <vt:lpstr>14A-14H</vt:lpstr>
      <vt:lpstr>15A</vt:lpstr>
      <vt:lpstr>15B</vt:lpstr>
      <vt:lpstr>16A</vt:lpstr>
      <vt:lpstr>17A</vt:lpstr>
      <vt:lpstr>17B</vt:lpstr>
      <vt:lpstr>Provincial Summary</vt:lpstr>
      <vt:lpstr>18A</vt:lpstr>
      <vt:lpstr>18B</vt:lpstr>
      <vt:lpstr>18C</vt:lpstr>
      <vt:lpstr>18D</vt:lpstr>
      <vt:lpstr>18E</vt:lpstr>
      <vt:lpstr>18F</vt:lpstr>
      <vt:lpstr>18G</vt:lpstr>
      <vt:lpstr>18H</vt:lpstr>
      <vt:lpstr>18I</vt:lpstr>
      <vt:lpstr>18J</vt:lpstr>
      <vt:lpstr>18K</vt:lpstr>
      <vt:lpstr>19A</vt:lpstr>
      <vt:lpstr>19B</vt:lpstr>
      <vt:lpstr>19C</vt:lpstr>
      <vt:lpstr>19D</vt:lpstr>
      <vt:lpstr>19E</vt:lpstr>
      <vt:lpstr>19F</vt:lpstr>
      <vt:lpstr>19G</vt:lpstr>
      <vt:lpstr>19H</vt:lpstr>
      <vt:lpstr>19I</vt:lpstr>
      <vt:lpstr>19J</vt:lpstr>
      <vt:lpstr>19K</vt:lpstr>
      <vt:lpstr>20A</vt:lpstr>
      <vt:lpstr>20B</vt:lpstr>
      <vt:lpstr>20C</vt:lpstr>
      <vt:lpstr>20D</vt:lpstr>
      <vt:lpstr>20E</vt:lpstr>
      <vt:lpstr>20F</vt:lpstr>
      <vt:lpstr>20G</vt:lpstr>
      <vt:lpstr>20H</vt:lpstr>
      <vt:lpstr>20I</vt:lpstr>
      <vt:lpstr>20J</vt:lpstr>
      <vt:lpstr>20K</vt:lpstr>
      <vt:lpstr>21A</vt:lpstr>
      <vt:lpstr>21B</vt:lpstr>
      <vt:lpstr>21C</vt:lpstr>
      <vt:lpstr>21D</vt:lpstr>
      <vt:lpstr>21E</vt:lpstr>
      <vt:lpstr>21F</vt:lpstr>
      <vt:lpstr>21G</vt:lpstr>
      <vt:lpstr>21H</vt:lpstr>
      <vt:lpstr>21I</vt:lpstr>
      <vt:lpstr>21J</vt:lpstr>
      <vt:lpstr>21K</vt:lpstr>
      <vt:lpstr>22A-22G</vt:lpstr>
      <vt:lpstr>23A</vt:lpstr>
      <vt:lpstr>23B</vt:lpstr>
      <vt:lpstr>'10A'!Print_Area</vt:lpstr>
      <vt:lpstr>'11A'!Print_Area</vt:lpstr>
      <vt:lpstr>'13A-13H'!Print_Area</vt:lpstr>
      <vt:lpstr>'14A-14H'!Print_Area</vt:lpstr>
      <vt:lpstr>'15A'!Print_Area</vt:lpstr>
      <vt:lpstr>'15B'!Print_Area</vt:lpstr>
      <vt:lpstr>'16A'!Print_Area</vt:lpstr>
      <vt:lpstr>'18A'!Print_Area</vt:lpstr>
      <vt:lpstr>'18B'!Print_Area</vt:lpstr>
      <vt:lpstr>'18C'!Print_Area</vt:lpstr>
      <vt:lpstr>'18D'!Print_Area</vt:lpstr>
      <vt:lpstr>'18E'!Print_Area</vt:lpstr>
      <vt:lpstr>'18F'!Print_Area</vt:lpstr>
      <vt:lpstr>'18G'!Print_Area</vt:lpstr>
      <vt:lpstr>'18H'!Print_Area</vt:lpstr>
      <vt:lpstr>'18I'!Print_Area</vt:lpstr>
      <vt:lpstr>'18J'!Print_Area</vt:lpstr>
      <vt:lpstr>'18K'!Print_Area</vt:lpstr>
      <vt:lpstr>'19A'!Print_Area</vt:lpstr>
      <vt:lpstr>'19B'!Print_Area</vt:lpstr>
      <vt:lpstr>'19E'!Print_Area</vt:lpstr>
      <vt:lpstr>'19G'!Print_Area</vt:lpstr>
      <vt:lpstr>'19J'!Print_Area</vt:lpstr>
      <vt:lpstr>'19K'!Print_Area</vt:lpstr>
      <vt:lpstr>'1A'!Print_Area</vt:lpstr>
      <vt:lpstr>'1B'!Print_Area</vt:lpstr>
      <vt:lpstr>'1C'!Print_Area</vt:lpstr>
      <vt:lpstr>'1D'!Print_Area</vt:lpstr>
      <vt:lpstr>'1E'!Print_Area</vt:lpstr>
      <vt:lpstr>'1F'!Print_Area</vt:lpstr>
      <vt:lpstr>'1G'!Print_Area</vt:lpstr>
      <vt:lpstr>'1H'!Print_Area</vt:lpstr>
      <vt:lpstr>'1I'!Print_Area</vt:lpstr>
      <vt:lpstr>'1J'!Print_Area</vt:lpstr>
      <vt:lpstr>'22A-22G'!Print_Area</vt:lpstr>
      <vt:lpstr>'23A'!Print_Area</vt:lpstr>
      <vt:lpstr>'23B'!Print_Area</vt:lpstr>
      <vt:lpstr>'2A'!Print_Area</vt:lpstr>
      <vt:lpstr>'2B'!Print_Area</vt:lpstr>
      <vt:lpstr>'2C'!Print_Area</vt:lpstr>
      <vt:lpstr>'2D'!Print_Area</vt:lpstr>
      <vt:lpstr>'2E'!Print_Area</vt:lpstr>
      <vt:lpstr>'2F'!Print_Area</vt:lpstr>
      <vt:lpstr>'2I'!Print_Area</vt:lpstr>
      <vt:lpstr>'2J'!Print_Area</vt:lpstr>
      <vt:lpstr>'2M'!Print_Area</vt:lpstr>
      <vt:lpstr>'2N'!Print_Area</vt:lpstr>
      <vt:lpstr>'2O'!Print_Area</vt:lpstr>
      <vt:lpstr>'2P'!Print_Area</vt:lpstr>
      <vt:lpstr>'3A'!Print_Area</vt:lpstr>
      <vt:lpstr>'3B'!Print_Area</vt:lpstr>
      <vt:lpstr>'3C'!Print_Area</vt:lpstr>
      <vt:lpstr>'3D'!Print_Area</vt:lpstr>
      <vt:lpstr>'3E'!Print_Area</vt:lpstr>
      <vt:lpstr>'3F'!Print_Area</vt:lpstr>
      <vt:lpstr>'4A'!Print_Area</vt:lpstr>
      <vt:lpstr>'4B'!Print_Area</vt:lpstr>
      <vt:lpstr>'4C'!Print_Area</vt:lpstr>
      <vt:lpstr>'4D'!Print_Area</vt:lpstr>
      <vt:lpstr>'4E'!Print_Area</vt:lpstr>
      <vt:lpstr>'4F'!Print_Area</vt:lpstr>
      <vt:lpstr>'4G'!Print_Area</vt:lpstr>
      <vt:lpstr>'4H'!Print_Area</vt:lpstr>
      <vt:lpstr>'4I'!Print_Area</vt:lpstr>
      <vt:lpstr>'4J'!Print_Area</vt:lpstr>
      <vt:lpstr>'4K'!Print_Area</vt:lpstr>
      <vt:lpstr>'4L'!Print_Area</vt:lpstr>
      <vt:lpstr>'4M'!Print_Area</vt:lpstr>
      <vt:lpstr>'4N'!Print_Area</vt:lpstr>
      <vt:lpstr>'4O'!Print_Area</vt:lpstr>
      <vt:lpstr>'4P'!Print_Area</vt:lpstr>
      <vt:lpstr>'4Q'!Print_Area</vt:lpstr>
      <vt:lpstr>'4R'!Print_Area</vt:lpstr>
      <vt:lpstr>'5A'!Print_Area</vt:lpstr>
      <vt:lpstr>'5B'!Print_Area</vt:lpstr>
      <vt:lpstr>'6A'!Print_Area</vt:lpstr>
      <vt:lpstr>'6B'!Print_Area</vt:lpstr>
      <vt:lpstr>'6C'!Print_Area</vt:lpstr>
      <vt:lpstr>'6D'!Print_Area</vt:lpstr>
      <vt:lpstr>'6E'!Print_Area</vt:lpstr>
      <vt:lpstr>'6F'!Print_Area</vt:lpstr>
      <vt:lpstr>'6G'!Print_Area</vt:lpstr>
      <vt:lpstr>'6H'!Print_Area</vt:lpstr>
      <vt:lpstr>'6I'!Print_Area</vt:lpstr>
      <vt:lpstr>'6J'!Print_Area</vt:lpstr>
      <vt:lpstr>'7A'!Print_Area</vt:lpstr>
      <vt:lpstr>'7AA'!Print_Area</vt:lpstr>
      <vt:lpstr>'7AB'!Print_Area</vt:lpstr>
      <vt:lpstr>'7AC'!Print_Area</vt:lpstr>
      <vt:lpstr>'7AD'!Print_Area</vt:lpstr>
      <vt:lpstr>'7AE'!Print_Area</vt:lpstr>
      <vt:lpstr>'7AF'!Print_Area</vt:lpstr>
      <vt:lpstr>'7B'!Print_Area</vt:lpstr>
      <vt:lpstr>'7C'!Print_Area</vt:lpstr>
      <vt:lpstr>'7D'!Print_Area</vt:lpstr>
      <vt:lpstr>'7E'!Print_Area</vt:lpstr>
      <vt:lpstr>'7F'!Print_Area</vt:lpstr>
      <vt:lpstr>'7G'!Print_Area</vt:lpstr>
      <vt:lpstr>'7H'!Print_Area</vt:lpstr>
      <vt:lpstr>'7I'!Print_Area</vt:lpstr>
      <vt:lpstr>'7J'!Print_Area</vt:lpstr>
      <vt:lpstr>'7K'!Print_Area</vt:lpstr>
      <vt:lpstr>'7L'!Print_Area</vt:lpstr>
      <vt:lpstr>'7M'!Print_Area</vt:lpstr>
      <vt:lpstr>'7N'!Print_Area</vt:lpstr>
      <vt:lpstr>'7O'!Print_Area</vt:lpstr>
      <vt:lpstr>'7P'!Print_Area</vt:lpstr>
      <vt:lpstr>'7Q'!Print_Area</vt:lpstr>
      <vt:lpstr>'7R'!Print_Area</vt:lpstr>
      <vt:lpstr>'7S'!Print_Area</vt:lpstr>
      <vt:lpstr>'7T'!Print_Area</vt:lpstr>
      <vt:lpstr>'7U'!Print_Area</vt:lpstr>
      <vt:lpstr>'7V'!Print_Area</vt:lpstr>
      <vt:lpstr>'7W'!Print_Area</vt:lpstr>
      <vt:lpstr>'7X'!Print_Area</vt:lpstr>
      <vt:lpstr>'7Y'!Print_Area</vt:lpstr>
      <vt:lpstr>'7Z'!Print_Area</vt:lpstr>
      <vt:lpstr>'8A'!Print_Area</vt:lpstr>
      <vt:lpstr>'8B'!Print_Area</vt:lpstr>
      <vt:lpstr>'8C'!Print_Area</vt:lpstr>
      <vt:lpstr>'8D'!Print_Area</vt:lpstr>
      <vt:lpstr>'8E'!Print_Area</vt:lpstr>
      <vt:lpstr>'8F'!Print_Area</vt:lpstr>
      <vt:lpstr>'8G'!Print_Area</vt:lpstr>
      <vt:lpstr>'8H'!Print_Area</vt:lpstr>
      <vt:lpstr>'8I'!Print_Area</vt:lpstr>
      <vt:lpstr>'8J'!Print_Area</vt:lpstr>
      <vt:lpstr>'8K'!Print_Area</vt:lpstr>
      <vt:lpstr>'8L'!Print_Area</vt:lpstr>
      <vt:lpstr>'8M'!Print_Area</vt:lpstr>
      <vt:lpstr>'8N'!Print_Area</vt:lpstr>
      <vt:lpstr>'List of Tables'!Print_Area</vt:lpstr>
      <vt:lpstr>'Provincial Summary'!Print_Area</vt:lpstr>
      <vt:lpstr>'8A'!Print_Titles</vt:lpstr>
      <vt:lpstr>'8B'!Print_Titles</vt:lpstr>
      <vt:lpstr>'8C'!Print_Titles</vt:lpstr>
      <vt:lpstr>'8D'!Print_Titles</vt:lpstr>
      <vt:lpstr>'8E'!Print_Titles</vt:lpstr>
      <vt:lpstr>'8F'!Print_Titles</vt:lpstr>
      <vt:lpstr>'8G'!Print_Titles</vt:lpstr>
      <vt:lpstr>'8H'!Print_Titles</vt:lpstr>
      <vt:lpstr>'8I'!Print_Titles</vt:lpstr>
      <vt:lpstr>'8J'!Print_Titles</vt:lpstr>
      <vt:lpstr>'8K'!Print_Titles</vt:lpstr>
      <vt:lpstr>'8L'!Print_Titles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CSLS9</dc:creator>
  <cp:lastModifiedBy>CSLS9</cp:lastModifiedBy>
  <cp:lastPrinted>2014-11-28T21:43:40Z</cp:lastPrinted>
  <dcterms:created xsi:type="dcterms:W3CDTF">2014-11-21T14:18:21Z</dcterms:created>
  <dcterms:modified xsi:type="dcterms:W3CDTF">2015-07-03T18:53:40Z</dcterms:modified>
</cp:coreProperties>
</file>